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petervasko/Dropbox/ROBOTA/GTA/UN LP KE/UNLP KE/REPORT/UHP/"/>
    </mc:Choice>
  </mc:AlternateContent>
  <xr:revisionPtr revIDLastSave="0" documentId="13_ncr:1_{8D4A1345-B01C-C74B-BB33-CC883E181DF5}" xr6:coauthVersionLast="47" xr6:coauthVersionMax="47" xr10:uidLastSave="{00000000-0000-0000-0000-000000000000}"/>
  <bookViews>
    <workbookView xWindow="0" yWindow="500" windowWidth="28800" windowHeight="17500" xr2:uid="{E107D05E-9D50-45A0-B2B2-4041832702BC}"/>
  </bookViews>
  <sheets>
    <sheet name="Assumtions" sheetId="131" r:id="rId1"/>
    <sheet name="Outputs_Vykazy" sheetId="129" r:id="rId2"/>
    <sheet name="Output_Capex_Full" sheetId="134" r:id="rId3"/>
    <sheet name="Outputs_Capex" sheetId="130" r:id="rId4"/>
    <sheet name="Outputs_HPA" sheetId="127" r:id="rId5"/>
    <sheet name="Outputs_Porovnania" sheetId="126" r:id="rId6"/>
    <sheet name="Scenarios_Operating" sheetId="123" r:id="rId7"/>
    <sheet name="social benefits" sheetId="133" r:id="rId8"/>
    <sheet name="Scenarios_Summary" sheetId="108" r:id="rId9"/>
    <sheet name="SCENAR&quot;0&quot;  &gt;&gt;" sheetId="91" r:id="rId10"/>
    <sheet name="summary&quot;0&quot;" sheetId="12" r:id="rId11"/>
    <sheet name="PL&quot;0&quot;" sheetId="4" r:id="rId12"/>
    <sheet name="BS&quot;0&quot;" sheetId="3" r:id="rId13"/>
    <sheet name="CF&quot;0&quot;" sheetId="5" r:id="rId14"/>
    <sheet name="FCFs&quot;0&quot;" sheetId="2" r:id="rId15"/>
    <sheet name="projections&quot;0&quot;&gt;" sheetId="92" r:id="rId16"/>
    <sheet name="FTE&quot;0&quot;" sheetId="73" r:id="rId17"/>
    <sheet name="Revenues&quot;0&quot;" sheetId="89" r:id="rId18"/>
    <sheet name="Costs&quot;0&quot;" sheetId="95" r:id="rId19"/>
    <sheet name="Financials&quot;0&quot;" sheetId="55" r:id="rId20"/>
    <sheet name="SCENAR&quot;A&quot;  &gt;&gt;" sheetId="107" r:id="rId21"/>
    <sheet name="summary&quot;A&quot;" sheetId="106" r:id="rId22"/>
    <sheet name="PL&quot;A&quot;" sheetId="105" r:id="rId23"/>
    <sheet name="BS&quot;A&quot;" sheetId="103" r:id="rId24"/>
    <sheet name="CF&quot;A&quot;" sheetId="102" r:id="rId25"/>
    <sheet name="FCFs&quot;A&quot;" sheetId="104" r:id="rId26"/>
    <sheet name="projections&quot;A&quot;&gt;" sheetId="101" r:id="rId27"/>
    <sheet name="FTE&quot;A&quot;" sheetId="100" r:id="rId28"/>
    <sheet name="Revenues&quot;A&quot;" sheetId="99" r:id="rId29"/>
    <sheet name="Costs&quot;A&quot;" sheetId="98" r:id="rId30"/>
    <sheet name="Financials&quot;A&quot;" sheetId="97" r:id="rId31"/>
    <sheet name="data_All &gt;&gt;&gt;" sheetId="46" r:id="rId32"/>
    <sheet name="Capex_model" sheetId="94" r:id="rId33"/>
    <sheet name="capex_final" sheetId="125" r:id="rId34"/>
    <sheet name="FTE_data" sheetId="74" r:id="rId35"/>
    <sheet name="BS_Data" sheetId="75" r:id="rId36"/>
    <sheet name="PL_data" sheetId="76" r:id="rId37"/>
    <sheet name="beds_NEW" sheetId="135" r:id="rId38"/>
    <sheet name="beds_OLD" sheetId="136" r:id="rId39"/>
    <sheet name="Ucto_HK_summ" sheetId="88" r:id="rId40"/>
    <sheet name="Hospit_Data_&quot;0&quot;" sheetId="79" r:id="rId41"/>
    <sheet name="Hospit_Data_&quot;A&quot;" sheetId="80" r:id="rId42"/>
    <sheet name="Hospit_OSN" sheetId="132" r:id="rId43"/>
    <sheet name="Hospit_Data_&quot;A&quot;_ExtraHPA" sheetId="128" r:id="rId44"/>
    <sheet name="Revenues_Data" sheetId="77" r:id="rId45"/>
    <sheet name="Vykony_Data" sheetId="81" r:id="rId46"/>
    <sheet name="Ucto_HK_2018" sheetId="83" r:id="rId47"/>
    <sheet name="Ucto_HK_2019" sheetId="86" r:id="rId48"/>
    <sheet name="Ucto_HK_2020" sheetId="85" r:id="rId49"/>
    <sheet name="Ucto_HK_2021_10" sheetId="87" r:id="rId50"/>
    <sheet name="Ucto_HK_2021" sheetId="90" r:id="rId51"/>
  </sheets>
  <definedNames>
    <definedName name="__FDS_HYPERLINK_TOGGLE_STATE__" hidden="1">"ON"</definedName>
    <definedName name="_xlnm._FilterDatabase" localSheetId="12" hidden="1">'BS"0"'!$A$5:$A$87</definedName>
    <definedName name="_xlnm._FilterDatabase" localSheetId="34" hidden="1">FTE_data!$A$3:$GC$413</definedName>
    <definedName name="_xlnm._FilterDatabase" localSheetId="11" hidden="1">'PL"0"'!$A$5:$A$55</definedName>
    <definedName name="_Order1" hidden="1">0</definedName>
    <definedName name="AS2DocOpenMode" hidden="1">"AS2DocumentEdit"</definedName>
    <definedName name="CIQWBGuid" hidden="1">"7b33a90d-c058-4c46-94d9-e907c26431df"</definedName>
    <definedName name="HTML_CodePage" hidden="1">1252</definedName>
    <definedName name="HTML_Control" hidden="1">{"'Sheet1'!$A$1:$G$85"}</definedName>
    <definedName name="HTML_CONTROL2" hidden="1">{"'Sheet1'!$A$1:$H$145"}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astUpdate2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OMMON_APIC_BR" hidden="1">"c185"</definedName>
    <definedName name="IQ_COMMON_ISSUED_BR" hidden="1">"c199"</definedName>
    <definedName name="IQ_COMMON_REP_BR" hidden="1">"c208"</definedName>
    <definedName name="IQ_CONV_RATE" hidden="1">"c2192"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ST_EPS_SURPRISE" hidden="1">"c1635"</definedName>
    <definedName name="IQ_EXTRA_ACC_ITEMS_BR" hidden="1">"c412"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CH" hidden="1">110000</definedName>
    <definedName name="IQ_CHANGE_AP_BR" hidden="1">"c135"</definedName>
    <definedName name="IQ_CHANGE_AR_BR" hidden="1">"c142"</definedName>
    <definedName name="IQ_CHANGE_OTHER_WORK_CAP_BR" hidden="1">"c154"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hidden="1">"11/18/2013 09:42:55"</definedName>
    <definedName name="IQ_NAV_ACT_OR_EST" hidden="1">"c2225"</definedName>
    <definedName name="IQ_NET_DEBT_ISSUED_BR" hidden="1">"c753"</definedName>
    <definedName name="IQ_NET_INT_INC_BR" hidden="1">"c765"</definedName>
    <definedName name="IQ_NTM" hidden="1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ListOffset" hidden="1">1</definedName>
    <definedName name="_xlnm.Print_Area" localSheetId="12">'BS"0"'!$B$3:$S$87</definedName>
    <definedName name="_xlnm.Print_Area" localSheetId="13">'CF"0"'!$B$3:$R$38</definedName>
    <definedName name="_xlnm.Print_Area" localSheetId="14">'FCFs"0"'!$B$3:$Y$60</definedName>
    <definedName name="_xlnm.Print_Area" localSheetId="19">'Financials"0"'!$A$1:$R$71</definedName>
    <definedName name="_xlnm.Print_Area" localSheetId="11">'PL"0"'!$B$3:$S$64</definedName>
    <definedName name="_xlnm.Print_Area" localSheetId="10">'summary"0"'!$B$2:$O$36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" i="108" l="1"/>
  <c r="D60" i="108"/>
  <c r="C46" i="108"/>
  <c r="C37" i="108"/>
  <c r="C35" i="108"/>
  <c r="C30" i="108"/>
  <c r="E27" i="131" l="1"/>
  <c r="F27" i="131" s="1"/>
  <c r="G27" i="131" s="1"/>
  <c r="H27" i="131" s="1"/>
  <c r="I27" i="131" s="1"/>
  <c r="E28" i="131"/>
  <c r="F28" i="131" s="1"/>
  <c r="G28" i="131" s="1"/>
  <c r="H28" i="131" s="1"/>
  <c r="I28" i="131" s="1"/>
  <c r="E29" i="131"/>
  <c r="F29" i="131" s="1"/>
  <c r="G29" i="131" s="1"/>
  <c r="H29" i="131" s="1"/>
  <c r="I29" i="131" s="1"/>
  <c r="E30" i="131"/>
  <c r="F30" i="131" s="1"/>
  <c r="G30" i="131" s="1"/>
  <c r="H30" i="131" s="1"/>
  <c r="I30" i="131" s="1"/>
  <c r="D28" i="131"/>
  <c r="D29" i="131"/>
  <c r="D30" i="131"/>
  <c r="D27" i="131"/>
  <c r="K56" i="100"/>
  <c r="L56" i="100" s="1"/>
  <c r="M56" i="100" s="1"/>
  <c r="N56" i="100" s="1"/>
  <c r="O56" i="100" s="1"/>
  <c r="P56" i="100" s="1"/>
  <c r="Q56" i="100" s="1"/>
  <c r="R56" i="100" s="1"/>
  <c r="S56" i="100" s="1"/>
  <c r="T56" i="100" s="1"/>
  <c r="U56" i="100" s="1"/>
  <c r="V56" i="100" s="1"/>
  <c r="W56" i="100" s="1"/>
  <c r="X56" i="100" s="1"/>
  <c r="Y56" i="100" s="1"/>
  <c r="Z56" i="100" s="1"/>
  <c r="AA56" i="100" s="1"/>
  <c r="AB56" i="100" s="1"/>
  <c r="AC56" i="100" s="1"/>
  <c r="J56" i="100"/>
  <c r="E47" i="104"/>
  <c r="F47" i="104" s="1"/>
  <c r="G47" i="104" s="1"/>
  <c r="H47" i="104" s="1"/>
  <c r="I47" i="104" s="1"/>
  <c r="J47" i="104" s="1"/>
  <c r="K47" i="104" s="1"/>
  <c r="L47" i="104" s="1"/>
  <c r="M47" i="104" s="1"/>
  <c r="N47" i="104" s="1"/>
  <c r="O47" i="104" s="1"/>
  <c r="P47" i="104" s="1"/>
  <c r="Q47" i="104" s="1"/>
  <c r="R47" i="104" s="1"/>
  <c r="S47" i="104" s="1"/>
  <c r="T47" i="104" s="1"/>
  <c r="U47" i="104" s="1"/>
  <c r="V47" i="104" s="1"/>
  <c r="W47" i="104" s="1"/>
  <c r="D47" i="104"/>
  <c r="E45" i="2"/>
  <c r="F45" i="2" s="1"/>
  <c r="G45" i="2" s="1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R45" i="2" s="1"/>
  <c r="S45" i="2" s="1"/>
  <c r="T45" i="2" s="1"/>
  <c r="U45" i="2" s="1"/>
  <c r="V45" i="2" s="1"/>
  <c r="W45" i="2" s="1"/>
  <c r="D45" i="2"/>
  <c r="F9" i="94" l="1"/>
  <c r="G9" i="94" s="1"/>
  <c r="H9" i="94" s="1"/>
  <c r="I9" i="94" s="1"/>
  <c r="J9" i="94" s="1"/>
  <c r="E9" i="94"/>
  <c r="J99" i="98"/>
  <c r="K99" i="98" s="1"/>
  <c r="I99" i="98"/>
  <c r="J117" i="99"/>
  <c r="K117" i="99" s="1"/>
  <c r="L117" i="99" s="1"/>
  <c r="M117" i="99" s="1"/>
  <c r="N117" i="99" s="1"/>
  <c r="O117" i="99" s="1"/>
  <c r="P117" i="99" s="1"/>
  <c r="Q117" i="99" s="1"/>
  <c r="R117" i="99" s="1"/>
  <c r="S117" i="99" s="1"/>
  <c r="T117" i="99" s="1"/>
  <c r="U117" i="99" s="1"/>
  <c r="V117" i="99" s="1"/>
  <c r="W117" i="99" s="1"/>
  <c r="X117" i="99" s="1"/>
  <c r="Y117" i="99" s="1"/>
  <c r="Z117" i="99" s="1"/>
  <c r="AA117" i="99" s="1"/>
  <c r="AB117" i="99" s="1"/>
  <c r="I117" i="99"/>
  <c r="K99" i="95"/>
  <c r="L99" i="95" s="1"/>
  <c r="M99" i="95" s="1"/>
  <c r="N99" i="95" s="1"/>
  <c r="O99" i="95" s="1"/>
  <c r="P99" i="95" s="1"/>
  <c r="Q99" i="95" s="1"/>
  <c r="R99" i="95" s="1"/>
  <c r="S99" i="95" s="1"/>
  <c r="T99" i="95" s="1"/>
  <c r="U99" i="95" s="1"/>
  <c r="V99" i="95" s="1"/>
  <c r="W99" i="95" s="1"/>
  <c r="X99" i="95" s="1"/>
  <c r="Y99" i="95" s="1"/>
  <c r="Z99" i="95" s="1"/>
  <c r="AA99" i="95" s="1"/>
  <c r="AB99" i="95" s="1"/>
  <c r="J99" i="95"/>
  <c r="K97" i="89"/>
  <c r="L97" i="89"/>
  <c r="M97" i="89" s="1"/>
  <c r="N97" i="89" s="1"/>
  <c r="O97" i="89" s="1"/>
  <c r="P97" i="89" s="1"/>
  <c r="Q97" i="89" s="1"/>
  <c r="R97" i="89" s="1"/>
  <c r="S97" i="89" s="1"/>
  <c r="T97" i="89" s="1"/>
  <c r="U97" i="89" s="1"/>
  <c r="V97" i="89" s="1"/>
  <c r="W97" i="89" s="1"/>
  <c r="X97" i="89" s="1"/>
  <c r="Y97" i="89" s="1"/>
  <c r="Z97" i="89" s="1"/>
  <c r="AA97" i="89" s="1"/>
  <c r="AB97" i="89" s="1"/>
  <c r="J97" i="89"/>
  <c r="L56" i="73"/>
  <c r="M56" i="73" s="1"/>
  <c r="N56" i="73" s="1"/>
  <c r="O56" i="73" s="1"/>
  <c r="P56" i="73" s="1"/>
  <c r="Q56" i="73" s="1"/>
  <c r="R56" i="73" s="1"/>
  <c r="S56" i="73" s="1"/>
  <c r="T56" i="73" s="1"/>
  <c r="U56" i="73" s="1"/>
  <c r="V56" i="73" s="1"/>
  <c r="W56" i="73" s="1"/>
  <c r="X56" i="73" s="1"/>
  <c r="Y56" i="73" s="1"/>
  <c r="Z56" i="73" s="1"/>
  <c r="AA56" i="73" s="1"/>
  <c r="AB56" i="73" s="1"/>
  <c r="AC56" i="73" s="1"/>
  <c r="K56" i="73"/>
  <c r="C46" i="128"/>
  <c r="P47" i="128"/>
  <c r="D39" i="135"/>
  <c r="C39" i="135"/>
  <c r="E12" i="135"/>
  <c r="H12" i="135" s="1"/>
  <c r="E13" i="135"/>
  <c r="H13" i="135" s="1"/>
  <c r="E14" i="135"/>
  <c r="E15" i="135"/>
  <c r="H15" i="135" s="1"/>
  <c r="E17" i="135"/>
  <c r="I17" i="135" s="1"/>
  <c r="E18" i="135"/>
  <c r="E19" i="135"/>
  <c r="T23" i="135"/>
  <c r="T39" i="135"/>
  <c r="C37" i="128"/>
  <c r="C33" i="128"/>
  <c r="E35" i="135"/>
  <c r="I35" i="135" s="1"/>
  <c r="I14" i="135"/>
  <c r="I18" i="135"/>
  <c r="H19" i="135"/>
  <c r="D23" i="135"/>
  <c r="C23" i="135"/>
  <c r="I12" i="135"/>
  <c r="I38" i="136"/>
  <c r="I37" i="136"/>
  <c r="I36" i="136"/>
  <c r="I35" i="136"/>
  <c r="I34" i="136"/>
  <c r="I33" i="136"/>
  <c r="I32" i="136"/>
  <c r="I31" i="136"/>
  <c r="I30" i="136"/>
  <c r="I29" i="136"/>
  <c r="I28" i="136"/>
  <c r="I27" i="136"/>
  <c r="I8" i="136"/>
  <c r="I9" i="136"/>
  <c r="I10" i="136"/>
  <c r="I11" i="136"/>
  <c r="I12" i="136"/>
  <c r="I13" i="136"/>
  <c r="I14" i="136"/>
  <c r="I15" i="136"/>
  <c r="I16" i="136"/>
  <c r="I17" i="136"/>
  <c r="I18" i="136"/>
  <c r="I19" i="136"/>
  <c r="I20" i="136"/>
  <c r="I21" i="136"/>
  <c r="I22" i="136"/>
  <c r="I7" i="136"/>
  <c r="H18" i="135"/>
  <c r="F39" i="135"/>
  <c r="F40" i="135" s="1"/>
  <c r="F23" i="135"/>
  <c r="G39" i="136"/>
  <c r="G40" i="136" s="1"/>
  <c r="G23" i="136"/>
  <c r="K79" i="98" l="1"/>
  <c r="L99" i="98"/>
  <c r="M99" i="98" s="1"/>
  <c r="N99" i="98" s="1"/>
  <c r="O99" i="98" s="1"/>
  <c r="P99" i="98" s="1"/>
  <c r="Q99" i="98" s="1"/>
  <c r="R99" i="98" s="1"/>
  <c r="S99" i="98" s="1"/>
  <c r="T99" i="98" s="1"/>
  <c r="U99" i="98" s="1"/>
  <c r="V99" i="98" s="1"/>
  <c r="W99" i="98" s="1"/>
  <c r="X99" i="98" s="1"/>
  <c r="Y99" i="98" s="1"/>
  <c r="Z99" i="98" s="1"/>
  <c r="AA99" i="98" s="1"/>
  <c r="AB99" i="98" s="1"/>
  <c r="H35" i="135"/>
  <c r="I13" i="135"/>
  <c r="H17" i="135"/>
  <c r="I19" i="135"/>
  <c r="H14" i="135"/>
  <c r="I15" i="135"/>
  <c r="P55" i="99"/>
  <c r="B2" i="134"/>
  <c r="C2" i="134"/>
  <c r="D2" i="134"/>
  <c r="E2" i="134"/>
  <c r="F2" i="134"/>
  <c r="G2" i="134"/>
  <c r="H2" i="134"/>
  <c r="I2" i="134"/>
  <c r="J2" i="134"/>
  <c r="K2" i="134"/>
  <c r="L2" i="134"/>
  <c r="M2" i="134"/>
  <c r="N2" i="134"/>
  <c r="O2" i="134"/>
  <c r="P2" i="134"/>
  <c r="Q2" i="134"/>
  <c r="R2" i="134"/>
  <c r="S2" i="134"/>
  <c r="T2" i="134"/>
  <c r="U2" i="134"/>
  <c r="V2" i="134"/>
  <c r="B3" i="134"/>
  <c r="C3" i="134"/>
  <c r="D3" i="134"/>
  <c r="E3" i="134"/>
  <c r="F3" i="134"/>
  <c r="G3" i="134"/>
  <c r="H3" i="134"/>
  <c r="I3" i="134"/>
  <c r="L3" i="134"/>
  <c r="M3" i="134"/>
  <c r="O3" i="134"/>
  <c r="P3" i="134"/>
  <c r="Q3" i="134"/>
  <c r="R3" i="134"/>
  <c r="U3" i="134"/>
  <c r="B4" i="134"/>
  <c r="C4" i="134"/>
  <c r="D4" i="134"/>
  <c r="E4" i="134"/>
  <c r="F4" i="134"/>
  <c r="G4" i="134"/>
  <c r="H4" i="134"/>
  <c r="I4" i="134"/>
  <c r="L4" i="134"/>
  <c r="M4" i="134"/>
  <c r="O4" i="134"/>
  <c r="P4" i="134"/>
  <c r="Q4" i="134"/>
  <c r="R4" i="134"/>
  <c r="U4" i="134"/>
  <c r="B5" i="134"/>
  <c r="C5" i="134"/>
  <c r="D5" i="134"/>
  <c r="E5" i="134"/>
  <c r="F5" i="134"/>
  <c r="G5" i="134"/>
  <c r="H5" i="134"/>
  <c r="I5" i="134"/>
  <c r="J5" i="134"/>
  <c r="M5" i="134"/>
  <c r="N5" i="134"/>
  <c r="O5" i="134"/>
  <c r="P5" i="134"/>
  <c r="Q5" i="134"/>
  <c r="R5" i="134"/>
  <c r="S5" i="134"/>
  <c r="T5" i="134"/>
  <c r="U5" i="134"/>
  <c r="V5" i="134"/>
  <c r="B6" i="134"/>
  <c r="D6" i="134"/>
  <c r="E6" i="134"/>
  <c r="J6" i="134"/>
  <c r="L6" i="134"/>
  <c r="M6" i="134"/>
  <c r="N6" i="134"/>
  <c r="O6" i="134"/>
  <c r="P6" i="134"/>
  <c r="Q6" i="134"/>
  <c r="R6" i="134"/>
  <c r="U6" i="134"/>
  <c r="B7" i="134"/>
  <c r="D7" i="134"/>
  <c r="E7" i="134"/>
  <c r="M7" i="134"/>
  <c r="N7" i="134"/>
  <c r="O7" i="134"/>
  <c r="P7" i="134"/>
  <c r="Q7" i="134"/>
  <c r="R7" i="134"/>
  <c r="U7" i="134"/>
  <c r="B8" i="134"/>
  <c r="D8" i="134"/>
  <c r="E8" i="134"/>
  <c r="J8" i="134"/>
  <c r="M8" i="134"/>
  <c r="N8" i="134"/>
  <c r="O8" i="134"/>
  <c r="P8" i="134"/>
  <c r="Q8" i="134"/>
  <c r="R8" i="134"/>
  <c r="U8" i="134"/>
  <c r="B9" i="134"/>
  <c r="D9" i="134"/>
  <c r="E9" i="134"/>
  <c r="J9" i="134"/>
  <c r="M9" i="134"/>
  <c r="N9" i="134"/>
  <c r="O9" i="134"/>
  <c r="P9" i="134"/>
  <c r="Q9" i="134"/>
  <c r="R9" i="134"/>
  <c r="U9" i="134"/>
  <c r="B10" i="134"/>
  <c r="C10" i="134"/>
  <c r="D10" i="134"/>
  <c r="E10" i="134"/>
  <c r="F10" i="134"/>
  <c r="G10" i="134"/>
  <c r="H10" i="134"/>
  <c r="I10" i="134"/>
  <c r="J10" i="134"/>
  <c r="M10" i="134"/>
  <c r="N10" i="134"/>
  <c r="O10" i="134"/>
  <c r="P10" i="134"/>
  <c r="Q10" i="134"/>
  <c r="R10" i="134"/>
  <c r="S10" i="134"/>
  <c r="T10" i="134"/>
  <c r="U10" i="134"/>
  <c r="V10" i="134"/>
  <c r="B11" i="134"/>
  <c r="D11" i="134"/>
  <c r="E11" i="134"/>
  <c r="J11" i="134"/>
  <c r="M11" i="134"/>
  <c r="N11" i="134"/>
  <c r="O11" i="134"/>
  <c r="P11" i="134"/>
  <c r="Q11" i="134"/>
  <c r="R11" i="134"/>
  <c r="U11" i="134"/>
  <c r="B12" i="134"/>
  <c r="D12" i="134"/>
  <c r="E12" i="134"/>
  <c r="J12" i="134"/>
  <c r="L12" i="134"/>
  <c r="M12" i="134"/>
  <c r="N12" i="134"/>
  <c r="O12" i="134"/>
  <c r="P12" i="134"/>
  <c r="Q12" i="134"/>
  <c r="R12" i="134"/>
  <c r="U12" i="134"/>
  <c r="B13" i="134"/>
  <c r="C13" i="134"/>
  <c r="D13" i="134"/>
  <c r="E13" i="134"/>
  <c r="F13" i="134"/>
  <c r="G13" i="134"/>
  <c r="H13" i="134"/>
  <c r="I13" i="134"/>
  <c r="L13" i="134"/>
  <c r="M13" i="134"/>
  <c r="N13" i="134"/>
  <c r="O13" i="134"/>
  <c r="P13" i="134"/>
  <c r="Q13" i="134"/>
  <c r="R13" i="134"/>
  <c r="U13" i="134"/>
  <c r="B15" i="134"/>
  <c r="C15" i="134"/>
  <c r="D15" i="134"/>
  <c r="E15" i="134"/>
  <c r="F15" i="134"/>
  <c r="G15" i="134"/>
  <c r="H15" i="134"/>
  <c r="I15" i="134"/>
  <c r="J15" i="134"/>
  <c r="M15" i="134"/>
  <c r="N15" i="134"/>
  <c r="O15" i="134"/>
  <c r="P15" i="134"/>
  <c r="Q15" i="134"/>
  <c r="R15" i="134"/>
  <c r="S15" i="134"/>
  <c r="T15" i="134"/>
  <c r="U15" i="134"/>
  <c r="V15" i="134"/>
  <c r="B16" i="134"/>
  <c r="D16" i="134"/>
  <c r="E16" i="134"/>
  <c r="J16" i="134"/>
  <c r="M16" i="134"/>
  <c r="N16" i="134"/>
  <c r="O16" i="134"/>
  <c r="P16" i="134"/>
  <c r="Q16" i="134"/>
  <c r="R16" i="134"/>
  <c r="U16" i="134"/>
  <c r="B17" i="134"/>
  <c r="D17" i="134"/>
  <c r="E17" i="134"/>
  <c r="J17" i="134"/>
  <c r="L17" i="134"/>
  <c r="M17" i="134"/>
  <c r="N17" i="134"/>
  <c r="O17" i="134"/>
  <c r="P17" i="134"/>
  <c r="Q17" i="134"/>
  <c r="R17" i="134"/>
  <c r="U17" i="134"/>
  <c r="B18" i="134"/>
  <c r="C18" i="134"/>
  <c r="D18" i="134"/>
  <c r="E18" i="134"/>
  <c r="F18" i="134"/>
  <c r="G18" i="134"/>
  <c r="H18" i="134"/>
  <c r="I18" i="134"/>
  <c r="J18" i="134"/>
  <c r="M18" i="134"/>
  <c r="N18" i="134"/>
  <c r="O18" i="134"/>
  <c r="P18" i="134"/>
  <c r="Q18" i="134"/>
  <c r="R18" i="134"/>
  <c r="S18" i="134"/>
  <c r="T18" i="134"/>
  <c r="U18" i="134"/>
  <c r="V18" i="134"/>
  <c r="B19" i="134"/>
  <c r="D19" i="134"/>
  <c r="E19" i="134"/>
  <c r="J19" i="134"/>
  <c r="M19" i="134"/>
  <c r="O19" i="134"/>
  <c r="P19" i="134"/>
  <c r="Q19" i="134"/>
  <c r="R19" i="134"/>
  <c r="U19" i="134"/>
  <c r="B20" i="134"/>
  <c r="D20" i="134"/>
  <c r="E20" i="134"/>
  <c r="J20" i="134"/>
  <c r="L20" i="134"/>
  <c r="M20" i="134"/>
  <c r="O20" i="134"/>
  <c r="P20" i="134"/>
  <c r="Q20" i="134"/>
  <c r="R20" i="134"/>
  <c r="U20" i="134"/>
  <c r="B22" i="134"/>
  <c r="C22" i="134"/>
  <c r="D22" i="134"/>
  <c r="E22" i="134"/>
  <c r="F22" i="134"/>
  <c r="G22" i="134"/>
  <c r="H22" i="134"/>
  <c r="I22" i="134"/>
  <c r="J22" i="134"/>
  <c r="M22" i="134"/>
  <c r="N22" i="134"/>
  <c r="O22" i="134"/>
  <c r="P22" i="134"/>
  <c r="Q22" i="134"/>
  <c r="R22" i="134"/>
  <c r="U22" i="134"/>
  <c r="B23" i="134"/>
  <c r="C23" i="134"/>
  <c r="D23" i="134"/>
  <c r="E23" i="134"/>
  <c r="F23" i="134"/>
  <c r="G23" i="134"/>
  <c r="H23" i="134"/>
  <c r="I23" i="134"/>
  <c r="M23" i="134"/>
  <c r="N23" i="134"/>
  <c r="O23" i="134"/>
  <c r="P23" i="134"/>
  <c r="Q23" i="134"/>
  <c r="R23" i="134"/>
  <c r="U23" i="134"/>
  <c r="B24" i="134"/>
  <c r="C24" i="134"/>
  <c r="D24" i="134"/>
  <c r="E24" i="134"/>
  <c r="J24" i="134"/>
  <c r="M24" i="134"/>
  <c r="N24" i="134"/>
  <c r="O24" i="134"/>
  <c r="P24" i="134"/>
  <c r="Q24" i="134"/>
  <c r="R24" i="134"/>
  <c r="S24" i="134"/>
  <c r="U24" i="134"/>
  <c r="B25" i="134"/>
  <c r="C25" i="134"/>
  <c r="D25" i="134"/>
  <c r="E25" i="134"/>
  <c r="F25" i="134"/>
  <c r="G25" i="134"/>
  <c r="H25" i="134"/>
  <c r="I25" i="134"/>
  <c r="K25" i="134"/>
  <c r="M25" i="134"/>
  <c r="O25" i="134"/>
  <c r="P25" i="134"/>
  <c r="Q25" i="134"/>
  <c r="R25" i="134"/>
  <c r="B26" i="134"/>
  <c r="C26" i="134"/>
  <c r="D26" i="134"/>
  <c r="E26" i="134"/>
  <c r="F26" i="134"/>
  <c r="G26" i="134"/>
  <c r="H26" i="134"/>
  <c r="I26" i="134"/>
  <c r="K26" i="134"/>
  <c r="M26" i="134"/>
  <c r="O26" i="134"/>
  <c r="P26" i="134"/>
  <c r="Q26" i="134"/>
  <c r="R26" i="134"/>
  <c r="B27" i="134"/>
  <c r="C27" i="134"/>
  <c r="D27" i="134"/>
  <c r="E27" i="134"/>
  <c r="F27" i="134"/>
  <c r="G27" i="134"/>
  <c r="H27" i="134"/>
  <c r="I27" i="134"/>
  <c r="K27" i="134"/>
  <c r="M27" i="134"/>
  <c r="O27" i="134"/>
  <c r="P27" i="134"/>
  <c r="Q27" i="134"/>
  <c r="R27" i="134"/>
  <c r="B28" i="134"/>
  <c r="C28" i="134"/>
  <c r="D28" i="134"/>
  <c r="E28" i="134"/>
  <c r="F28" i="134"/>
  <c r="G28" i="134"/>
  <c r="H28" i="134"/>
  <c r="I28" i="134"/>
  <c r="K28" i="134"/>
  <c r="M28" i="134"/>
  <c r="O28" i="134"/>
  <c r="P28" i="134"/>
  <c r="Q28" i="134"/>
  <c r="R28" i="134"/>
  <c r="B29" i="134"/>
  <c r="C29" i="134"/>
  <c r="D29" i="134"/>
  <c r="E29" i="134"/>
  <c r="F29" i="134"/>
  <c r="G29" i="134"/>
  <c r="H29" i="134"/>
  <c r="I29" i="134"/>
  <c r="K29" i="134"/>
  <c r="M29" i="134"/>
  <c r="O29" i="134"/>
  <c r="P29" i="134"/>
  <c r="Q29" i="134"/>
  <c r="R29" i="134"/>
  <c r="B30" i="134"/>
  <c r="C30" i="134"/>
  <c r="D30" i="134"/>
  <c r="E30" i="134"/>
  <c r="F30" i="134"/>
  <c r="G30" i="134"/>
  <c r="H30" i="134"/>
  <c r="I30" i="134"/>
  <c r="J30" i="134"/>
  <c r="V30" i="134"/>
  <c r="B31" i="134"/>
  <c r="C31" i="134"/>
  <c r="D31" i="134"/>
  <c r="E31" i="134"/>
  <c r="F31" i="134"/>
  <c r="G31" i="134"/>
  <c r="H31" i="134"/>
  <c r="I31" i="134"/>
  <c r="J31" i="134"/>
  <c r="B32" i="134"/>
  <c r="C32" i="134"/>
  <c r="D32" i="134"/>
  <c r="E32" i="134"/>
  <c r="F32" i="134"/>
  <c r="G32" i="134"/>
  <c r="H32" i="134"/>
  <c r="I32" i="134"/>
  <c r="J32" i="134"/>
  <c r="B33" i="134"/>
  <c r="C33" i="134"/>
  <c r="D33" i="134"/>
  <c r="E33" i="134"/>
  <c r="F33" i="134"/>
  <c r="G33" i="134"/>
  <c r="H33" i="134"/>
  <c r="I33" i="134"/>
  <c r="J33" i="134"/>
  <c r="B34" i="134"/>
  <c r="C34" i="134"/>
  <c r="D34" i="134"/>
  <c r="E34" i="134"/>
  <c r="F34" i="134"/>
  <c r="G34" i="134"/>
  <c r="H34" i="134"/>
  <c r="I34" i="134"/>
  <c r="J34" i="134"/>
  <c r="B35" i="134"/>
  <c r="C35" i="134"/>
  <c r="D35" i="134"/>
  <c r="E35" i="134"/>
  <c r="F35" i="134"/>
  <c r="G35" i="134"/>
  <c r="H35" i="134"/>
  <c r="I35" i="134"/>
  <c r="J35" i="134"/>
  <c r="B36" i="134"/>
  <c r="C36" i="134"/>
  <c r="D36" i="134"/>
  <c r="E36" i="134"/>
  <c r="F36" i="134"/>
  <c r="G36" i="134"/>
  <c r="H36" i="134"/>
  <c r="I36" i="134"/>
  <c r="J36" i="134"/>
  <c r="B37" i="134"/>
  <c r="C37" i="134"/>
  <c r="D37" i="134"/>
  <c r="E37" i="134"/>
  <c r="F37" i="134"/>
  <c r="G37" i="134"/>
  <c r="H37" i="134"/>
  <c r="I37" i="134"/>
  <c r="J37" i="134"/>
  <c r="Y39" i="125"/>
  <c r="Y40" i="125" s="1"/>
  <c r="Y37" i="125"/>
  <c r="Y35" i="125"/>
  <c r="W30" i="125"/>
  <c r="W31" i="125" s="1"/>
  <c r="W32" i="125" s="1"/>
  <c r="W33" i="125" s="1"/>
  <c r="W34" i="125" s="1"/>
  <c r="W35" i="125" s="1"/>
  <c r="W36" i="125" s="1"/>
  <c r="W37" i="125" s="1"/>
  <c r="W38" i="125" s="1"/>
  <c r="W39" i="125" s="1"/>
  <c r="W40" i="125" s="1"/>
  <c r="W41" i="125" s="1"/>
  <c r="B111" i="134" l="1"/>
  <c r="C111" i="134"/>
  <c r="D111" i="134"/>
  <c r="E111" i="134"/>
  <c r="F111" i="134"/>
  <c r="G111" i="134"/>
  <c r="H111" i="134"/>
  <c r="I111" i="134"/>
  <c r="J111" i="134"/>
  <c r="K111" i="134"/>
  <c r="L111" i="134"/>
  <c r="M111" i="134"/>
  <c r="N111" i="134"/>
  <c r="O111" i="134"/>
  <c r="P111" i="134"/>
  <c r="B112" i="134"/>
  <c r="C112" i="134"/>
  <c r="D112" i="134"/>
  <c r="E112" i="134"/>
  <c r="F112" i="134"/>
  <c r="G112" i="134"/>
  <c r="H112" i="134"/>
  <c r="I112" i="134"/>
  <c r="J112" i="134"/>
  <c r="K112" i="134"/>
  <c r="L112" i="134"/>
  <c r="M112" i="134"/>
  <c r="N112" i="134"/>
  <c r="O112" i="134"/>
  <c r="P112" i="134"/>
  <c r="B113" i="134"/>
  <c r="C113" i="134"/>
  <c r="D113" i="134"/>
  <c r="E113" i="134"/>
  <c r="F113" i="134"/>
  <c r="G113" i="134"/>
  <c r="H113" i="134"/>
  <c r="I113" i="134"/>
  <c r="J113" i="134"/>
  <c r="K113" i="134"/>
  <c r="L113" i="134"/>
  <c r="M113" i="134"/>
  <c r="N113" i="134"/>
  <c r="O113" i="134"/>
  <c r="P113" i="134"/>
  <c r="B114" i="134"/>
  <c r="C114" i="134"/>
  <c r="D114" i="134"/>
  <c r="E114" i="134"/>
  <c r="F114" i="134"/>
  <c r="G114" i="134"/>
  <c r="H114" i="134"/>
  <c r="I114" i="134"/>
  <c r="J114" i="134"/>
  <c r="K114" i="134"/>
  <c r="L114" i="134"/>
  <c r="M114" i="134"/>
  <c r="N114" i="134"/>
  <c r="O114" i="134"/>
  <c r="P114" i="134"/>
  <c r="B115" i="134"/>
  <c r="C115" i="134"/>
  <c r="D115" i="134"/>
  <c r="E115" i="134"/>
  <c r="F115" i="134"/>
  <c r="G115" i="134"/>
  <c r="H115" i="134"/>
  <c r="I115" i="134"/>
  <c r="J115" i="134"/>
  <c r="K115" i="134"/>
  <c r="L115" i="134"/>
  <c r="M115" i="134"/>
  <c r="N115" i="134"/>
  <c r="O115" i="134"/>
  <c r="P115" i="134"/>
  <c r="B116" i="134"/>
  <c r="C116" i="134"/>
  <c r="D116" i="134"/>
  <c r="E116" i="134"/>
  <c r="F116" i="134"/>
  <c r="G116" i="134"/>
  <c r="H116" i="134"/>
  <c r="I116" i="134"/>
  <c r="J116" i="134"/>
  <c r="K116" i="134"/>
  <c r="L116" i="134"/>
  <c r="M116" i="134"/>
  <c r="N116" i="134"/>
  <c r="O116" i="134"/>
  <c r="P116" i="134"/>
  <c r="B117" i="134"/>
  <c r="C117" i="134"/>
  <c r="D117" i="134"/>
  <c r="E117" i="134"/>
  <c r="F117" i="134"/>
  <c r="G117" i="134"/>
  <c r="H117" i="134"/>
  <c r="I117" i="134"/>
  <c r="J117" i="134"/>
  <c r="K117" i="134"/>
  <c r="L117" i="134"/>
  <c r="M117" i="134"/>
  <c r="N117" i="134"/>
  <c r="O117" i="134"/>
  <c r="P117" i="134"/>
  <c r="B118" i="134"/>
  <c r="C118" i="134"/>
  <c r="D118" i="134"/>
  <c r="E118" i="134"/>
  <c r="F118" i="134"/>
  <c r="G118" i="134"/>
  <c r="H118" i="134"/>
  <c r="I118" i="134"/>
  <c r="J118" i="134"/>
  <c r="K118" i="134"/>
  <c r="L118" i="134"/>
  <c r="M118" i="134"/>
  <c r="N118" i="134"/>
  <c r="O118" i="134"/>
  <c r="P118" i="134"/>
  <c r="B119" i="134"/>
  <c r="C119" i="134"/>
  <c r="D119" i="134"/>
  <c r="E119" i="134"/>
  <c r="F119" i="134"/>
  <c r="G119" i="134"/>
  <c r="H119" i="134"/>
  <c r="I119" i="134"/>
  <c r="J119" i="134"/>
  <c r="K119" i="134"/>
  <c r="L119" i="134"/>
  <c r="M119" i="134"/>
  <c r="N119" i="134"/>
  <c r="O119" i="134"/>
  <c r="P119" i="134"/>
  <c r="B120" i="134"/>
  <c r="C120" i="134"/>
  <c r="D120" i="134"/>
  <c r="E120" i="134"/>
  <c r="F120" i="134"/>
  <c r="G120" i="134"/>
  <c r="H120" i="134"/>
  <c r="I120" i="134"/>
  <c r="J120" i="134"/>
  <c r="K120" i="134"/>
  <c r="L120" i="134"/>
  <c r="M120" i="134"/>
  <c r="N120" i="134"/>
  <c r="O120" i="134"/>
  <c r="P120" i="134"/>
  <c r="B121" i="134"/>
  <c r="C121" i="134"/>
  <c r="D121" i="134"/>
  <c r="E121" i="134"/>
  <c r="F121" i="134"/>
  <c r="G121" i="134"/>
  <c r="H121" i="134"/>
  <c r="I121" i="134"/>
  <c r="J121" i="134"/>
  <c r="K121" i="134"/>
  <c r="L121" i="134"/>
  <c r="M121" i="134"/>
  <c r="N121" i="134"/>
  <c r="O121" i="134"/>
  <c r="P121" i="134"/>
  <c r="B122" i="134"/>
  <c r="C122" i="134"/>
  <c r="D122" i="134"/>
  <c r="E122" i="134"/>
  <c r="F122" i="134"/>
  <c r="G122" i="134"/>
  <c r="H122" i="134"/>
  <c r="I122" i="134"/>
  <c r="J122" i="134"/>
  <c r="K122" i="134"/>
  <c r="L122" i="134"/>
  <c r="M122" i="134"/>
  <c r="N122" i="134"/>
  <c r="O122" i="134"/>
  <c r="P122" i="134"/>
  <c r="B123" i="134"/>
  <c r="C123" i="134"/>
  <c r="D123" i="134"/>
  <c r="E123" i="134"/>
  <c r="F123" i="134"/>
  <c r="G123" i="134"/>
  <c r="H123" i="134"/>
  <c r="I123" i="134"/>
  <c r="J123" i="134"/>
  <c r="K123" i="134"/>
  <c r="L123" i="134"/>
  <c r="M123" i="134"/>
  <c r="N123" i="134"/>
  <c r="O123" i="134"/>
  <c r="P123" i="134"/>
  <c r="B124" i="134"/>
  <c r="C124" i="134"/>
  <c r="D124" i="134"/>
  <c r="E124" i="134"/>
  <c r="F124" i="134"/>
  <c r="G124" i="134"/>
  <c r="H124" i="134"/>
  <c r="I124" i="134"/>
  <c r="J124" i="134"/>
  <c r="K124" i="134"/>
  <c r="L124" i="134"/>
  <c r="M124" i="134"/>
  <c r="N124" i="134"/>
  <c r="O124" i="134"/>
  <c r="P124" i="134"/>
  <c r="B125" i="134"/>
  <c r="C125" i="134"/>
  <c r="D125" i="134"/>
  <c r="E125" i="134"/>
  <c r="F125" i="134"/>
  <c r="G125" i="134"/>
  <c r="H125" i="134"/>
  <c r="I125" i="134"/>
  <c r="J125" i="134"/>
  <c r="K125" i="134"/>
  <c r="L125" i="134"/>
  <c r="M125" i="134"/>
  <c r="N125" i="134"/>
  <c r="O125" i="134"/>
  <c r="P125" i="134"/>
  <c r="B126" i="134"/>
  <c r="C126" i="134"/>
  <c r="D126" i="134"/>
  <c r="E126" i="134"/>
  <c r="F126" i="134"/>
  <c r="G126" i="134"/>
  <c r="H126" i="134"/>
  <c r="I126" i="134"/>
  <c r="J126" i="134"/>
  <c r="K126" i="134"/>
  <c r="L126" i="134"/>
  <c r="M126" i="134"/>
  <c r="N126" i="134"/>
  <c r="O126" i="134"/>
  <c r="P126" i="134"/>
  <c r="B127" i="134"/>
  <c r="C127" i="134"/>
  <c r="D127" i="134"/>
  <c r="E127" i="134"/>
  <c r="F127" i="134"/>
  <c r="G127" i="134"/>
  <c r="H127" i="134"/>
  <c r="I127" i="134"/>
  <c r="J127" i="134"/>
  <c r="K127" i="134"/>
  <c r="L127" i="134"/>
  <c r="M127" i="134"/>
  <c r="N127" i="134"/>
  <c r="O127" i="134"/>
  <c r="P127" i="134"/>
  <c r="B128" i="134"/>
  <c r="C128" i="134"/>
  <c r="D128" i="134"/>
  <c r="E128" i="134"/>
  <c r="F128" i="134"/>
  <c r="G128" i="134"/>
  <c r="H128" i="134"/>
  <c r="I128" i="134"/>
  <c r="J128" i="134"/>
  <c r="K128" i="134"/>
  <c r="L128" i="134"/>
  <c r="M128" i="134"/>
  <c r="N128" i="134"/>
  <c r="O128" i="134"/>
  <c r="P128" i="134"/>
  <c r="B129" i="134"/>
  <c r="C129" i="134"/>
  <c r="D129" i="134"/>
  <c r="E129" i="134"/>
  <c r="F129" i="134"/>
  <c r="G129" i="134"/>
  <c r="H129" i="134"/>
  <c r="I129" i="134"/>
  <c r="J129" i="134"/>
  <c r="K129" i="134"/>
  <c r="L129" i="134"/>
  <c r="M129" i="134"/>
  <c r="N129" i="134"/>
  <c r="O129" i="134"/>
  <c r="P129" i="134"/>
  <c r="B130" i="134"/>
  <c r="C130" i="134"/>
  <c r="D130" i="134"/>
  <c r="E130" i="134"/>
  <c r="F130" i="134"/>
  <c r="G130" i="134"/>
  <c r="H130" i="134"/>
  <c r="I130" i="134"/>
  <c r="J130" i="134"/>
  <c r="K130" i="134"/>
  <c r="L130" i="134"/>
  <c r="M130" i="134"/>
  <c r="N130" i="134"/>
  <c r="O130" i="134"/>
  <c r="P130" i="134"/>
  <c r="B131" i="134"/>
  <c r="C131" i="134"/>
  <c r="D131" i="134"/>
  <c r="E131" i="134"/>
  <c r="F131" i="134"/>
  <c r="G131" i="134"/>
  <c r="H131" i="134"/>
  <c r="I131" i="134"/>
  <c r="J131" i="134"/>
  <c r="K131" i="134"/>
  <c r="L131" i="134"/>
  <c r="M131" i="134"/>
  <c r="N131" i="134"/>
  <c r="O131" i="134"/>
  <c r="P131" i="134"/>
  <c r="B132" i="134"/>
  <c r="C132" i="134"/>
  <c r="D132" i="134"/>
  <c r="E132" i="134"/>
  <c r="F132" i="134"/>
  <c r="G132" i="134"/>
  <c r="H132" i="134"/>
  <c r="I132" i="134"/>
  <c r="J132" i="134"/>
  <c r="K132" i="134"/>
  <c r="L132" i="134"/>
  <c r="M132" i="134"/>
  <c r="N132" i="134"/>
  <c r="O132" i="134"/>
  <c r="P132" i="134"/>
  <c r="B133" i="134"/>
  <c r="C133" i="134"/>
  <c r="D133" i="134"/>
  <c r="E133" i="134"/>
  <c r="F133" i="134"/>
  <c r="G133" i="134"/>
  <c r="H133" i="134"/>
  <c r="I133" i="134"/>
  <c r="J133" i="134"/>
  <c r="K133" i="134"/>
  <c r="L133" i="134"/>
  <c r="M133" i="134"/>
  <c r="N133" i="134"/>
  <c r="O133" i="134"/>
  <c r="P133" i="134"/>
  <c r="B134" i="134"/>
  <c r="C134" i="134"/>
  <c r="D134" i="134"/>
  <c r="E134" i="134"/>
  <c r="F134" i="134"/>
  <c r="G134" i="134"/>
  <c r="H134" i="134"/>
  <c r="I134" i="134"/>
  <c r="J134" i="134"/>
  <c r="K134" i="134"/>
  <c r="L134" i="134"/>
  <c r="M134" i="134"/>
  <c r="N134" i="134"/>
  <c r="O134" i="134"/>
  <c r="P134" i="134"/>
  <c r="B135" i="134"/>
  <c r="C135" i="134"/>
  <c r="D135" i="134"/>
  <c r="E135" i="134"/>
  <c r="F135" i="134"/>
  <c r="G135" i="134"/>
  <c r="H135" i="134"/>
  <c r="I135" i="134"/>
  <c r="J135" i="134"/>
  <c r="K135" i="134"/>
  <c r="L135" i="134"/>
  <c r="M135" i="134"/>
  <c r="N135" i="134"/>
  <c r="O135" i="134"/>
  <c r="P135" i="134"/>
  <c r="B136" i="134"/>
  <c r="C136" i="134"/>
  <c r="D136" i="134"/>
  <c r="E136" i="134"/>
  <c r="F136" i="134"/>
  <c r="G136" i="134"/>
  <c r="H136" i="134"/>
  <c r="I136" i="134"/>
  <c r="J136" i="134"/>
  <c r="K136" i="134"/>
  <c r="L136" i="134"/>
  <c r="M136" i="134"/>
  <c r="N136" i="134"/>
  <c r="O136" i="134"/>
  <c r="P136" i="134"/>
  <c r="B137" i="134"/>
  <c r="C137" i="134"/>
  <c r="D137" i="134"/>
  <c r="E137" i="134"/>
  <c r="F137" i="134"/>
  <c r="G137" i="134"/>
  <c r="H137" i="134"/>
  <c r="I137" i="134"/>
  <c r="J137" i="134"/>
  <c r="K137" i="134"/>
  <c r="L137" i="134"/>
  <c r="M137" i="134"/>
  <c r="N137" i="134"/>
  <c r="O137" i="134"/>
  <c r="P137" i="134"/>
  <c r="B138" i="134"/>
  <c r="C138" i="134"/>
  <c r="D138" i="134"/>
  <c r="E138" i="134"/>
  <c r="F138" i="134"/>
  <c r="G138" i="134"/>
  <c r="H138" i="134"/>
  <c r="I138" i="134"/>
  <c r="J138" i="134"/>
  <c r="K138" i="134"/>
  <c r="L138" i="134"/>
  <c r="M138" i="134"/>
  <c r="N138" i="134"/>
  <c r="O138" i="134"/>
  <c r="P138" i="134"/>
  <c r="B139" i="134"/>
  <c r="C139" i="134"/>
  <c r="D139" i="134"/>
  <c r="E139" i="134"/>
  <c r="F139" i="134"/>
  <c r="G139" i="134"/>
  <c r="H139" i="134"/>
  <c r="I139" i="134"/>
  <c r="J139" i="134"/>
  <c r="K139" i="134"/>
  <c r="L139" i="134"/>
  <c r="M139" i="134"/>
  <c r="N139" i="134"/>
  <c r="O139" i="134"/>
  <c r="P139" i="134"/>
  <c r="B140" i="134"/>
  <c r="C140" i="134"/>
  <c r="D140" i="134"/>
  <c r="E140" i="134"/>
  <c r="F140" i="134"/>
  <c r="G140" i="134"/>
  <c r="H140" i="134"/>
  <c r="I140" i="134"/>
  <c r="J140" i="134"/>
  <c r="K140" i="134"/>
  <c r="L140" i="134"/>
  <c r="M140" i="134"/>
  <c r="N140" i="134"/>
  <c r="O140" i="134"/>
  <c r="P140" i="134"/>
  <c r="B141" i="134"/>
  <c r="C141" i="134"/>
  <c r="D141" i="134"/>
  <c r="E141" i="134"/>
  <c r="F141" i="134"/>
  <c r="G141" i="134"/>
  <c r="H141" i="134"/>
  <c r="I141" i="134"/>
  <c r="J141" i="134"/>
  <c r="K141" i="134"/>
  <c r="L141" i="134"/>
  <c r="M141" i="134"/>
  <c r="N141" i="134"/>
  <c r="O141" i="134"/>
  <c r="P141" i="134"/>
  <c r="B142" i="134"/>
  <c r="C142" i="134"/>
  <c r="D142" i="134"/>
  <c r="E142" i="134"/>
  <c r="F142" i="134"/>
  <c r="G142" i="134"/>
  <c r="H142" i="134"/>
  <c r="I142" i="134"/>
  <c r="J142" i="134"/>
  <c r="K142" i="134"/>
  <c r="L142" i="134"/>
  <c r="M142" i="134"/>
  <c r="N142" i="134"/>
  <c r="O142" i="134"/>
  <c r="P142" i="134"/>
  <c r="B143" i="134"/>
  <c r="C143" i="134"/>
  <c r="D143" i="134"/>
  <c r="E143" i="134"/>
  <c r="F143" i="134"/>
  <c r="G143" i="134"/>
  <c r="H143" i="134"/>
  <c r="I143" i="134"/>
  <c r="J143" i="134"/>
  <c r="K143" i="134"/>
  <c r="L143" i="134"/>
  <c r="M143" i="134"/>
  <c r="N143" i="134"/>
  <c r="O143" i="134"/>
  <c r="P143" i="134"/>
  <c r="B144" i="134"/>
  <c r="C144" i="134"/>
  <c r="D144" i="134"/>
  <c r="E144" i="134"/>
  <c r="F144" i="134"/>
  <c r="G144" i="134"/>
  <c r="H144" i="134"/>
  <c r="I144" i="134"/>
  <c r="J144" i="134"/>
  <c r="K144" i="134"/>
  <c r="L144" i="134"/>
  <c r="M144" i="134"/>
  <c r="N144" i="134"/>
  <c r="O144" i="134"/>
  <c r="P144" i="134"/>
  <c r="B145" i="134"/>
  <c r="C145" i="134"/>
  <c r="D145" i="134"/>
  <c r="E145" i="134"/>
  <c r="F145" i="134"/>
  <c r="G145" i="134"/>
  <c r="H145" i="134"/>
  <c r="I145" i="134"/>
  <c r="J145" i="134"/>
  <c r="K145" i="134"/>
  <c r="L145" i="134"/>
  <c r="M145" i="134"/>
  <c r="N145" i="134"/>
  <c r="O145" i="134"/>
  <c r="P145" i="134"/>
  <c r="B146" i="134"/>
  <c r="C146" i="134"/>
  <c r="D146" i="134"/>
  <c r="E146" i="134"/>
  <c r="F146" i="134"/>
  <c r="G146" i="134"/>
  <c r="H146" i="134"/>
  <c r="I146" i="134"/>
  <c r="J146" i="134"/>
  <c r="K146" i="134"/>
  <c r="L146" i="134"/>
  <c r="M146" i="134"/>
  <c r="N146" i="134"/>
  <c r="O146" i="134"/>
  <c r="P146" i="134"/>
  <c r="B147" i="134"/>
  <c r="C147" i="134"/>
  <c r="D147" i="134"/>
  <c r="E147" i="134"/>
  <c r="F147" i="134"/>
  <c r="G147" i="134"/>
  <c r="H147" i="134"/>
  <c r="I147" i="134"/>
  <c r="J147" i="134"/>
  <c r="K147" i="134"/>
  <c r="L147" i="134"/>
  <c r="M147" i="134"/>
  <c r="N147" i="134"/>
  <c r="O147" i="134"/>
  <c r="P147" i="134"/>
  <c r="B148" i="134"/>
  <c r="C148" i="134"/>
  <c r="D148" i="134"/>
  <c r="E148" i="134"/>
  <c r="F148" i="134"/>
  <c r="G148" i="134"/>
  <c r="H148" i="134"/>
  <c r="I148" i="134"/>
  <c r="J148" i="134"/>
  <c r="K148" i="134"/>
  <c r="L148" i="134"/>
  <c r="M148" i="134"/>
  <c r="N148" i="134"/>
  <c r="O148" i="134"/>
  <c r="P148" i="134"/>
  <c r="B149" i="134"/>
  <c r="C149" i="134"/>
  <c r="D149" i="134"/>
  <c r="E149" i="134"/>
  <c r="F149" i="134"/>
  <c r="G149" i="134"/>
  <c r="H149" i="134"/>
  <c r="I149" i="134"/>
  <c r="J149" i="134"/>
  <c r="K149" i="134"/>
  <c r="L149" i="134"/>
  <c r="M149" i="134"/>
  <c r="N149" i="134"/>
  <c r="O149" i="134"/>
  <c r="P149" i="134"/>
  <c r="B150" i="134"/>
  <c r="C150" i="134"/>
  <c r="D150" i="134"/>
  <c r="E150" i="134"/>
  <c r="F150" i="134"/>
  <c r="G150" i="134"/>
  <c r="H150" i="134"/>
  <c r="I150" i="134"/>
  <c r="J150" i="134"/>
  <c r="K150" i="134"/>
  <c r="L150" i="134"/>
  <c r="M150" i="134"/>
  <c r="N150" i="134"/>
  <c r="O150" i="134"/>
  <c r="P150" i="134"/>
  <c r="B151" i="134"/>
  <c r="C151" i="134"/>
  <c r="D151" i="134"/>
  <c r="E151" i="134"/>
  <c r="F151" i="134"/>
  <c r="G151" i="134"/>
  <c r="H151" i="134"/>
  <c r="I151" i="134"/>
  <c r="J151" i="134"/>
  <c r="K151" i="134"/>
  <c r="L151" i="134"/>
  <c r="M151" i="134"/>
  <c r="N151" i="134"/>
  <c r="O151" i="134"/>
  <c r="P151" i="134"/>
  <c r="B152" i="134"/>
  <c r="C152" i="134"/>
  <c r="D152" i="134"/>
  <c r="E152" i="134"/>
  <c r="F152" i="134"/>
  <c r="G152" i="134"/>
  <c r="H152" i="134"/>
  <c r="I152" i="134"/>
  <c r="J152" i="134"/>
  <c r="K152" i="134"/>
  <c r="L152" i="134"/>
  <c r="M152" i="134"/>
  <c r="N152" i="134"/>
  <c r="O152" i="134"/>
  <c r="P152" i="134"/>
  <c r="B153" i="134"/>
  <c r="C153" i="134"/>
  <c r="D153" i="134"/>
  <c r="E153" i="134"/>
  <c r="F153" i="134"/>
  <c r="G153" i="134"/>
  <c r="H153" i="134"/>
  <c r="I153" i="134"/>
  <c r="J153" i="134"/>
  <c r="K153" i="134"/>
  <c r="L153" i="134"/>
  <c r="M153" i="134"/>
  <c r="N153" i="134"/>
  <c r="O153" i="134"/>
  <c r="P153" i="134"/>
  <c r="B154" i="134"/>
  <c r="C154" i="134"/>
  <c r="D154" i="134"/>
  <c r="E154" i="134"/>
  <c r="F154" i="134"/>
  <c r="G154" i="134"/>
  <c r="H154" i="134"/>
  <c r="I154" i="134"/>
  <c r="J154" i="134"/>
  <c r="K154" i="134"/>
  <c r="L154" i="134"/>
  <c r="M154" i="134"/>
  <c r="N154" i="134"/>
  <c r="O154" i="134"/>
  <c r="P154" i="134"/>
  <c r="B155" i="134"/>
  <c r="C155" i="134"/>
  <c r="D155" i="134"/>
  <c r="E155" i="134"/>
  <c r="F155" i="134"/>
  <c r="G155" i="134"/>
  <c r="H155" i="134"/>
  <c r="I155" i="134"/>
  <c r="J155" i="134"/>
  <c r="K155" i="134"/>
  <c r="L155" i="134"/>
  <c r="M155" i="134"/>
  <c r="N155" i="134"/>
  <c r="O155" i="134"/>
  <c r="P155" i="134"/>
  <c r="B156" i="134"/>
  <c r="C156" i="134"/>
  <c r="D156" i="134"/>
  <c r="E156" i="134"/>
  <c r="F156" i="134"/>
  <c r="G156" i="134"/>
  <c r="H156" i="134"/>
  <c r="I156" i="134"/>
  <c r="J156" i="134"/>
  <c r="K156" i="134"/>
  <c r="L156" i="134"/>
  <c r="M156" i="134"/>
  <c r="N156" i="134"/>
  <c r="O156" i="134"/>
  <c r="P156" i="134"/>
  <c r="B157" i="134"/>
  <c r="C157" i="134"/>
  <c r="D157" i="134"/>
  <c r="E157" i="134"/>
  <c r="F157" i="134"/>
  <c r="G157" i="134"/>
  <c r="H157" i="134"/>
  <c r="I157" i="134"/>
  <c r="J157" i="134"/>
  <c r="K157" i="134"/>
  <c r="L157" i="134"/>
  <c r="M157" i="134"/>
  <c r="N157" i="134"/>
  <c r="O157" i="134"/>
  <c r="P157" i="134"/>
  <c r="B158" i="134"/>
  <c r="C158" i="134"/>
  <c r="D158" i="134"/>
  <c r="E158" i="134"/>
  <c r="F158" i="134"/>
  <c r="G158" i="134"/>
  <c r="H158" i="134"/>
  <c r="I158" i="134"/>
  <c r="J158" i="134"/>
  <c r="K158" i="134"/>
  <c r="L158" i="134"/>
  <c r="M158" i="134"/>
  <c r="N158" i="134"/>
  <c r="O158" i="134"/>
  <c r="P158" i="134"/>
  <c r="B159" i="134"/>
  <c r="C159" i="134"/>
  <c r="D159" i="134"/>
  <c r="E159" i="134"/>
  <c r="F159" i="134"/>
  <c r="G159" i="134"/>
  <c r="H159" i="134"/>
  <c r="I159" i="134"/>
  <c r="J159" i="134"/>
  <c r="K159" i="134"/>
  <c r="L159" i="134"/>
  <c r="M159" i="134"/>
  <c r="N159" i="134"/>
  <c r="O159" i="134"/>
  <c r="P159" i="134"/>
  <c r="B160" i="134"/>
  <c r="C160" i="134"/>
  <c r="D160" i="134"/>
  <c r="E160" i="134"/>
  <c r="F160" i="134"/>
  <c r="G160" i="134"/>
  <c r="H160" i="134"/>
  <c r="I160" i="134"/>
  <c r="J160" i="134"/>
  <c r="K160" i="134"/>
  <c r="L160" i="134"/>
  <c r="M160" i="134"/>
  <c r="N160" i="134"/>
  <c r="O160" i="134"/>
  <c r="P160" i="134"/>
  <c r="B161" i="134"/>
  <c r="C161" i="134"/>
  <c r="D161" i="134"/>
  <c r="E161" i="134"/>
  <c r="F161" i="134"/>
  <c r="G161" i="134"/>
  <c r="H161" i="134"/>
  <c r="I161" i="134"/>
  <c r="J161" i="134"/>
  <c r="K161" i="134"/>
  <c r="L161" i="134"/>
  <c r="M161" i="134"/>
  <c r="N161" i="134"/>
  <c r="O161" i="134"/>
  <c r="P161" i="134"/>
  <c r="B162" i="134"/>
  <c r="C162" i="134"/>
  <c r="D162" i="134"/>
  <c r="E162" i="134"/>
  <c r="F162" i="134"/>
  <c r="G162" i="134"/>
  <c r="H162" i="134"/>
  <c r="I162" i="134"/>
  <c r="J162" i="134"/>
  <c r="K162" i="134"/>
  <c r="L162" i="134"/>
  <c r="M162" i="134"/>
  <c r="N162" i="134"/>
  <c r="O162" i="134"/>
  <c r="P162" i="134"/>
  <c r="B163" i="134"/>
  <c r="C163" i="134"/>
  <c r="D163" i="134"/>
  <c r="E163" i="134"/>
  <c r="F163" i="134"/>
  <c r="G163" i="134"/>
  <c r="H163" i="134"/>
  <c r="I163" i="134"/>
  <c r="J163" i="134"/>
  <c r="K163" i="134"/>
  <c r="L163" i="134"/>
  <c r="M163" i="134"/>
  <c r="N163" i="134"/>
  <c r="O163" i="134"/>
  <c r="P163" i="134"/>
  <c r="B164" i="134"/>
  <c r="C164" i="134"/>
  <c r="D164" i="134"/>
  <c r="E164" i="134"/>
  <c r="F164" i="134"/>
  <c r="G164" i="134"/>
  <c r="H164" i="134"/>
  <c r="I164" i="134"/>
  <c r="J164" i="134"/>
  <c r="K164" i="134"/>
  <c r="L164" i="134"/>
  <c r="M164" i="134"/>
  <c r="N164" i="134"/>
  <c r="O164" i="134"/>
  <c r="P164" i="134"/>
  <c r="B165" i="134"/>
  <c r="C165" i="134"/>
  <c r="D165" i="134"/>
  <c r="E165" i="134"/>
  <c r="F165" i="134"/>
  <c r="G165" i="134"/>
  <c r="H165" i="134"/>
  <c r="I165" i="134"/>
  <c r="J165" i="134"/>
  <c r="K165" i="134"/>
  <c r="L165" i="134"/>
  <c r="M165" i="134"/>
  <c r="N165" i="134"/>
  <c r="O165" i="134"/>
  <c r="P165" i="134"/>
  <c r="B166" i="134"/>
  <c r="C166" i="134"/>
  <c r="D166" i="134"/>
  <c r="E166" i="134"/>
  <c r="F166" i="134"/>
  <c r="G166" i="134"/>
  <c r="H166" i="134"/>
  <c r="I166" i="134"/>
  <c r="J166" i="134"/>
  <c r="K166" i="134"/>
  <c r="L166" i="134"/>
  <c r="M166" i="134"/>
  <c r="N166" i="134"/>
  <c r="O166" i="134"/>
  <c r="P166" i="134"/>
  <c r="B167" i="134"/>
  <c r="C167" i="134"/>
  <c r="D167" i="134"/>
  <c r="E167" i="134"/>
  <c r="F167" i="134"/>
  <c r="G167" i="134"/>
  <c r="H167" i="134"/>
  <c r="I167" i="134"/>
  <c r="J167" i="134"/>
  <c r="K167" i="134"/>
  <c r="L167" i="134"/>
  <c r="M167" i="134"/>
  <c r="N167" i="134"/>
  <c r="O167" i="134"/>
  <c r="P167" i="134"/>
  <c r="B168" i="134"/>
  <c r="C168" i="134"/>
  <c r="D168" i="134"/>
  <c r="E168" i="134"/>
  <c r="F168" i="134"/>
  <c r="G168" i="134"/>
  <c r="H168" i="134"/>
  <c r="I168" i="134"/>
  <c r="J168" i="134"/>
  <c r="K168" i="134"/>
  <c r="L168" i="134"/>
  <c r="M168" i="134"/>
  <c r="N168" i="134"/>
  <c r="O168" i="134"/>
  <c r="P168" i="134"/>
  <c r="B169" i="134"/>
  <c r="C169" i="134"/>
  <c r="D169" i="134"/>
  <c r="E169" i="134"/>
  <c r="F169" i="134"/>
  <c r="G169" i="134"/>
  <c r="H169" i="134"/>
  <c r="I169" i="134"/>
  <c r="J169" i="134"/>
  <c r="K169" i="134"/>
  <c r="L169" i="134"/>
  <c r="M169" i="134"/>
  <c r="N169" i="134"/>
  <c r="O169" i="134"/>
  <c r="P169" i="134"/>
  <c r="B170" i="134"/>
  <c r="C170" i="134"/>
  <c r="D170" i="134"/>
  <c r="E170" i="134"/>
  <c r="F170" i="134"/>
  <c r="G170" i="134"/>
  <c r="H170" i="134"/>
  <c r="I170" i="134"/>
  <c r="J170" i="134"/>
  <c r="K170" i="134"/>
  <c r="L170" i="134"/>
  <c r="M170" i="134"/>
  <c r="N170" i="134"/>
  <c r="O170" i="134"/>
  <c r="P170" i="134"/>
  <c r="B171" i="134"/>
  <c r="C171" i="134"/>
  <c r="D171" i="134"/>
  <c r="E171" i="134"/>
  <c r="F171" i="134"/>
  <c r="G171" i="134"/>
  <c r="H171" i="134"/>
  <c r="I171" i="134"/>
  <c r="J171" i="134"/>
  <c r="K171" i="134"/>
  <c r="L171" i="134"/>
  <c r="M171" i="134"/>
  <c r="N171" i="134"/>
  <c r="O171" i="134"/>
  <c r="P171" i="134"/>
  <c r="B172" i="134"/>
  <c r="C172" i="134"/>
  <c r="D172" i="134"/>
  <c r="E172" i="134"/>
  <c r="F172" i="134"/>
  <c r="G172" i="134"/>
  <c r="H172" i="134"/>
  <c r="I172" i="134"/>
  <c r="J172" i="134"/>
  <c r="K172" i="134"/>
  <c r="L172" i="134"/>
  <c r="M172" i="134"/>
  <c r="N172" i="134"/>
  <c r="O172" i="134"/>
  <c r="P172" i="134"/>
  <c r="I26" i="108" l="1"/>
  <c r="E3" i="133" l="1"/>
  <c r="F3" i="133"/>
  <c r="F20" i="133" s="1"/>
  <c r="E7" i="133"/>
  <c r="F7" i="133"/>
  <c r="E12" i="133"/>
  <c r="F12" i="133"/>
  <c r="F22" i="133" s="1"/>
  <c r="D17" i="133"/>
  <c r="E17" i="133" l="1"/>
  <c r="F17" i="133"/>
  <c r="F21" i="133"/>
  <c r="X47" i="104"/>
  <c r="F23" i="133" l="1"/>
  <c r="J101" i="95"/>
  <c r="K101" i="95" s="1"/>
  <c r="L101" i="95" s="1"/>
  <c r="M101" i="95" s="1"/>
  <c r="N101" i="95" s="1"/>
  <c r="O101" i="95" s="1"/>
  <c r="P101" i="95" s="1"/>
  <c r="Q101" i="95" s="1"/>
  <c r="R101" i="95" s="1"/>
  <c r="S101" i="95" s="1"/>
  <c r="T101" i="95" s="1"/>
  <c r="U101" i="95" s="1"/>
  <c r="V101" i="95" s="1"/>
  <c r="W101" i="95" s="1"/>
  <c r="X101" i="95" s="1"/>
  <c r="Y101" i="95" s="1"/>
  <c r="Z101" i="95" s="1"/>
  <c r="AA101" i="95" s="1"/>
  <c r="AB101" i="95" s="1"/>
  <c r="J100" i="95"/>
  <c r="K100" i="95" s="1"/>
  <c r="L100" i="95" s="1"/>
  <c r="M100" i="95" s="1"/>
  <c r="N100" i="95" s="1"/>
  <c r="O100" i="95" s="1"/>
  <c r="P100" i="95" s="1"/>
  <c r="Q100" i="95" s="1"/>
  <c r="R100" i="95" s="1"/>
  <c r="S100" i="95" s="1"/>
  <c r="T100" i="95" s="1"/>
  <c r="U100" i="95" s="1"/>
  <c r="V100" i="95" s="1"/>
  <c r="W100" i="95" s="1"/>
  <c r="X100" i="95" s="1"/>
  <c r="Y100" i="95" s="1"/>
  <c r="Z100" i="95" s="1"/>
  <c r="AA100" i="95" s="1"/>
  <c r="AB100" i="95" s="1"/>
  <c r="F11" i="94" l="1"/>
  <c r="G11" i="94" s="1"/>
  <c r="H11" i="94" s="1"/>
  <c r="I11" i="94" s="1"/>
  <c r="J11" i="94" s="1"/>
  <c r="N5" i="94" l="1"/>
  <c r="C60" i="108"/>
  <c r="J74" i="100"/>
  <c r="K74" i="100" s="1"/>
  <c r="J70" i="100"/>
  <c r="K70" i="100" s="1"/>
  <c r="J66" i="100"/>
  <c r="K66" i="100" s="1"/>
  <c r="J50" i="100"/>
  <c r="E44" i="131"/>
  <c r="F44" i="131"/>
  <c r="D44" i="131"/>
  <c r="D13" i="131"/>
  <c r="E13" i="131" s="1"/>
  <c r="E39" i="104"/>
  <c r="E37" i="2"/>
  <c r="C45" i="108"/>
  <c r="C44" i="108"/>
  <c r="G66" i="108"/>
  <c r="F51" i="131" s="1"/>
  <c r="D50" i="131"/>
  <c r="E50" i="131"/>
  <c r="D51" i="131"/>
  <c r="E51" i="131"/>
  <c r="E49" i="131"/>
  <c r="D49" i="131"/>
  <c r="C53" i="104"/>
  <c r="C51" i="2" s="1"/>
  <c r="D51" i="2" s="1"/>
  <c r="E51" i="2" s="1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R51" i="2" s="1"/>
  <c r="S51" i="2" s="1"/>
  <c r="T51" i="2" s="1"/>
  <c r="U51" i="2" s="1"/>
  <c r="V51" i="2" s="1"/>
  <c r="W51" i="2" s="1"/>
  <c r="X51" i="2" s="1"/>
  <c r="P17" i="132"/>
  <c r="P18" i="132"/>
  <c r="P19" i="132"/>
  <c r="P20" i="132"/>
  <c r="P21" i="132"/>
  <c r="P22" i="132"/>
  <c r="P23" i="132"/>
  <c r="P24" i="132"/>
  <c r="P25" i="132"/>
  <c r="P26" i="132"/>
  <c r="P27" i="132"/>
  <c r="L4" i="80"/>
  <c r="M4" i="80"/>
  <c r="N4" i="80"/>
  <c r="O4" i="80"/>
  <c r="P4" i="80"/>
  <c r="Q4" i="80"/>
  <c r="R4" i="80"/>
  <c r="S4" i="80"/>
  <c r="T4" i="80"/>
  <c r="U4" i="80"/>
  <c r="V4" i="80"/>
  <c r="W4" i="80"/>
  <c r="X4" i="80"/>
  <c r="Y4" i="80"/>
  <c r="Z4" i="80"/>
  <c r="C27" i="132"/>
  <c r="D26" i="132"/>
  <c r="E26" i="132" s="1"/>
  <c r="F26" i="132" s="1"/>
  <c r="G26" i="132" s="1"/>
  <c r="H26" i="132" s="1"/>
  <c r="D25" i="132"/>
  <c r="E25" i="132" s="1"/>
  <c r="F25" i="132" s="1"/>
  <c r="G25" i="132" s="1"/>
  <c r="D24" i="132"/>
  <c r="E24" i="132" s="1"/>
  <c r="F24" i="132" s="1"/>
  <c r="G24" i="132" s="1"/>
  <c r="H24" i="132" s="1"/>
  <c r="I24" i="132" s="1"/>
  <c r="J24" i="132" s="1"/>
  <c r="K24" i="132" s="1"/>
  <c r="L24" i="132" s="1"/>
  <c r="M24" i="132" s="1"/>
  <c r="N24" i="132" s="1"/>
  <c r="O24" i="132" s="1"/>
  <c r="D23" i="132"/>
  <c r="E23" i="132" s="1"/>
  <c r="F23" i="132" s="1"/>
  <c r="G23" i="132" s="1"/>
  <c r="H23" i="132" s="1"/>
  <c r="I23" i="132" s="1"/>
  <c r="D22" i="132"/>
  <c r="E22" i="132" s="1"/>
  <c r="F22" i="132" s="1"/>
  <c r="D21" i="132"/>
  <c r="E21" i="132" s="1"/>
  <c r="F21" i="132" s="1"/>
  <c r="D20" i="132"/>
  <c r="E20" i="132" s="1"/>
  <c r="F20" i="132" s="1"/>
  <c r="D19" i="132"/>
  <c r="E19" i="132" s="1"/>
  <c r="D18" i="132"/>
  <c r="E18" i="132" s="1"/>
  <c r="F18" i="132" s="1"/>
  <c r="G18" i="132" s="1"/>
  <c r="H18" i="132" s="1"/>
  <c r="D17" i="132"/>
  <c r="E17" i="132" s="1"/>
  <c r="D53" i="104" l="1"/>
  <c r="D54" i="104" s="1"/>
  <c r="C54" i="104"/>
  <c r="C55" i="104" s="1"/>
  <c r="D55" i="104" s="1"/>
  <c r="C1" i="132"/>
  <c r="I18" i="132"/>
  <c r="J18" i="132" s="1"/>
  <c r="F19" i="132"/>
  <c r="G20" i="132"/>
  <c r="H20" i="132" s="1"/>
  <c r="G21" i="132"/>
  <c r="H21" i="132" s="1"/>
  <c r="I21" i="132" s="1"/>
  <c r="H25" i="132"/>
  <c r="G22" i="132"/>
  <c r="H22" i="132" s="1"/>
  <c r="I22" i="132" s="1"/>
  <c r="E27" i="132"/>
  <c r="F17" i="132"/>
  <c r="I26" i="132"/>
  <c r="J26" i="132" s="1"/>
  <c r="J23" i="132"/>
  <c r="K23" i="132" s="1"/>
  <c r="L23" i="132" s="1"/>
  <c r="M23" i="132" s="1"/>
  <c r="N23" i="132" s="1"/>
  <c r="O23" i="132" s="1"/>
  <c r="D27" i="132"/>
  <c r="F46" i="131"/>
  <c r="E46" i="131"/>
  <c r="D46" i="131"/>
  <c r="F45" i="131"/>
  <c r="E45" i="131"/>
  <c r="D45" i="131"/>
  <c r="F43" i="131"/>
  <c r="E43" i="131"/>
  <c r="D43" i="131"/>
  <c r="D36" i="126"/>
  <c r="E36" i="126"/>
  <c r="F36" i="126"/>
  <c r="D37" i="126"/>
  <c r="E37" i="126"/>
  <c r="F37" i="126"/>
  <c r="E35" i="126"/>
  <c r="F35" i="126"/>
  <c r="D35" i="126"/>
  <c r="G65" i="108"/>
  <c r="F50" i="131" s="1"/>
  <c r="G64" i="108"/>
  <c r="F49" i="131" s="1"/>
  <c r="K56" i="94"/>
  <c r="H46" i="94"/>
  <c r="H36" i="94"/>
  <c r="K4" i="125" l="1"/>
  <c r="L4" i="125"/>
  <c r="M4" i="125"/>
  <c r="E53" i="104"/>
  <c r="E54" i="104" s="1"/>
  <c r="E55" i="104" s="1"/>
  <c r="D1" i="132"/>
  <c r="F27" i="132"/>
  <c r="G17" i="132"/>
  <c r="I20" i="132"/>
  <c r="K26" i="132"/>
  <c r="J21" i="132"/>
  <c r="G19" i="132"/>
  <c r="J22" i="132"/>
  <c r="I25" i="132"/>
  <c r="K18" i="132"/>
  <c r="C39" i="108"/>
  <c r="C34" i="108"/>
  <c r="C38" i="108"/>
  <c r="C32" i="108"/>
  <c r="C33" i="108"/>
  <c r="C31" i="108"/>
  <c r="P32" i="55"/>
  <c r="Q32" i="55" s="1"/>
  <c r="R32" i="55" s="1"/>
  <c r="S32" i="55" s="1"/>
  <c r="T32" i="55" s="1"/>
  <c r="U32" i="55" s="1"/>
  <c r="V32" i="55" s="1"/>
  <c r="W32" i="55" s="1"/>
  <c r="X32" i="55" s="1"/>
  <c r="Y32" i="55" s="1"/>
  <c r="Z32" i="55" s="1"/>
  <c r="AA32" i="55" s="1"/>
  <c r="AB32" i="55" s="1"/>
  <c r="M53" i="94"/>
  <c r="M51" i="94" s="1"/>
  <c r="M52" i="94"/>
  <c r="M48" i="94"/>
  <c r="L48" i="94"/>
  <c r="K48" i="94"/>
  <c r="F47" i="94"/>
  <c r="G47" i="94" s="1"/>
  <c r="H47" i="94" s="1"/>
  <c r="I47" i="94" s="1"/>
  <c r="J47" i="94" s="1"/>
  <c r="K47" i="94" s="1"/>
  <c r="L47" i="94" s="1"/>
  <c r="M47" i="94" s="1"/>
  <c r="E47" i="94"/>
  <c r="E37" i="94"/>
  <c r="F37" i="94" s="1"/>
  <c r="G37" i="94" s="1"/>
  <c r="H37" i="94" s="1"/>
  <c r="I37" i="94" s="1"/>
  <c r="J37" i="94" s="1"/>
  <c r="K37" i="94" s="1"/>
  <c r="L37" i="94" s="1"/>
  <c r="M37" i="94" s="1"/>
  <c r="K38" i="94"/>
  <c r="L38" i="94"/>
  <c r="M38" i="94"/>
  <c r="M42" i="94"/>
  <c r="M43" i="94"/>
  <c r="E27" i="94"/>
  <c r="F27" i="94" s="1"/>
  <c r="G27" i="94" s="1"/>
  <c r="H27" i="94" s="1"/>
  <c r="I27" i="94" s="1"/>
  <c r="J27" i="94" s="1"/>
  <c r="K27" i="94" s="1"/>
  <c r="L27" i="94" s="1"/>
  <c r="M27" i="94" s="1"/>
  <c r="K28" i="94"/>
  <c r="L28" i="94"/>
  <c r="M28" i="94"/>
  <c r="M32" i="94"/>
  <c r="M33" i="94"/>
  <c r="AC3" i="123"/>
  <c r="L41" i="125"/>
  <c r="L38" i="125"/>
  <c r="L39" i="125" s="1"/>
  <c r="L40" i="125" s="1"/>
  <c r="L36" i="125"/>
  <c r="L34" i="125"/>
  <c r="L35" i="125" s="1"/>
  <c r="L37" i="125" s="1"/>
  <c r="F53" i="104" l="1"/>
  <c r="F54" i="104" s="1"/>
  <c r="F55" i="104" s="1"/>
  <c r="E1" i="132"/>
  <c r="J25" i="132"/>
  <c r="H19" i="132"/>
  <c r="J20" i="132"/>
  <c r="K21" i="132"/>
  <c r="G27" i="132"/>
  <c r="H17" i="132"/>
  <c r="L18" i="132"/>
  <c r="L26" i="132"/>
  <c r="K22" i="132"/>
  <c r="M41" i="94"/>
  <c r="C24" i="94"/>
  <c r="K22" i="94" s="1"/>
  <c r="O32" i="97" s="1"/>
  <c r="P32" i="97" s="1"/>
  <c r="Q32" i="97" s="1"/>
  <c r="R32" i="97" s="1"/>
  <c r="S32" i="97" s="1"/>
  <c r="T32" i="97" s="1"/>
  <c r="U32" i="97" s="1"/>
  <c r="V32" i="97" s="1"/>
  <c r="W32" i="97" s="1"/>
  <c r="X32" i="97" s="1"/>
  <c r="Y32" i="97" s="1"/>
  <c r="Z32" i="97" s="1"/>
  <c r="AA32" i="97" s="1"/>
  <c r="AB32" i="97" s="1"/>
  <c r="M31" i="94"/>
  <c r="BE43" i="125"/>
  <c r="G53" i="104" l="1"/>
  <c r="G54" i="104" s="1"/>
  <c r="G55" i="104"/>
  <c r="H53" i="104"/>
  <c r="H54" i="104" s="1"/>
  <c r="F1" i="132"/>
  <c r="L22" i="132"/>
  <c r="L21" i="132"/>
  <c r="M26" i="132"/>
  <c r="K20" i="132"/>
  <c r="I19" i="132"/>
  <c r="H27" i="132"/>
  <c r="I17" i="132"/>
  <c r="K25" i="132"/>
  <c r="M18" i="132"/>
  <c r="H69" i="95"/>
  <c r="H68" i="95"/>
  <c r="H81" i="95"/>
  <c r="I46" i="99"/>
  <c r="D26" i="131"/>
  <c r="E26" i="131" s="1"/>
  <c r="F26" i="131" s="1"/>
  <c r="G26" i="131" s="1"/>
  <c r="H26" i="131" s="1"/>
  <c r="I26" i="131" s="1"/>
  <c r="C53" i="108"/>
  <c r="G62" i="99" s="1"/>
  <c r="C54" i="108"/>
  <c r="G63" i="99" s="1"/>
  <c r="C55" i="108"/>
  <c r="G64" i="99" s="1"/>
  <c r="C52" i="108"/>
  <c r="Q62" i="100"/>
  <c r="O74" i="100" s="1"/>
  <c r="Q63" i="100"/>
  <c r="H45" i="99"/>
  <c r="H44" i="99"/>
  <c r="I44" i="99" s="1"/>
  <c r="J44" i="99" s="1"/>
  <c r="K44" i="99" s="1"/>
  <c r="H55" i="104" l="1"/>
  <c r="P74" i="100"/>
  <c r="Q74" i="100" s="1"/>
  <c r="L74" i="100"/>
  <c r="M74" i="100" s="1"/>
  <c r="N74" i="100" s="1"/>
  <c r="N70" i="100"/>
  <c r="Q66" i="100"/>
  <c r="I53" i="104"/>
  <c r="I54" i="104" s="1"/>
  <c r="G1" i="132"/>
  <c r="L20" i="132"/>
  <c r="L25" i="132"/>
  <c r="M22" i="132"/>
  <c r="N18" i="132"/>
  <c r="I27" i="132"/>
  <c r="J17" i="132"/>
  <c r="N26" i="132"/>
  <c r="M21" i="132"/>
  <c r="J19" i="132"/>
  <c r="P44" i="99"/>
  <c r="Q44" i="99" s="1"/>
  <c r="R44" i="99" s="1"/>
  <c r="S44" i="99" s="1"/>
  <c r="T44" i="99" s="1"/>
  <c r="U44" i="99" s="1"/>
  <c r="V44" i="99" s="1"/>
  <c r="W44" i="99" s="1"/>
  <c r="X44" i="99" s="1"/>
  <c r="Y44" i="99" s="1"/>
  <c r="Z44" i="99" s="1"/>
  <c r="AA44" i="99" s="1"/>
  <c r="AB44" i="99" s="1"/>
  <c r="I45" i="99"/>
  <c r="J45" i="99" s="1"/>
  <c r="K45" i="99" s="1"/>
  <c r="J46" i="99"/>
  <c r="O62" i="129"/>
  <c r="N62" i="129"/>
  <c r="M62" i="129"/>
  <c r="L62" i="129"/>
  <c r="K62" i="129"/>
  <c r="J62" i="129"/>
  <c r="I62" i="129"/>
  <c r="H62" i="129"/>
  <c r="G62" i="129"/>
  <c r="F62" i="129"/>
  <c r="E62" i="129"/>
  <c r="D62" i="129"/>
  <c r="C62" i="129"/>
  <c r="H58" i="73"/>
  <c r="I55" i="104" l="1"/>
  <c r="Q50" i="100"/>
  <c r="O70" i="100"/>
  <c r="P70" i="100" s="1"/>
  <c r="Q70" i="100" s="1"/>
  <c r="L70" i="100"/>
  <c r="M70" i="100" s="1"/>
  <c r="J53" i="104"/>
  <c r="J54" i="104" s="1"/>
  <c r="H1" i="132"/>
  <c r="N21" i="132"/>
  <c r="O18" i="132"/>
  <c r="M20" i="132"/>
  <c r="N22" i="132"/>
  <c r="K19" i="132"/>
  <c r="O26" i="132"/>
  <c r="M25" i="132"/>
  <c r="J27" i="132"/>
  <c r="K17" i="132"/>
  <c r="K46" i="99"/>
  <c r="L44" i="99"/>
  <c r="AF8" i="125"/>
  <c r="AF9" i="125"/>
  <c r="AF10" i="125"/>
  <c r="AF11" i="125"/>
  <c r="AF26" i="125"/>
  <c r="AF12" i="125"/>
  <c r="AF13" i="125"/>
  <c r="AF27" i="125"/>
  <c r="AF17" i="125"/>
  <c r="AF14" i="125"/>
  <c r="AF15" i="125"/>
  <c r="AF16" i="125"/>
  <c r="AF19" i="125"/>
  <c r="AF20" i="125"/>
  <c r="AF21" i="125"/>
  <c r="AF22" i="125"/>
  <c r="AF23" i="125"/>
  <c r="AF24" i="125"/>
  <c r="AF28" i="125"/>
  <c r="AF29" i="125"/>
  <c r="AF30" i="125"/>
  <c r="AF31" i="125"/>
  <c r="AF32" i="125"/>
  <c r="AF33" i="125"/>
  <c r="AF34" i="125"/>
  <c r="AF35" i="125"/>
  <c r="AF36" i="125"/>
  <c r="AF37" i="125"/>
  <c r="AF38" i="125"/>
  <c r="AF39" i="125"/>
  <c r="AF40" i="125"/>
  <c r="AF41" i="125"/>
  <c r="AF7" i="125"/>
  <c r="J55" i="104" l="1"/>
  <c r="K53" i="104"/>
  <c r="K54" i="104" s="1"/>
  <c r="I1" i="132"/>
  <c r="O22" i="132"/>
  <c r="L19" i="132"/>
  <c r="L17" i="132"/>
  <c r="K27" i="132"/>
  <c r="O21" i="132"/>
  <c r="N25" i="132"/>
  <c r="N20" i="132"/>
  <c r="M44" i="99"/>
  <c r="N44" i="99" s="1"/>
  <c r="O44" i="99" s="1"/>
  <c r="L45" i="99"/>
  <c r="L46" i="99"/>
  <c r="D31" i="126"/>
  <c r="E31" i="126"/>
  <c r="D32" i="126"/>
  <c r="E32" i="126"/>
  <c r="E30" i="126"/>
  <c r="D30" i="126"/>
  <c r="C47" i="108"/>
  <c r="C48" i="108" s="1"/>
  <c r="C49" i="108" s="1"/>
  <c r="E25" i="128"/>
  <c r="F25" i="128" s="1"/>
  <c r="G25" i="128" s="1"/>
  <c r="H25" i="128" s="1"/>
  <c r="I25" i="128" s="1"/>
  <c r="J25" i="128" s="1"/>
  <c r="K25" i="128" s="1"/>
  <c r="L25" i="128" s="1"/>
  <c r="M25" i="128" s="1"/>
  <c r="N25" i="128" s="1"/>
  <c r="O25" i="128" s="1"/>
  <c r="D21" i="128"/>
  <c r="E21" i="128" s="1"/>
  <c r="F21" i="128" s="1"/>
  <c r="G21" i="128" s="1"/>
  <c r="H21" i="128" s="1"/>
  <c r="I21" i="128" s="1"/>
  <c r="J21" i="128" s="1"/>
  <c r="K21" i="128" s="1"/>
  <c r="L21" i="128" s="1"/>
  <c r="M21" i="128" s="1"/>
  <c r="N21" i="128" s="1"/>
  <c r="O21" i="128" s="1"/>
  <c r="D22" i="128"/>
  <c r="E22" i="128" s="1"/>
  <c r="F22" i="128" s="1"/>
  <c r="G22" i="128" s="1"/>
  <c r="H22" i="128" s="1"/>
  <c r="I22" i="128" s="1"/>
  <c r="J22" i="128" s="1"/>
  <c r="K22" i="128" s="1"/>
  <c r="L22" i="128" s="1"/>
  <c r="M22" i="128" s="1"/>
  <c r="N22" i="128" s="1"/>
  <c r="O22" i="128" s="1"/>
  <c r="D23" i="128"/>
  <c r="E23" i="128" s="1"/>
  <c r="F23" i="128" s="1"/>
  <c r="G23" i="128" s="1"/>
  <c r="H23" i="128" s="1"/>
  <c r="I23" i="128" s="1"/>
  <c r="J23" i="128" s="1"/>
  <c r="K23" i="128" s="1"/>
  <c r="L23" i="128" s="1"/>
  <c r="M23" i="128" s="1"/>
  <c r="N23" i="128" s="1"/>
  <c r="O23" i="128" s="1"/>
  <c r="D24" i="128"/>
  <c r="E24" i="128" s="1"/>
  <c r="D25" i="128"/>
  <c r="D26" i="128"/>
  <c r="E26" i="128" s="1"/>
  <c r="F26" i="128" s="1"/>
  <c r="G26" i="128" s="1"/>
  <c r="H26" i="128" s="1"/>
  <c r="I26" i="128" s="1"/>
  <c r="J26" i="128" s="1"/>
  <c r="K26" i="128" s="1"/>
  <c r="L26" i="128" s="1"/>
  <c r="M26" i="128" s="1"/>
  <c r="N26" i="128" s="1"/>
  <c r="O26" i="128" s="1"/>
  <c r="D17" i="128"/>
  <c r="E17" i="128" s="1"/>
  <c r="F17" i="128" s="1"/>
  <c r="D18" i="128"/>
  <c r="E18" i="128" s="1"/>
  <c r="F18" i="128" s="1"/>
  <c r="G18" i="128" s="1"/>
  <c r="H18" i="128" s="1"/>
  <c r="I18" i="128" s="1"/>
  <c r="J18" i="128" s="1"/>
  <c r="K18" i="128" s="1"/>
  <c r="L18" i="128" s="1"/>
  <c r="M18" i="128" s="1"/>
  <c r="N18" i="128" s="1"/>
  <c r="O18" i="128" s="1"/>
  <c r="D19" i="128"/>
  <c r="E19" i="128" s="1"/>
  <c r="F19" i="128" s="1"/>
  <c r="G19" i="128" s="1"/>
  <c r="H19" i="128" s="1"/>
  <c r="I19" i="128" s="1"/>
  <c r="J19" i="128" s="1"/>
  <c r="K19" i="128" s="1"/>
  <c r="L19" i="128" s="1"/>
  <c r="M19" i="128" s="1"/>
  <c r="N19" i="128" s="1"/>
  <c r="O19" i="128" s="1"/>
  <c r="D20" i="128"/>
  <c r="E20" i="128" s="1"/>
  <c r="F20" i="128" s="1"/>
  <c r="G20" i="128" s="1"/>
  <c r="H20" i="128" s="1"/>
  <c r="I20" i="128" s="1"/>
  <c r="J20" i="128" s="1"/>
  <c r="K20" i="128" s="1"/>
  <c r="L20" i="128" s="1"/>
  <c r="M20" i="128" s="1"/>
  <c r="N20" i="128" s="1"/>
  <c r="O20" i="128" s="1"/>
  <c r="D27" i="127"/>
  <c r="E27" i="127"/>
  <c r="F27" i="127"/>
  <c r="G27" i="127"/>
  <c r="H27" i="127"/>
  <c r="I27" i="127"/>
  <c r="J27" i="127"/>
  <c r="K27" i="127"/>
  <c r="L27" i="127"/>
  <c r="M27" i="127"/>
  <c r="N27" i="127"/>
  <c r="O27" i="127"/>
  <c r="D28" i="127"/>
  <c r="E28" i="127"/>
  <c r="F28" i="127"/>
  <c r="G28" i="127"/>
  <c r="H28" i="127"/>
  <c r="I28" i="127"/>
  <c r="J28" i="127"/>
  <c r="K28" i="127"/>
  <c r="L28" i="127"/>
  <c r="M28" i="127"/>
  <c r="N28" i="127"/>
  <c r="O28" i="127"/>
  <c r="D29" i="127"/>
  <c r="E29" i="127"/>
  <c r="F29" i="127"/>
  <c r="G29" i="127"/>
  <c r="H29" i="127"/>
  <c r="I29" i="127"/>
  <c r="J29" i="127"/>
  <c r="K29" i="127"/>
  <c r="L29" i="127"/>
  <c r="M29" i="127"/>
  <c r="N29" i="127"/>
  <c r="O29" i="127"/>
  <c r="D30" i="127"/>
  <c r="E30" i="127"/>
  <c r="F30" i="127"/>
  <c r="G30" i="127"/>
  <c r="H30" i="127"/>
  <c r="I30" i="127"/>
  <c r="J30" i="127"/>
  <c r="K30" i="127"/>
  <c r="L30" i="127"/>
  <c r="M30" i="127"/>
  <c r="N30" i="127"/>
  <c r="O30" i="127"/>
  <c r="D31" i="127"/>
  <c r="E31" i="127"/>
  <c r="F31" i="127"/>
  <c r="G31" i="127"/>
  <c r="H31" i="127"/>
  <c r="I31" i="127"/>
  <c r="J31" i="127"/>
  <c r="K31" i="127"/>
  <c r="L31" i="127"/>
  <c r="M31" i="127"/>
  <c r="N31" i="127"/>
  <c r="O31" i="127"/>
  <c r="D32" i="127"/>
  <c r="E32" i="127"/>
  <c r="F32" i="127"/>
  <c r="G32" i="127"/>
  <c r="H32" i="127"/>
  <c r="I32" i="127"/>
  <c r="J32" i="127"/>
  <c r="K32" i="127"/>
  <c r="L32" i="127"/>
  <c r="M32" i="127"/>
  <c r="N32" i="127"/>
  <c r="O32" i="127"/>
  <c r="D33" i="127"/>
  <c r="E33" i="127"/>
  <c r="F33" i="127"/>
  <c r="G33" i="127"/>
  <c r="H33" i="127"/>
  <c r="I33" i="127"/>
  <c r="J33" i="127"/>
  <c r="K33" i="127"/>
  <c r="L33" i="127"/>
  <c r="M33" i="127"/>
  <c r="N33" i="127"/>
  <c r="O33" i="127"/>
  <c r="D34" i="127"/>
  <c r="E34" i="127"/>
  <c r="F34" i="127"/>
  <c r="G34" i="127"/>
  <c r="H34" i="127"/>
  <c r="I34" i="127"/>
  <c r="J34" i="127"/>
  <c r="K34" i="127"/>
  <c r="L34" i="127"/>
  <c r="M34" i="127"/>
  <c r="N34" i="127"/>
  <c r="O34" i="127"/>
  <c r="D35" i="127"/>
  <c r="E35" i="127"/>
  <c r="F35" i="127"/>
  <c r="G35" i="127"/>
  <c r="H35" i="127"/>
  <c r="I35" i="127"/>
  <c r="J35" i="127"/>
  <c r="K35" i="127"/>
  <c r="L35" i="127"/>
  <c r="M35" i="127"/>
  <c r="N35" i="127"/>
  <c r="O35" i="127"/>
  <c r="D36" i="127"/>
  <c r="E36" i="127"/>
  <c r="F36" i="127"/>
  <c r="G36" i="127"/>
  <c r="H36" i="127"/>
  <c r="I36" i="127"/>
  <c r="J36" i="127"/>
  <c r="K36" i="127"/>
  <c r="L36" i="127"/>
  <c r="M36" i="127"/>
  <c r="N36" i="127"/>
  <c r="O36" i="127"/>
  <c r="C36" i="127"/>
  <c r="C35" i="127"/>
  <c r="C34" i="127"/>
  <c r="C33" i="127"/>
  <c r="C32" i="127"/>
  <c r="C31" i="127"/>
  <c r="C30" i="127"/>
  <c r="C29" i="127"/>
  <c r="C28" i="127"/>
  <c r="C27" i="127"/>
  <c r="C27" i="128"/>
  <c r="J49" i="89"/>
  <c r="K49" i="89"/>
  <c r="L49" i="89"/>
  <c r="M49" i="89"/>
  <c r="N49" i="89"/>
  <c r="O49" i="89"/>
  <c r="P49" i="89"/>
  <c r="Q49" i="89"/>
  <c r="R49" i="89"/>
  <c r="S49" i="89"/>
  <c r="T49" i="89"/>
  <c r="U49" i="89"/>
  <c r="I49" i="89"/>
  <c r="E26" i="127"/>
  <c r="F26" i="127"/>
  <c r="G26" i="127"/>
  <c r="H26" i="127"/>
  <c r="I26" i="127"/>
  <c r="J26" i="127"/>
  <c r="K26" i="127"/>
  <c r="L26" i="127"/>
  <c r="M26" i="127"/>
  <c r="N26" i="127"/>
  <c r="O26" i="127"/>
  <c r="D26" i="127"/>
  <c r="C26" i="127"/>
  <c r="C20" i="126"/>
  <c r="C19" i="126"/>
  <c r="K55" i="104" l="1"/>
  <c r="L53" i="104"/>
  <c r="L54" i="104" s="1"/>
  <c r="J1" i="132"/>
  <c r="O25" i="132"/>
  <c r="L27" i="132"/>
  <c r="M17" i="132"/>
  <c r="O20" i="132"/>
  <c r="M19" i="132"/>
  <c r="F32" i="126"/>
  <c r="M45" i="99"/>
  <c r="N45" i="99" s="1"/>
  <c r="O45" i="99" s="1"/>
  <c r="P45" i="99" s="1"/>
  <c r="Q45" i="99" s="1"/>
  <c r="R45" i="99" s="1"/>
  <c r="S45" i="99" s="1"/>
  <c r="T45" i="99" s="1"/>
  <c r="U45" i="99" s="1"/>
  <c r="V45" i="99" s="1"/>
  <c r="W45" i="99" s="1"/>
  <c r="X45" i="99" s="1"/>
  <c r="Y45" i="99" s="1"/>
  <c r="Z45" i="99" s="1"/>
  <c r="AA45" i="99" s="1"/>
  <c r="AB45" i="99" s="1"/>
  <c r="L42" i="99"/>
  <c r="J42" i="99"/>
  <c r="I42" i="99"/>
  <c r="K42" i="99"/>
  <c r="H42" i="99"/>
  <c r="M46" i="99"/>
  <c r="C50" i="108"/>
  <c r="F30" i="126"/>
  <c r="F31" i="126"/>
  <c r="G17" i="128"/>
  <c r="E27" i="128"/>
  <c r="F24" i="128"/>
  <c r="F27" i="128" s="1"/>
  <c r="D27" i="128"/>
  <c r="I60" i="100"/>
  <c r="I60" i="73"/>
  <c r="C40" i="108"/>
  <c r="I51" i="99"/>
  <c r="D38" i="99"/>
  <c r="E38" i="99"/>
  <c r="AP44" i="125"/>
  <c r="D50" i="94" s="1"/>
  <c r="BD41" i="125"/>
  <c r="BD40" i="125"/>
  <c r="BD39" i="125"/>
  <c r="BD38" i="125"/>
  <c r="BD37" i="125"/>
  <c r="BD36" i="125"/>
  <c r="BD35" i="125"/>
  <c r="BD34" i="125"/>
  <c r="BD33" i="125"/>
  <c r="BD32" i="125"/>
  <c r="BD31" i="125"/>
  <c r="BD30" i="125"/>
  <c r="BD29" i="125"/>
  <c r="BD28" i="125"/>
  <c r="BD24" i="125"/>
  <c r="BD23" i="125"/>
  <c r="BD22" i="125"/>
  <c r="BD21" i="125"/>
  <c r="BD20" i="125"/>
  <c r="BD19" i="125"/>
  <c r="BD16" i="125"/>
  <c r="BD15" i="125"/>
  <c r="BD14" i="125"/>
  <c r="BD17" i="125"/>
  <c r="BD27" i="125"/>
  <c r="BD13" i="125"/>
  <c r="BD12" i="125"/>
  <c r="BD26" i="125"/>
  <c r="BD11" i="125"/>
  <c r="BD10" i="125"/>
  <c r="BD9" i="125"/>
  <c r="BD8" i="125"/>
  <c r="BD7" i="125"/>
  <c r="BF6" i="125"/>
  <c r="BG6" i="125" s="1"/>
  <c r="BH6" i="125" s="1"/>
  <c r="BI6" i="125" s="1"/>
  <c r="BJ6" i="125" s="1"/>
  <c r="BK6" i="125" s="1"/>
  <c r="AY6" i="125"/>
  <c r="AZ6" i="125" s="1"/>
  <c r="BA6" i="125" s="1"/>
  <c r="BB6" i="125" s="1"/>
  <c r="BC6" i="125" s="1"/>
  <c r="BD6" i="125" s="1"/>
  <c r="AO41" i="125"/>
  <c r="AO40" i="125"/>
  <c r="AO39" i="125"/>
  <c r="AO38" i="125"/>
  <c r="O38" i="125"/>
  <c r="M34" i="134" s="1"/>
  <c r="AO37" i="125"/>
  <c r="AO36" i="125"/>
  <c r="AO35" i="125"/>
  <c r="AO34" i="125"/>
  <c r="AO33" i="125"/>
  <c r="M33" i="125"/>
  <c r="O33" i="125" s="1"/>
  <c r="AO32" i="125"/>
  <c r="M32" i="125"/>
  <c r="O32" i="125" s="1"/>
  <c r="AO31" i="125"/>
  <c r="M31" i="125"/>
  <c r="O31" i="125" s="1"/>
  <c r="AO30" i="125"/>
  <c r="M30" i="125"/>
  <c r="O30" i="125" s="1"/>
  <c r="AO29" i="125"/>
  <c r="M29" i="125"/>
  <c r="O29" i="125" s="1"/>
  <c r="AO28" i="125"/>
  <c r="O28" i="125"/>
  <c r="AO24" i="125"/>
  <c r="O24" i="125"/>
  <c r="AO23" i="125"/>
  <c r="O23" i="125"/>
  <c r="AO22" i="125"/>
  <c r="O22" i="125"/>
  <c r="AO21" i="125"/>
  <c r="O21" i="125"/>
  <c r="AO20" i="125"/>
  <c r="O20" i="125"/>
  <c r="AO19" i="125"/>
  <c r="O19" i="125"/>
  <c r="AO16" i="125"/>
  <c r="O16" i="125"/>
  <c r="AO15" i="125"/>
  <c r="O15" i="125"/>
  <c r="AO14" i="125"/>
  <c r="I14" i="125"/>
  <c r="AO17" i="125"/>
  <c r="O17" i="125"/>
  <c r="AO27" i="125"/>
  <c r="O27" i="125"/>
  <c r="AO13" i="125"/>
  <c r="O13" i="125"/>
  <c r="AO12" i="125"/>
  <c r="O12" i="125"/>
  <c r="AO26" i="125"/>
  <c r="O26" i="125"/>
  <c r="AO11" i="125"/>
  <c r="O11" i="125"/>
  <c r="AO10" i="125"/>
  <c r="O10" i="125"/>
  <c r="AO9" i="125"/>
  <c r="O9" i="125"/>
  <c r="AO8" i="125"/>
  <c r="O8" i="125"/>
  <c r="AO7" i="125"/>
  <c r="O7" i="125"/>
  <c r="AQ6" i="125"/>
  <c r="AR6" i="125" s="1"/>
  <c r="AS6" i="125" s="1"/>
  <c r="AT6" i="125" s="1"/>
  <c r="AU6" i="125" s="1"/>
  <c r="AV6" i="125" s="1"/>
  <c r="AJ6" i="125"/>
  <c r="AK6" i="125" s="1"/>
  <c r="AL6" i="125" s="1"/>
  <c r="AM6" i="125" s="1"/>
  <c r="AN6" i="125" s="1"/>
  <c r="AO6" i="125" s="1"/>
  <c r="K29" i="73"/>
  <c r="K29" i="100" s="1"/>
  <c r="K30" i="73"/>
  <c r="K30" i="100" s="1"/>
  <c r="K31" i="73"/>
  <c r="K32" i="73"/>
  <c r="K32" i="100" s="1"/>
  <c r="K33" i="73"/>
  <c r="K33" i="100" s="1"/>
  <c r="K34" i="73"/>
  <c r="K34" i="100" s="1"/>
  <c r="K35" i="73"/>
  <c r="K35" i="100" s="1"/>
  <c r="K36" i="73"/>
  <c r="K36" i="100" s="1"/>
  <c r="K37" i="73"/>
  <c r="K37" i="100" s="1"/>
  <c r="L29" i="73"/>
  <c r="L29" i="100" s="1"/>
  <c r="L30" i="73"/>
  <c r="L30" i="100" s="1"/>
  <c r="L31" i="73"/>
  <c r="L31" i="100" s="1"/>
  <c r="L32" i="73"/>
  <c r="L32" i="100" s="1"/>
  <c r="L33" i="73"/>
  <c r="L33" i="100" s="1"/>
  <c r="L34" i="73"/>
  <c r="L34" i="100" s="1"/>
  <c r="L35" i="73"/>
  <c r="L35" i="100" s="1"/>
  <c r="L36" i="73"/>
  <c r="L36" i="100" s="1"/>
  <c r="L37" i="73"/>
  <c r="L37" i="100" s="1"/>
  <c r="K31" i="100"/>
  <c r="J29" i="100"/>
  <c r="N44" i="108"/>
  <c r="N45" i="108" s="1"/>
  <c r="N46" i="108" s="1"/>
  <c r="N47" i="108" s="1"/>
  <c r="N48" i="108" s="1"/>
  <c r="I44" i="108"/>
  <c r="I45" i="108" s="1"/>
  <c r="I46" i="108" s="1"/>
  <c r="I47" i="108" s="1"/>
  <c r="I48" i="108" s="1"/>
  <c r="I17" i="108"/>
  <c r="I18" i="108" s="1"/>
  <c r="I19" i="108" s="1"/>
  <c r="I20" i="108" s="1"/>
  <c r="I21" i="108" s="1"/>
  <c r="H3" i="123"/>
  <c r="I3" i="123" s="1"/>
  <c r="J3" i="123" s="1"/>
  <c r="K3" i="123" s="1"/>
  <c r="L3" i="123" s="1"/>
  <c r="M3" i="123" s="1"/>
  <c r="N3" i="123" s="1"/>
  <c r="O3" i="123" s="1"/>
  <c r="P3" i="123" s="1"/>
  <c r="Q3" i="123" s="1"/>
  <c r="R3" i="123" s="1"/>
  <c r="S3" i="123" s="1"/>
  <c r="T3" i="123" s="1"/>
  <c r="U3" i="123" s="1"/>
  <c r="V3" i="123" s="1"/>
  <c r="W3" i="123" s="1"/>
  <c r="X3" i="123" s="1"/>
  <c r="Y3" i="123" s="1"/>
  <c r="Z3" i="123" s="1"/>
  <c r="AA3" i="123" s="1"/>
  <c r="Q13" i="125" l="1"/>
  <c r="Q16" i="125"/>
  <c r="Q21" i="125"/>
  <c r="Q9" i="125"/>
  <c r="Q26" i="125"/>
  <c r="Q17" i="125"/>
  <c r="Q22" i="125"/>
  <c r="Q29" i="125"/>
  <c r="Q33" i="125"/>
  <c r="Q10" i="125"/>
  <c r="O14" i="125"/>
  <c r="Q19" i="125"/>
  <c r="Q23" i="125"/>
  <c r="Q30" i="125"/>
  <c r="Q27" i="125"/>
  <c r="Q32" i="125"/>
  <c r="Q11" i="125"/>
  <c r="Q12" i="125"/>
  <c r="Q15" i="125"/>
  <c r="Q20" i="125"/>
  <c r="Q24" i="125"/>
  <c r="Q31" i="125"/>
  <c r="Q38" i="125"/>
  <c r="O34" i="134" s="1"/>
  <c r="L55" i="104"/>
  <c r="M53" i="104"/>
  <c r="M54" i="104" s="1"/>
  <c r="K1" i="132"/>
  <c r="N19" i="132"/>
  <c r="M27" i="132"/>
  <c r="N17" i="132"/>
  <c r="Q28" i="125"/>
  <c r="O2" i="125"/>
  <c r="Q8" i="125"/>
  <c r="O1" i="125"/>
  <c r="O41" i="125"/>
  <c r="M37" i="134" s="1"/>
  <c r="M42" i="99"/>
  <c r="O39" i="125"/>
  <c r="M35" i="134" s="1"/>
  <c r="O36" i="125"/>
  <c r="M32" i="134" s="1"/>
  <c r="O37" i="125"/>
  <c r="M33" i="134" s="1"/>
  <c r="O40" i="125"/>
  <c r="M36" i="134" s="1"/>
  <c r="G24" i="128"/>
  <c r="G27" i="128" s="1"/>
  <c r="H17" i="128"/>
  <c r="C38" i="99"/>
  <c r="F38" i="99"/>
  <c r="O35" i="125"/>
  <c r="M31" i="134" s="1"/>
  <c r="O34" i="125"/>
  <c r="M30" i="134" s="1"/>
  <c r="G11" i="81"/>
  <c r="E34" i="94"/>
  <c r="E44" i="94" s="1"/>
  <c r="E54" i="94" s="1"/>
  <c r="F34" i="94"/>
  <c r="F44" i="94" s="1"/>
  <c r="F54" i="94" s="1"/>
  <c r="G34" i="94"/>
  <c r="G44" i="94" s="1"/>
  <c r="G54" i="94" s="1"/>
  <c r="H34" i="94"/>
  <c r="H44" i="94" s="1"/>
  <c r="H54" i="94" s="1"/>
  <c r="I34" i="94"/>
  <c r="I44" i="94" s="1"/>
  <c r="I54" i="94" s="1"/>
  <c r="J34" i="94"/>
  <c r="J44" i="94" s="1"/>
  <c r="J54" i="94" s="1"/>
  <c r="D34" i="94"/>
  <c r="Q14" i="125" l="1"/>
  <c r="Q2" i="125"/>
  <c r="Q41" i="125"/>
  <c r="O37" i="134" s="1"/>
  <c r="Q40" i="125"/>
  <c r="O36" i="134" s="1"/>
  <c r="Q37" i="125"/>
  <c r="O33" i="134" s="1"/>
  <c r="Q34" i="125"/>
  <c r="O30" i="134" s="1"/>
  <c r="Q36" i="125"/>
  <c r="O32" i="134" s="1"/>
  <c r="Q35" i="125"/>
  <c r="O31" i="134" s="1"/>
  <c r="Q39" i="125"/>
  <c r="O35" i="134" s="1"/>
  <c r="M55" i="104"/>
  <c r="N53" i="104"/>
  <c r="N54" i="104" s="1"/>
  <c r="N55" i="104" s="1"/>
  <c r="L1" i="132"/>
  <c r="O19" i="132"/>
  <c r="N27" i="132"/>
  <c r="O17" i="132"/>
  <c r="D44" i="94"/>
  <c r="D35" i="94"/>
  <c r="E35" i="94" s="1"/>
  <c r="F35" i="94" s="1"/>
  <c r="G35" i="94" s="1"/>
  <c r="H35" i="94" s="1"/>
  <c r="I35" i="94" s="1"/>
  <c r="J35" i="94" s="1"/>
  <c r="Q7" i="125"/>
  <c r="P5" i="125"/>
  <c r="S8" i="125"/>
  <c r="U8" i="125"/>
  <c r="O3" i="125"/>
  <c r="O5" i="125"/>
  <c r="H24" i="128"/>
  <c r="H27" i="128" s="1"/>
  <c r="I17" i="128"/>
  <c r="Q1" i="125" l="1"/>
  <c r="Q3" i="125"/>
  <c r="S7" i="125"/>
  <c r="U7" i="125"/>
  <c r="O53" i="104"/>
  <c r="O54" i="104" s="1"/>
  <c r="O55" i="104" s="1"/>
  <c r="M1" i="132"/>
  <c r="O27" i="132"/>
  <c r="D45" i="94"/>
  <c r="D54" i="94"/>
  <c r="D55" i="94" s="1"/>
  <c r="V8" i="125"/>
  <c r="Q5" i="125"/>
  <c r="I24" i="128"/>
  <c r="J24" i="128" s="1"/>
  <c r="K24" i="128" s="1"/>
  <c r="L24" i="128" s="1"/>
  <c r="M24" i="128" s="1"/>
  <c r="N24" i="128" s="1"/>
  <c r="O24" i="128" s="1"/>
  <c r="J17" i="128"/>
  <c r="G38" i="99"/>
  <c r="I27" i="128" l="1"/>
  <c r="Z8" i="125"/>
  <c r="V7" i="125"/>
  <c r="P53" i="104"/>
  <c r="P54" i="104" s="1"/>
  <c r="P55" i="104" s="1"/>
  <c r="N1" i="132"/>
  <c r="E55" i="94"/>
  <c r="D53" i="94"/>
  <c r="E45" i="94"/>
  <c r="F45" i="94" s="1"/>
  <c r="G45" i="94" s="1"/>
  <c r="H45" i="94" s="1"/>
  <c r="I45" i="94" s="1"/>
  <c r="J45" i="94" s="1"/>
  <c r="X8" i="125"/>
  <c r="J27" i="128"/>
  <c r="K17" i="128"/>
  <c r="S9" i="125"/>
  <c r="U9" i="125"/>
  <c r="I35" i="108"/>
  <c r="K35" i="108" s="1"/>
  <c r="K26" i="108"/>
  <c r="K34" i="108"/>
  <c r="K25" i="108"/>
  <c r="E113" i="123"/>
  <c r="D113" i="123"/>
  <c r="C113" i="123"/>
  <c r="E112" i="123"/>
  <c r="D112" i="123"/>
  <c r="C112" i="123"/>
  <c r="E109" i="123"/>
  <c r="D109" i="123"/>
  <c r="C109" i="123"/>
  <c r="E108" i="123"/>
  <c r="D108" i="123"/>
  <c r="C108" i="123"/>
  <c r="E107" i="123"/>
  <c r="D107" i="123"/>
  <c r="C107" i="123"/>
  <c r="C106" i="123"/>
  <c r="D96" i="123"/>
  <c r="C46" i="123"/>
  <c r="D36" i="123"/>
  <c r="D46" i="123" s="1"/>
  <c r="E73" i="123"/>
  <c r="D73" i="123"/>
  <c r="C73" i="123"/>
  <c r="E72" i="123"/>
  <c r="D72" i="123"/>
  <c r="C72" i="123"/>
  <c r="E69" i="123"/>
  <c r="D69" i="123"/>
  <c r="C69" i="123"/>
  <c r="E68" i="123"/>
  <c r="D68" i="123"/>
  <c r="C68" i="123"/>
  <c r="E67" i="123"/>
  <c r="D67" i="123"/>
  <c r="C67" i="123"/>
  <c r="C66" i="123"/>
  <c r="E61" i="123"/>
  <c r="D61" i="123"/>
  <c r="C61" i="123"/>
  <c r="E59" i="123"/>
  <c r="D59" i="123"/>
  <c r="C59" i="123"/>
  <c r="D56" i="123"/>
  <c r="E56" i="123" s="1"/>
  <c r="E66" i="123" s="1"/>
  <c r="K16" i="108"/>
  <c r="K17" i="108"/>
  <c r="F46" i="77"/>
  <c r="Z7" i="125" l="1"/>
  <c r="BK8" i="125"/>
  <c r="X7" i="125"/>
  <c r="Q53" i="104"/>
  <c r="Q54" i="104" s="1"/>
  <c r="Q55" i="104" s="1"/>
  <c r="O1" i="132"/>
  <c r="F55" i="94"/>
  <c r="BE8" i="125"/>
  <c r="BG8" i="125"/>
  <c r="BH8" i="125"/>
  <c r="BJ8" i="125"/>
  <c r="BI8" i="125"/>
  <c r="AA8" i="125"/>
  <c r="BF8" i="125"/>
  <c r="K27" i="128"/>
  <c r="L17" i="128"/>
  <c r="U10" i="125"/>
  <c r="V9" i="125"/>
  <c r="S10" i="125"/>
  <c r="F56" i="123"/>
  <c r="F66" i="123" s="1"/>
  <c r="D66" i="123"/>
  <c r="E36" i="123"/>
  <c r="E46" i="123" s="1"/>
  <c r="I36" i="108"/>
  <c r="I37" i="108" s="1"/>
  <c r="I38" i="108" s="1"/>
  <c r="I39" i="108" s="1"/>
  <c r="I27" i="108"/>
  <c r="I28" i="108" s="1"/>
  <c r="I29" i="108" s="1"/>
  <c r="I30" i="108" s="1"/>
  <c r="D106" i="123"/>
  <c r="E96" i="123"/>
  <c r="BH7" i="125" l="1"/>
  <c r="BE7" i="125"/>
  <c r="BJ7" i="125"/>
  <c r="BF7" i="125"/>
  <c r="AA7" i="125"/>
  <c r="BI7" i="125"/>
  <c r="BG7" i="125"/>
  <c r="BK7" i="125"/>
  <c r="AP8" i="125"/>
  <c r="AU8" i="125"/>
  <c r="R53" i="104"/>
  <c r="R54" i="104" s="1"/>
  <c r="R55" i="104" s="1"/>
  <c r="P1" i="132"/>
  <c r="G55" i="94"/>
  <c r="AV8" i="125"/>
  <c r="AQ8" i="125"/>
  <c r="AT8" i="125"/>
  <c r="AR8" i="125"/>
  <c r="AS8" i="125"/>
  <c r="L27" i="128"/>
  <c r="M17" i="128"/>
  <c r="V10" i="125"/>
  <c r="S11" i="125"/>
  <c r="X9" i="125"/>
  <c r="Z9" i="125"/>
  <c r="U11" i="125"/>
  <c r="G56" i="123"/>
  <c r="G66" i="123" s="1"/>
  <c r="F36" i="123"/>
  <c r="G36" i="123" s="1"/>
  <c r="K27" i="108"/>
  <c r="K36" i="108"/>
  <c r="K18" i="108"/>
  <c r="K19" i="108"/>
  <c r="F96" i="123"/>
  <c r="E106" i="123"/>
  <c r="AP7" i="125" l="1"/>
  <c r="AS7" i="125"/>
  <c r="AT7" i="125"/>
  <c r="AV7" i="125"/>
  <c r="AU7" i="125"/>
  <c r="AQ7" i="125"/>
  <c r="AR7" i="125"/>
  <c r="S53" i="104"/>
  <c r="S54" i="104" s="1"/>
  <c r="S55" i="104" s="1"/>
  <c r="H55" i="94"/>
  <c r="Z10" i="125"/>
  <c r="AA9" i="125"/>
  <c r="X10" i="125"/>
  <c r="BJ9" i="125"/>
  <c r="BE9" i="125"/>
  <c r="BF9" i="125"/>
  <c r="BG9" i="125"/>
  <c r="BH9" i="125"/>
  <c r="BI9" i="125"/>
  <c r="BK9" i="125"/>
  <c r="N17" i="128"/>
  <c r="M27" i="128"/>
  <c r="V11" i="125"/>
  <c r="H56" i="123"/>
  <c r="I56" i="123" s="1"/>
  <c r="G4" i="123"/>
  <c r="G18" i="123" s="1"/>
  <c r="F46" i="123"/>
  <c r="K28" i="108"/>
  <c r="K37" i="108"/>
  <c r="K21" i="108"/>
  <c r="K20" i="108"/>
  <c r="G46" i="123"/>
  <c r="H36" i="123"/>
  <c r="F106" i="123"/>
  <c r="G96" i="123"/>
  <c r="T53" i="104" l="1"/>
  <c r="T54" i="104" s="1"/>
  <c r="T55" i="104" s="1"/>
  <c r="D16" i="94"/>
  <c r="H4" i="123"/>
  <c r="H18" i="123" s="1"/>
  <c r="I55" i="94"/>
  <c r="AP9" i="125"/>
  <c r="BJ10" i="125"/>
  <c r="AT9" i="125"/>
  <c r="AU9" i="125"/>
  <c r="AV9" i="125"/>
  <c r="AQ9" i="125"/>
  <c r="AS9" i="125"/>
  <c r="AR9" i="125"/>
  <c r="AA10" i="125"/>
  <c r="BI10" i="125"/>
  <c r="BH10" i="125"/>
  <c r="BG10" i="125"/>
  <c r="BK10" i="125"/>
  <c r="BF10" i="125"/>
  <c r="BE10" i="125"/>
  <c r="O17" i="128"/>
  <c r="O27" i="128" s="1"/>
  <c r="N27" i="128"/>
  <c r="Z11" i="125"/>
  <c r="X11" i="125"/>
  <c r="U26" i="125"/>
  <c r="H66" i="123"/>
  <c r="K29" i="108"/>
  <c r="K30" i="108"/>
  <c r="K39" i="108"/>
  <c r="K38" i="108"/>
  <c r="H46" i="123"/>
  <c r="I36" i="123"/>
  <c r="I66" i="123"/>
  <c r="J56" i="123"/>
  <c r="H96" i="123"/>
  <c r="G106" i="123"/>
  <c r="AP10" i="125" l="1"/>
  <c r="U53" i="104"/>
  <c r="U54" i="104" s="1"/>
  <c r="U55" i="104" s="1"/>
  <c r="I4" i="123"/>
  <c r="I18" i="123" s="1"/>
  <c r="J55" i="94"/>
  <c r="AQ10" i="125"/>
  <c r="AS10" i="125"/>
  <c r="AU10" i="125"/>
  <c r="AR10" i="125"/>
  <c r="AV10" i="125"/>
  <c r="AT10" i="125"/>
  <c r="AA11" i="125"/>
  <c r="BE11" i="125"/>
  <c r="BF11" i="125"/>
  <c r="BG11" i="125"/>
  <c r="BH11" i="125"/>
  <c r="BI11" i="125"/>
  <c r="BJ11" i="125"/>
  <c r="BK11" i="125"/>
  <c r="J66" i="123"/>
  <c r="K56" i="123"/>
  <c r="H106" i="123"/>
  <c r="I96" i="123"/>
  <c r="I46" i="123"/>
  <c r="J36" i="123"/>
  <c r="AP11" i="125" l="1"/>
  <c r="V53" i="104"/>
  <c r="V54" i="104" s="1"/>
  <c r="V55" i="104" s="1"/>
  <c r="J4" i="123"/>
  <c r="K4" i="123" s="1"/>
  <c r="AS11" i="125"/>
  <c r="AU11" i="125"/>
  <c r="AR11" i="125"/>
  <c r="AQ11" i="125"/>
  <c r="AV11" i="125"/>
  <c r="AT11" i="125"/>
  <c r="U12" i="125"/>
  <c r="I106" i="123"/>
  <c r="J96" i="123"/>
  <c r="L56" i="123"/>
  <c r="K66" i="123"/>
  <c r="J46" i="123"/>
  <c r="K36" i="123"/>
  <c r="W53" i="104" l="1"/>
  <c r="W54" i="104" s="1"/>
  <c r="W55" i="104" s="1"/>
  <c r="J18" i="123"/>
  <c r="U13" i="125"/>
  <c r="M56" i="123"/>
  <c r="L66" i="123"/>
  <c r="L36" i="123"/>
  <c r="K46" i="123"/>
  <c r="K96" i="123"/>
  <c r="J106" i="123"/>
  <c r="L4" i="123"/>
  <c r="K18" i="123"/>
  <c r="X53" i="104" l="1"/>
  <c r="X54" i="104" s="1"/>
  <c r="X55" i="104" s="1"/>
  <c r="K106" i="123"/>
  <c r="L96" i="123"/>
  <c r="L46" i="123"/>
  <c r="M36" i="123"/>
  <c r="M4" i="123"/>
  <c r="L18" i="123"/>
  <c r="N56" i="123"/>
  <c r="M66" i="123"/>
  <c r="L106" i="123" l="1"/>
  <c r="M96" i="123"/>
  <c r="N4" i="123"/>
  <c r="M18" i="123"/>
  <c r="M46" i="123"/>
  <c r="N36" i="123"/>
  <c r="N66" i="123"/>
  <c r="O56" i="123"/>
  <c r="N18" i="123" l="1"/>
  <c r="O4" i="123"/>
  <c r="N96" i="123"/>
  <c r="M106" i="123"/>
  <c r="O36" i="123"/>
  <c r="N46" i="123"/>
  <c r="O66" i="123"/>
  <c r="P56" i="123"/>
  <c r="U27" i="125" l="1"/>
  <c r="O18" i="123"/>
  <c r="P4" i="123"/>
  <c r="N106" i="123"/>
  <c r="O96" i="123"/>
  <c r="O46" i="123"/>
  <c r="P36" i="123"/>
  <c r="P66" i="123"/>
  <c r="Q56" i="123"/>
  <c r="U17" i="125" l="1"/>
  <c r="O106" i="123"/>
  <c r="P96" i="123"/>
  <c r="P46" i="123"/>
  <c r="Q36" i="123"/>
  <c r="P18" i="123"/>
  <c r="Q4" i="123"/>
  <c r="Q66" i="123"/>
  <c r="R56" i="123"/>
  <c r="U14" i="125" l="1"/>
  <c r="Q46" i="123"/>
  <c r="R36" i="123"/>
  <c r="P106" i="123"/>
  <c r="Q96" i="123"/>
  <c r="Q18" i="123"/>
  <c r="R4" i="123"/>
  <c r="R66" i="123"/>
  <c r="S56" i="123"/>
  <c r="U15" i="125" l="1"/>
  <c r="Q106" i="123"/>
  <c r="R96" i="123"/>
  <c r="S4" i="123"/>
  <c r="R18" i="123"/>
  <c r="R46" i="123"/>
  <c r="S36" i="123"/>
  <c r="T56" i="123"/>
  <c r="S66" i="123"/>
  <c r="U16" i="125" l="1"/>
  <c r="T4" i="123"/>
  <c r="S18" i="123"/>
  <c r="T36" i="123"/>
  <c r="S46" i="123"/>
  <c r="S96" i="123"/>
  <c r="R106" i="123"/>
  <c r="U56" i="123"/>
  <c r="T66" i="123"/>
  <c r="S106" i="123" l="1"/>
  <c r="T96" i="123"/>
  <c r="T46" i="123"/>
  <c r="U36" i="123"/>
  <c r="U66" i="123"/>
  <c r="V56" i="123"/>
  <c r="U4" i="123"/>
  <c r="T18" i="123"/>
  <c r="U19" i="125" l="1"/>
  <c r="V66" i="123"/>
  <c r="W56" i="123"/>
  <c r="U46" i="123"/>
  <c r="V36" i="123"/>
  <c r="T106" i="123"/>
  <c r="U96" i="123"/>
  <c r="V4" i="123"/>
  <c r="U18" i="123"/>
  <c r="U20" i="125" l="1"/>
  <c r="V96" i="123"/>
  <c r="U106" i="123"/>
  <c r="W36" i="123"/>
  <c r="V46" i="123"/>
  <c r="W66" i="123"/>
  <c r="X56" i="123"/>
  <c r="V18" i="123"/>
  <c r="W4" i="123"/>
  <c r="U21" i="125" l="1"/>
  <c r="X66" i="123"/>
  <c r="Y56" i="123"/>
  <c r="W46" i="123"/>
  <c r="X36" i="123"/>
  <c r="W18" i="123"/>
  <c r="X4" i="123"/>
  <c r="V106" i="123"/>
  <c r="W96" i="123"/>
  <c r="U22" i="125" l="1"/>
  <c r="X18" i="123"/>
  <c r="Y4" i="123"/>
  <c r="Y36" i="123"/>
  <c r="X46" i="123"/>
  <c r="Y66" i="123"/>
  <c r="Z56" i="123"/>
  <c r="X96" i="123"/>
  <c r="W106" i="123"/>
  <c r="U23" i="125" l="1"/>
  <c r="X106" i="123"/>
  <c r="Y96" i="123"/>
  <c r="Y46" i="123"/>
  <c r="Z36" i="123"/>
  <c r="Y18" i="123"/>
  <c r="Z4" i="123"/>
  <c r="Z66" i="123"/>
  <c r="AA56" i="123"/>
  <c r="AA66" i="123" l="1"/>
  <c r="AB56" i="123"/>
  <c r="U24" i="125"/>
  <c r="AA4" i="123"/>
  <c r="Z18" i="123"/>
  <c r="Z46" i="123"/>
  <c r="AA36" i="123"/>
  <c r="Y106" i="123"/>
  <c r="Z96" i="123"/>
  <c r="AA18" i="123" l="1"/>
  <c r="AB4" i="123"/>
  <c r="AC4" i="123" s="1"/>
  <c r="AA46" i="123"/>
  <c r="AB36" i="123"/>
  <c r="U28" i="125"/>
  <c r="AA96" i="123"/>
  <c r="AA106" i="123" s="1"/>
  <c r="Z106" i="123"/>
  <c r="U2" i="125" l="1"/>
  <c r="U29" i="125"/>
  <c r="O43" i="100"/>
  <c r="O44" i="100"/>
  <c r="AA18" i="55"/>
  <c r="AB18" i="55" s="1"/>
  <c r="Z18" i="55"/>
  <c r="P44" i="100"/>
  <c r="U4" i="79"/>
  <c r="V4" i="79" s="1"/>
  <c r="W4" i="79" s="1"/>
  <c r="X4" i="79" s="1"/>
  <c r="Y4" i="79" s="1"/>
  <c r="Z4" i="79" s="1"/>
  <c r="R4" i="79"/>
  <c r="S4" i="79" s="1"/>
  <c r="U30" i="125" l="1"/>
  <c r="E20" i="94"/>
  <c r="F20" i="94"/>
  <c r="G20" i="94"/>
  <c r="H20" i="94"/>
  <c r="I20" i="94"/>
  <c r="J20" i="94"/>
  <c r="D20" i="94"/>
  <c r="Q67" i="99"/>
  <c r="N67" i="99"/>
  <c r="I29" i="100"/>
  <c r="O48" i="89"/>
  <c r="P48" i="89" s="1"/>
  <c r="D76" i="95"/>
  <c r="E76" i="95"/>
  <c r="F76" i="95"/>
  <c r="C76" i="95"/>
  <c r="A47" i="100"/>
  <c r="E47" i="73"/>
  <c r="D47" i="73"/>
  <c r="I8" i="108"/>
  <c r="I9" i="108" s="1"/>
  <c r="I10" i="108" s="1"/>
  <c r="I11" i="108" s="1"/>
  <c r="I12" i="108" s="1"/>
  <c r="K7" i="108"/>
  <c r="K8" i="108" s="1"/>
  <c r="K9" i="108" s="1"/>
  <c r="K10" i="108" s="1"/>
  <c r="K11" i="108" s="1"/>
  <c r="K12" i="108" s="1"/>
  <c r="O67" i="99" l="1"/>
  <c r="U31" i="125"/>
  <c r="Q48" i="89"/>
  <c r="D47" i="100"/>
  <c r="E47" i="100"/>
  <c r="D75" i="95"/>
  <c r="E75" i="95"/>
  <c r="F75" i="95"/>
  <c r="C75" i="95"/>
  <c r="M19" i="94" l="1"/>
  <c r="M18" i="94"/>
  <c r="U32" i="125"/>
  <c r="M8" i="94"/>
  <c r="M7" i="94"/>
  <c r="R48" i="89"/>
  <c r="E101" i="123"/>
  <c r="D101" i="123"/>
  <c r="C101" i="123"/>
  <c r="D100" i="123"/>
  <c r="E99" i="123"/>
  <c r="E100" i="123"/>
  <c r="D99" i="123"/>
  <c r="C99" i="123"/>
  <c r="C36" i="46"/>
  <c r="B20" i="46"/>
  <c r="B19" i="46"/>
  <c r="B18" i="46"/>
  <c r="B17" i="46"/>
  <c r="B16" i="46"/>
  <c r="B15" i="46"/>
  <c r="B14" i="46"/>
  <c r="B13" i="46"/>
  <c r="B12" i="46"/>
  <c r="C5" i="46"/>
  <c r="C4" i="46"/>
  <c r="V80" i="89"/>
  <c r="W80" i="89" s="1"/>
  <c r="X80" i="89" s="1"/>
  <c r="Y80" i="89" s="1"/>
  <c r="Z80" i="89" s="1"/>
  <c r="AA80" i="89" s="1"/>
  <c r="AB80" i="89" s="1"/>
  <c r="AC81" i="98"/>
  <c r="Q61" i="100"/>
  <c r="H82" i="98"/>
  <c r="H83" i="98"/>
  <c r="H84" i="98"/>
  <c r="H85" i="98"/>
  <c r="H86" i="98"/>
  <c r="H87" i="98"/>
  <c r="H81" i="98"/>
  <c r="I91" i="98"/>
  <c r="H90" i="98"/>
  <c r="H91" i="98"/>
  <c r="H92" i="98"/>
  <c r="H93" i="98"/>
  <c r="H94" i="98"/>
  <c r="H95" i="98"/>
  <c r="H96" i="98"/>
  <c r="I96" i="98" s="1"/>
  <c r="J96" i="98" s="1"/>
  <c r="H68" i="98"/>
  <c r="H69" i="98"/>
  <c r="H70" i="98"/>
  <c r="H66" i="98"/>
  <c r="H62" i="98"/>
  <c r="H63" i="98"/>
  <c r="H64" i="98"/>
  <c r="H61" i="98"/>
  <c r="W5" i="103"/>
  <c r="X5" i="103" s="1"/>
  <c r="W18" i="103"/>
  <c r="X18" i="103"/>
  <c r="Y18" i="103"/>
  <c r="Z18" i="103"/>
  <c r="AA18" i="103"/>
  <c r="AB18" i="103"/>
  <c r="AC18" i="103"/>
  <c r="W27" i="103"/>
  <c r="X27" i="103"/>
  <c r="Y27" i="103"/>
  <c r="Z27" i="103"/>
  <c r="AA27" i="103"/>
  <c r="AB27" i="103"/>
  <c r="AC27" i="103"/>
  <c r="W46" i="103"/>
  <c r="W49" i="103"/>
  <c r="X49" i="103"/>
  <c r="Y49" i="103"/>
  <c r="Z49" i="103"/>
  <c r="AA49" i="103"/>
  <c r="AB49" i="103"/>
  <c r="AC49" i="103"/>
  <c r="W55" i="103"/>
  <c r="X55" i="103"/>
  <c r="Y55" i="103"/>
  <c r="Z55" i="103"/>
  <c r="AA55" i="103"/>
  <c r="AB55" i="103"/>
  <c r="AC55" i="103"/>
  <c r="X11" i="102"/>
  <c r="V12" i="102"/>
  <c r="W12" i="102"/>
  <c r="X12" i="102"/>
  <c r="Y12" i="102"/>
  <c r="Z12" i="102"/>
  <c r="AA12" i="102"/>
  <c r="AB12" i="102"/>
  <c r="V20" i="102"/>
  <c r="W20" i="102"/>
  <c r="X20" i="102"/>
  <c r="Y20" i="102"/>
  <c r="Z20" i="102"/>
  <c r="AA20" i="102"/>
  <c r="AB20" i="102"/>
  <c r="V22" i="102"/>
  <c r="W22" i="102"/>
  <c r="X22" i="102"/>
  <c r="Y22" i="102"/>
  <c r="Z22" i="102"/>
  <c r="AA22" i="102"/>
  <c r="AB22" i="102"/>
  <c r="Y25" i="102"/>
  <c r="AB25" i="102"/>
  <c r="N29" i="73"/>
  <c r="N29" i="100" s="1"/>
  <c r="N30" i="73"/>
  <c r="N30" i="100" s="1"/>
  <c r="N31" i="73"/>
  <c r="N31" i="100" s="1"/>
  <c r="N32" i="73"/>
  <c r="N32" i="100" s="1"/>
  <c r="N33" i="73"/>
  <c r="N33" i="100" s="1"/>
  <c r="N34" i="73"/>
  <c r="N34" i="100" s="1"/>
  <c r="N35" i="73"/>
  <c r="N35" i="100" s="1"/>
  <c r="N36" i="73"/>
  <c r="N36" i="100" s="1"/>
  <c r="N37" i="73"/>
  <c r="N37" i="100" s="1"/>
  <c r="M30" i="73"/>
  <c r="M30" i="100" s="1"/>
  <c r="M31" i="73"/>
  <c r="M31" i="100" s="1"/>
  <c r="M32" i="73"/>
  <c r="M32" i="100" s="1"/>
  <c r="M33" i="73"/>
  <c r="M33" i="100" s="1"/>
  <c r="M34" i="73"/>
  <c r="M34" i="100" s="1"/>
  <c r="M35" i="73"/>
  <c r="M35" i="100" s="1"/>
  <c r="M36" i="73"/>
  <c r="M36" i="100" s="1"/>
  <c r="M37" i="73"/>
  <c r="M37" i="100" s="1"/>
  <c r="M29" i="73"/>
  <c r="M29" i="100" s="1"/>
  <c r="AC29" i="73"/>
  <c r="AC30" i="100"/>
  <c r="W44" i="100"/>
  <c r="X44" i="100" s="1"/>
  <c r="W42" i="100"/>
  <c r="X42" i="100" s="1"/>
  <c r="Y42" i="100" s="1"/>
  <c r="Z42" i="100" s="1"/>
  <c r="AA42" i="100" s="1"/>
  <c r="AB42" i="100" s="1"/>
  <c r="AC42" i="100" s="1"/>
  <c r="X41" i="100"/>
  <c r="Y41" i="100" s="1"/>
  <c r="Z41" i="100" s="1"/>
  <c r="AA41" i="100" s="1"/>
  <c r="AB41" i="100" s="1"/>
  <c r="AC41" i="100" s="1"/>
  <c r="W41" i="100"/>
  <c r="W40" i="100"/>
  <c r="X39" i="100"/>
  <c r="Y39" i="100" s="1"/>
  <c r="Z39" i="100" s="1"/>
  <c r="AA39" i="100" s="1"/>
  <c r="AB39" i="100" s="1"/>
  <c r="AC39" i="100" s="1"/>
  <c r="W39" i="100"/>
  <c r="W26" i="100"/>
  <c r="X26" i="100" s="1"/>
  <c r="Y26" i="100" s="1"/>
  <c r="Z26" i="100" s="1"/>
  <c r="AA26" i="100" s="1"/>
  <c r="AB26" i="100" s="1"/>
  <c r="AC26" i="100" s="1"/>
  <c r="W2" i="100"/>
  <c r="X2" i="100" s="1"/>
  <c r="Y2" i="100" s="1"/>
  <c r="Z2" i="100" s="1"/>
  <c r="AA2" i="100" s="1"/>
  <c r="AB2" i="100" s="1"/>
  <c r="AC2" i="100" s="1"/>
  <c r="V2" i="98"/>
  <c r="V59" i="98" s="1"/>
  <c r="V5" i="105"/>
  <c r="R24" i="46" s="1"/>
  <c r="R11" i="46" s="1"/>
  <c r="W5" i="105"/>
  <c r="V24" i="105"/>
  <c r="W24" i="105"/>
  <c r="V25" i="102" s="1"/>
  <c r="X24" i="105"/>
  <c r="W25" i="102" s="1"/>
  <c r="Y24" i="105"/>
  <c r="X25" i="102" s="1"/>
  <c r="Z24" i="105"/>
  <c r="AA24" i="105"/>
  <c r="Z25" i="102" s="1"/>
  <c r="AB24" i="105"/>
  <c r="AA25" i="102" s="1"/>
  <c r="AC24" i="105"/>
  <c r="V27" i="105"/>
  <c r="W27" i="105"/>
  <c r="V11" i="102" s="1"/>
  <c r="X27" i="105"/>
  <c r="W11" i="102" s="1"/>
  <c r="Y27" i="105"/>
  <c r="Z27" i="105"/>
  <c r="Y11" i="102" s="1"/>
  <c r="AA27" i="105"/>
  <c r="Z11" i="102" s="1"/>
  <c r="AB27" i="105"/>
  <c r="AA11" i="102" s="1"/>
  <c r="AC27" i="105"/>
  <c r="V51" i="105"/>
  <c r="W51" i="105"/>
  <c r="W54" i="105" s="1"/>
  <c r="X51" i="105"/>
  <c r="Y51" i="105"/>
  <c r="Z51" i="105"/>
  <c r="AA51" i="105"/>
  <c r="AB51" i="105"/>
  <c r="AC51" i="105"/>
  <c r="V54" i="105"/>
  <c r="X54" i="105"/>
  <c r="Y54" i="105"/>
  <c r="Z54" i="105"/>
  <c r="AA54" i="105"/>
  <c r="AB54" i="105"/>
  <c r="AC54" i="105"/>
  <c r="V73" i="105"/>
  <c r="W73" i="105"/>
  <c r="X73" i="105"/>
  <c r="Y73" i="105"/>
  <c r="Z73" i="105"/>
  <c r="AA73" i="105"/>
  <c r="AB73" i="105"/>
  <c r="AC73" i="105"/>
  <c r="AC74" i="105"/>
  <c r="AC75" i="105"/>
  <c r="AC76" i="105"/>
  <c r="AC77" i="105"/>
  <c r="Q16" i="104"/>
  <c r="Q42" i="104" s="1"/>
  <c r="Q57" i="104" s="1"/>
  <c r="AB29" i="97"/>
  <c r="AA29" i="97"/>
  <c r="Z29" i="97"/>
  <c r="Y29" i="97"/>
  <c r="X29" i="97"/>
  <c r="W29" i="97"/>
  <c r="V29" i="97"/>
  <c r="U29" i="97"/>
  <c r="P16" i="104"/>
  <c r="P42" i="104" s="1"/>
  <c r="P57" i="104" s="1"/>
  <c r="AC55" i="3"/>
  <c r="AB55" i="3"/>
  <c r="AA55" i="3"/>
  <c r="Z55" i="3"/>
  <c r="Y55" i="3"/>
  <c r="X55" i="3"/>
  <c r="W55" i="3"/>
  <c r="AC49" i="3"/>
  <c r="AB49" i="3"/>
  <c r="AA49" i="3"/>
  <c r="Z49" i="3"/>
  <c r="Y49" i="3"/>
  <c r="X49" i="3"/>
  <c r="W49" i="3"/>
  <c r="AC27" i="3"/>
  <c r="AB27" i="3"/>
  <c r="AA27" i="3"/>
  <c r="Z27" i="3"/>
  <c r="Y27" i="3"/>
  <c r="X27" i="3"/>
  <c r="W27" i="3"/>
  <c r="AC18" i="3"/>
  <c r="AB18" i="3"/>
  <c r="AA18" i="3"/>
  <c r="Z18" i="3"/>
  <c r="Y18" i="3"/>
  <c r="X18" i="3"/>
  <c r="W18" i="3"/>
  <c r="X5" i="3"/>
  <c r="Y5" i="3" s="1"/>
  <c r="W5" i="3"/>
  <c r="W46" i="3" s="1"/>
  <c r="AB25" i="5"/>
  <c r="AA25" i="5"/>
  <c r="Z25" i="5"/>
  <c r="Y25" i="5"/>
  <c r="X25" i="5"/>
  <c r="W25" i="5"/>
  <c r="V25" i="5"/>
  <c r="AB22" i="5"/>
  <c r="AA22" i="5"/>
  <c r="Z22" i="5"/>
  <c r="Y22" i="5"/>
  <c r="X22" i="5"/>
  <c r="W22" i="5"/>
  <c r="V22" i="5"/>
  <c r="AB20" i="5"/>
  <c r="AA20" i="5"/>
  <c r="Z20" i="5"/>
  <c r="Y20" i="5"/>
  <c r="X20" i="5"/>
  <c r="W20" i="5"/>
  <c r="V20" i="5"/>
  <c r="AB12" i="5"/>
  <c r="AA12" i="5"/>
  <c r="Z12" i="5"/>
  <c r="Y12" i="5"/>
  <c r="X12" i="5"/>
  <c r="W12" i="5"/>
  <c r="V12" i="5"/>
  <c r="AB11" i="5"/>
  <c r="AA11" i="5"/>
  <c r="Z11" i="5"/>
  <c r="Y11" i="5"/>
  <c r="X11" i="5"/>
  <c r="W11" i="5"/>
  <c r="V11" i="5"/>
  <c r="V5" i="5"/>
  <c r="X44" i="73"/>
  <c r="Y44" i="73" s="1"/>
  <c r="Z44" i="73" s="1"/>
  <c r="AA44" i="73" s="1"/>
  <c r="AB44" i="73" s="1"/>
  <c r="AC44" i="73" s="1"/>
  <c r="X43" i="73"/>
  <c r="X42" i="73"/>
  <c r="Y42" i="73" s="1"/>
  <c r="Z42" i="73" s="1"/>
  <c r="AA42" i="73" s="1"/>
  <c r="AB42" i="73" s="1"/>
  <c r="AC42" i="73" s="1"/>
  <c r="X41" i="73"/>
  <c r="Y41" i="73" s="1"/>
  <c r="Z41" i="73" s="1"/>
  <c r="AA41" i="73" s="1"/>
  <c r="AB41" i="73" s="1"/>
  <c r="AC41" i="73" s="1"/>
  <c r="X40" i="73"/>
  <c r="X39" i="73"/>
  <c r="Y39" i="73" s="1"/>
  <c r="Z39" i="73" s="1"/>
  <c r="AA39" i="73" s="1"/>
  <c r="AB39" i="73" s="1"/>
  <c r="AC39" i="73" s="1"/>
  <c r="X26" i="73"/>
  <c r="Y26" i="73" s="1"/>
  <c r="Z26" i="73" s="1"/>
  <c r="AA26" i="73" s="1"/>
  <c r="AB26" i="73" s="1"/>
  <c r="AC26" i="73" s="1"/>
  <c r="X2" i="73"/>
  <c r="Y2" i="73" s="1"/>
  <c r="Z2" i="73" s="1"/>
  <c r="AA2" i="73" s="1"/>
  <c r="AB2" i="73" s="1"/>
  <c r="AC2" i="73" s="1"/>
  <c r="W44" i="73"/>
  <c r="W43" i="73"/>
  <c r="W42" i="73"/>
  <c r="W41" i="73"/>
  <c r="W40" i="73"/>
  <c r="W39" i="73"/>
  <c r="W26" i="73"/>
  <c r="W2" i="73"/>
  <c r="W78" i="4"/>
  <c r="W77" i="4"/>
  <c r="W75" i="4"/>
  <c r="W74" i="4"/>
  <c r="W73" i="4"/>
  <c r="W72" i="4"/>
  <c r="W65" i="4"/>
  <c r="W53" i="4"/>
  <c r="W50" i="4"/>
  <c r="W27" i="4"/>
  <c r="W24" i="4"/>
  <c r="W5" i="4"/>
  <c r="X5" i="4"/>
  <c r="T23" i="12" s="1"/>
  <c r="T10" i="12" s="1"/>
  <c r="X24" i="4"/>
  <c r="Y24" i="4"/>
  <c r="Z24" i="4"/>
  <c r="AA24" i="4"/>
  <c r="AB24" i="4"/>
  <c r="AC24" i="4"/>
  <c r="X27" i="4"/>
  <c r="Y27" i="4"/>
  <c r="Z27" i="4"/>
  <c r="AA27" i="4"/>
  <c r="AB27" i="4"/>
  <c r="AC27" i="4"/>
  <c r="X50" i="4"/>
  <c r="Y50" i="4"/>
  <c r="Y53" i="4" s="1"/>
  <c r="Z50" i="4"/>
  <c r="Z53" i="4" s="1"/>
  <c r="AA50" i="4"/>
  <c r="AB50" i="4"/>
  <c r="AB53" i="4" s="1"/>
  <c r="AC50" i="4"/>
  <c r="X53" i="4"/>
  <c r="AA53" i="4"/>
  <c r="AC53" i="4"/>
  <c r="X65" i="4"/>
  <c r="X72" i="4"/>
  <c r="Y72" i="4"/>
  <c r="Z72" i="4"/>
  <c r="AA72" i="4"/>
  <c r="AB72" i="4"/>
  <c r="AC72" i="4"/>
  <c r="X73" i="4"/>
  <c r="Y73" i="4"/>
  <c r="Z73" i="4"/>
  <c r="AA73" i="4"/>
  <c r="AB73" i="4"/>
  <c r="AC73" i="4"/>
  <c r="X74" i="4"/>
  <c r="Y74" i="4"/>
  <c r="Z74" i="4"/>
  <c r="AA74" i="4"/>
  <c r="AB74" i="4"/>
  <c r="AC74" i="4"/>
  <c r="X75" i="4"/>
  <c r="Y75" i="4"/>
  <c r="Z75" i="4"/>
  <c r="AA75" i="4"/>
  <c r="AB75" i="4"/>
  <c r="AC75" i="4"/>
  <c r="AC76" i="4"/>
  <c r="X77" i="4"/>
  <c r="Y77" i="4" s="1"/>
  <c r="X78" i="4"/>
  <c r="Y78" i="4" s="1"/>
  <c r="Z78" i="4" s="1"/>
  <c r="AA78" i="4" s="1"/>
  <c r="AB78" i="4" s="1"/>
  <c r="AC78" i="4" s="1"/>
  <c r="S23" i="12"/>
  <c r="S10" i="12"/>
  <c r="AB29" i="55"/>
  <c r="AA29" i="55"/>
  <c r="Z29" i="55"/>
  <c r="Y29" i="55"/>
  <c r="X29" i="55"/>
  <c r="W29" i="55"/>
  <c r="V29" i="55"/>
  <c r="V24" i="55"/>
  <c r="V23" i="55"/>
  <c r="V22" i="55" s="1"/>
  <c r="W23" i="55" s="1"/>
  <c r="V17" i="55"/>
  <c r="W2" i="55"/>
  <c r="X2" i="55" s="1"/>
  <c r="Y2" i="55" s="1"/>
  <c r="Z2" i="55" s="1"/>
  <c r="AA2" i="55" s="1"/>
  <c r="AB2" i="55" s="1"/>
  <c r="V2" i="55"/>
  <c r="V2" i="95"/>
  <c r="V59" i="95" s="1"/>
  <c r="V59" i="89"/>
  <c r="W59" i="89" s="1"/>
  <c r="X59" i="89" s="1"/>
  <c r="Y59" i="89" s="1"/>
  <c r="Z59" i="89" s="1"/>
  <c r="AA59" i="89" s="1"/>
  <c r="AB59" i="89" s="1"/>
  <c r="V2" i="89"/>
  <c r="W2" i="89" s="1"/>
  <c r="X2" i="89" s="1"/>
  <c r="Y2" i="89" s="1"/>
  <c r="Z2" i="89" s="1"/>
  <c r="AA2" i="89" s="1"/>
  <c r="AB2" i="89" s="1"/>
  <c r="V33" i="89"/>
  <c r="W33" i="89" s="1"/>
  <c r="X33" i="89" s="1"/>
  <c r="Y33" i="89" s="1"/>
  <c r="Z33" i="89" s="1"/>
  <c r="AA33" i="89" s="1"/>
  <c r="AB33" i="89" s="1"/>
  <c r="V34" i="89"/>
  <c r="W34" i="89"/>
  <c r="X34" i="89" s="1"/>
  <c r="Y34" i="89" s="1"/>
  <c r="Z34" i="89" s="1"/>
  <c r="AA34" i="89" s="1"/>
  <c r="AB34" i="89" s="1"/>
  <c r="V36" i="89"/>
  <c r="W36" i="89" s="1"/>
  <c r="X36" i="89" s="1"/>
  <c r="Y36" i="89" s="1"/>
  <c r="Z36" i="89" s="1"/>
  <c r="AA36" i="89" s="1"/>
  <c r="AB36" i="89" s="1"/>
  <c r="W52" i="89"/>
  <c r="X52" i="89"/>
  <c r="AB52" i="89"/>
  <c r="Y52" i="89"/>
  <c r="Z52" i="89"/>
  <c r="AA52" i="89"/>
  <c r="V58" i="89"/>
  <c r="W58" i="89"/>
  <c r="X58" i="89" s="1"/>
  <c r="Y58" i="89" s="1"/>
  <c r="Z58" i="89" s="1"/>
  <c r="AA58" i="89" s="1"/>
  <c r="AB58" i="89" s="1"/>
  <c r="Q16" i="2"/>
  <c r="Q40" i="2"/>
  <c r="Q52" i="2" s="1"/>
  <c r="Q49" i="2"/>
  <c r="Q23" i="2" s="1"/>
  <c r="S16" i="12" s="1"/>
  <c r="Q54" i="2"/>
  <c r="R54" i="2"/>
  <c r="S54" i="2"/>
  <c r="T54" i="2"/>
  <c r="U54" i="2"/>
  <c r="V54" i="2"/>
  <c r="W54" i="2"/>
  <c r="C45" i="104"/>
  <c r="D45" i="104" s="1"/>
  <c r="E45" i="104" s="1"/>
  <c r="F45" i="104" s="1"/>
  <c r="G45" i="104" s="1"/>
  <c r="H45" i="104" s="1"/>
  <c r="I45" i="104" s="1"/>
  <c r="J45" i="104" s="1"/>
  <c r="K45" i="104" s="1"/>
  <c r="L45" i="104" s="1"/>
  <c r="M45" i="104" s="1"/>
  <c r="N45" i="104" s="1"/>
  <c r="O45" i="104" s="1"/>
  <c r="P45" i="104" s="1"/>
  <c r="Q45" i="104" s="1"/>
  <c r="R45" i="104" s="1"/>
  <c r="S45" i="104" s="1"/>
  <c r="T45" i="104" s="1"/>
  <c r="U45" i="104" s="1"/>
  <c r="V45" i="104" s="1"/>
  <c r="W45" i="104" s="1"/>
  <c r="C46" i="104"/>
  <c r="D46" i="104" s="1"/>
  <c r="E46" i="104" s="1"/>
  <c r="F46" i="104" s="1"/>
  <c r="G46" i="104" s="1"/>
  <c r="H46" i="104" s="1"/>
  <c r="I46" i="104" s="1"/>
  <c r="J46" i="104" s="1"/>
  <c r="K46" i="104" s="1"/>
  <c r="L46" i="104" s="1"/>
  <c r="M46" i="104" s="1"/>
  <c r="C43" i="104"/>
  <c r="C5" i="106"/>
  <c r="C4" i="106"/>
  <c r="B40" i="104" s="1"/>
  <c r="I58" i="89"/>
  <c r="J58" i="89" s="1"/>
  <c r="K58" i="89" s="1"/>
  <c r="L58" i="89" s="1"/>
  <c r="M58" i="89" s="1"/>
  <c r="N58" i="89" s="1"/>
  <c r="O58" i="89" s="1"/>
  <c r="P58" i="89" s="1"/>
  <c r="Q58" i="89" s="1"/>
  <c r="R58" i="89" s="1"/>
  <c r="S58" i="89" s="1"/>
  <c r="T58" i="89" s="1"/>
  <c r="U58" i="89" s="1"/>
  <c r="E16" i="81"/>
  <c r="E13" i="81"/>
  <c r="E14" i="81" s="1"/>
  <c r="I78" i="99"/>
  <c r="J78" i="99" s="1"/>
  <c r="K78" i="99" s="1"/>
  <c r="L78" i="99" s="1"/>
  <c r="M78" i="99" s="1"/>
  <c r="N78" i="99" s="1"/>
  <c r="O78" i="99" s="1"/>
  <c r="P78" i="99" s="1"/>
  <c r="Q78" i="99" s="1"/>
  <c r="R78" i="99" s="1"/>
  <c r="S78" i="99" s="1"/>
  <c r="T78" i="99" s="1"/>
  <c r="U78" i="99" s="1"/>
  <c r="V78" i="99" s="1"/>
  <c r="W78" i="99" s="1"/>
  <c r="X78" i="99" s="1"/>
  <c r="Y78" i="99" s="1"/>
  <c r="Z78" i="99" s="1"/>
  <c r="AA78" i="99" s="1"/>
  <c r="AB78" i="99" s="1"/>
  <c r="H24" i="97"/>
  <c r="H23" i="97"/>
  <c r="H58" i="99"/>
  <c r="C6" i="127" s="1"/>
  <c r="U25" i="102"/>
  <c r="R25" i="102"/>
  <c r="J25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U20" i="102"/>
  <c r="T20" i="102"/>
  <c r="S20" i="102"/>
  <c r="R20" i="102"/>
  <c r="Q20" i="102"/>
  <c r="P20" i="102"/>
  <c r="O20" i="102"/>
  <c r="N20" i="102"/>
  <c r="M20" i="102"/>
  <c r="L20" i="102"/>
  <c r="K20" i="102"/>
  <c r="J20" i="102"/>
  <c r="I20" i="102"/>
  <c r="H20" i="102"/>
  <c r="F19" i="102"/>
  <c r="E19" i="102"/>
  <c r="U12" i="102"/>
  <c r="T12" i="102"/>
  <c r="S12" i="102"/>
  <c r="R12" i="102"/>
  <c r="Q12" i="102"/>
  <c r="P12" i="102"/>
  <c r="O12" i="102"/>
  <c r="N12" i="102"/>
  <c r="M12" i="102"/>
  <c r="L12" i="102"/>
  <c r="K12" i="102"/>
  <c r="J12" i="102"/>
  <c r="I12" i="102"/>
  <c r="H12" i="102"/>
  <c r="G12" i="102"/>
  <c r="F12" i="102"/>
  <c r="E12" i="102"/>
  <c r="D12" i="102"/>
  <c r="C12" i="102"/>
  <c r="U11" i="102"/>
  <c r="P11" i="102"/>
  <c r="H11" i="102"/>
  <c r="C9" i="102"/>
  <c r="D5" i="102"/>
  <c r="C5" i="102"/>
  <c r="I26" i="97"/>
  <c r="J26" i="97"/>
  <c r="C51" i="104"/>
  <c r="C23" i="104" s="1"/>
  <c r="E17" i="46" s="1"/>
  <c r="E48" i="100"/>
  <c r="D48" i="100"/>
  <c r="D49" i="100"/>
  <c r="C67" i="98"/>
  <c r="B56" i="97"/>
  <c r="B60" i="97" s="1"/>
  <c r="B64" i="97" s="1"/>
  <c r="B68" i="97" s="1"/>
  <c r="B55" i="97"/>
  <c r="B54" i="97"/>
  <c r="B58" i="97" s="1"/>
  <c r="B62" i="97" s="1"/>
  <c r="B66" i="97" s="1"/>
  <c r="F18" i="97"/>
  <c r="E18" i="97"/>
  <c r="E15" i="97" s="1"/>
  <c r="D18" i="97"/>
  <c r="D15" i="97" s="1"/>
  <c r="C18" i="97"/>
  <c r="F17" i="97"/>
  <c r="F14" i="97" s="1"/>
  <c r="D2" i="97"/>
  <c r="C2" i="97"/>
  <c r="B20" i="106"/>
  <c r="B19" i="106"/>
  <c r="B18" i="106"/>
  <c r="B17" i="106"/>
  <c r="B16" i="106"/>
  <c r="B15" i="106"/>
  <c r="B14" i="106"/>
  <c r="B13" i="106"/>
  <c r="B12" i="106"/>
  <c r="G79" i="105"/>
  <c r="F79" i="105"/>
  <c r="E79" i="105"/>
  <c r="D79" i="105"/>
  <c r="B79" i="105"/>
  <c r="G78" i="105"/>
  <c r="F78" i="105"/>
  <c r="E78" i="105"/>
  <c r="D78" i="105"/>
  <c r="B78" i="105"/>
  <c r="G77" i="105"/>
  <c r="F77" i="105"/>
  <c r="E77" i="105"/>
  <c r="D77" i="105"/>
  <c r="B77" i="105"/>
  <c r="J76" i="105"/>
  <c r="I76" i="105"/>
  <c r="B76" i="105"/>
  <c r="J75" i="105"/>
  <c r="I75" i="105"/>
  <c r="B75" i="105"/>
  <c r="J74" i="105"/>
  <c r="I74" i="105"/>
  <c r="B74" i="105"/>
  <c r="U73" i="105"/>
  <c r="T73" i="105"/>
  <c r="S73" i="105"/>
  <c r="R73" i="105"/>
  <c r="Q73" i="105"/>
  <c r="P73" i="105"/>
  <c r="O73" i="105"/>
  <c r="N73" i="105"/>
  <c r="M73" i="105"/>
  <c r="L73" i="105"/>
  <c r="K73" i="105"/>
  <c r="J73" i="105"/>
  <c r="I73" i="105"/>
  <c r="B73" i="105"/>
  <c r="K31" i="105"/>
  <c r="J31" i="105"/>
  <c r="I31" i="105"/>
  <c r="E5" i="105"/>
  <c r="D5" i="105"/>
  <c r="C5" i="105"/>
  <c r="J79" i="105"/>
  <c r="K79" i="105" s="1"/>
  <c r="L79" i="105" s="1"/>
  <c r="M79" i="105" s="1"/>
  <c r="N79" i="105" s="1"/>
  <c r="O79" i="105" s="1"/>
  <c r="P79" i="105" s="1"/>
  <c r="Q79" i="105" s="1"/>
  <c r="R79" i="105" s="1"/>
  <c r="S79" i="105" s="1"/>
  <c r="T79" i="105" s="1"/>
  <c r="U79" i="105" s="1"/>
  <c r="V79" i="105" s="1"/>
  <c r="W79" i="105" s="1"/>
  <c r="X79" i="105" s="1"/>
  <c r="Y79" i="105" s="1"/>
  <c r="Z79" i="105" s="1"/>
  <c r="AA79" i="105" s="1"/>
  <c r="AB79" i="105" s="1"/>
  <c r="AC79" i="105" s="1"/>
  <c r="J78" i="105"/>
  <c r="K78" i="105" s="1"/>
  <c r="J66" i="105"/>
  <c r="K66" i="105" s="1"/>
  <c r="L54" i="105"/>
  <c r="J54" i="105"/>
  <c r="U51" i="105"/>
  <c r="U54" i="105" s="1"/>
  <c r="T51" i="105"/>
  <c r="T54" i="105" s="1"/>
  <c r="S51" i="105"/>
  <c r="S54" i="105" s="1"/>
  <c r="R51" i="105"/>
  <c r="R54" i="105" s="1"/>
  <c r="Q51" i="105"/>
  <c r="Q54" i="105" s="1"/>
  <c r="P51" i="105"/>
  <c r="P54" i="105" s="1"/>
  <c r="O51" i="105"/>
  <c r="O54" i="105" s="1"/>
  <c r="N51" i="105"/>
  <c r="N54" i="105" s="1"/>
  <c r="M51" i="105"/>
  <c r="M54" i="105" s="1"/>
  <c r="L51" i="105"/>
  <c r="K51" i="105"/>
  <c r="K54" i="105" s="1"/>
  <c r="J51" i="105"/>
  <c r="I51" i="105"/>
  <c r="I54" i="105" s="1"/>
  <c r="H51" i="105"/>
  <c r="G51" i="105"/>
  <c r="F51" i="105"/>
  <c r="E51" i="105"/>
  <c r="D51" i="105"/>
  <c r="C21" i="102" s="1"/>
  <c r="C51" i="105"/>
  <c r="G49" i="105"/>
  <c r="F49" i="105"/>
  <c r="F54" i="105" s="1"/>
  <c r="E49" i="105"/>
  <c r="E54" i="105" s="1"/>
  <c r="D49" i="105"/>
  <c r="D54" i="105" s="1"/>
  <c r="C49" i="105"/>
  <c r="C54" i="105" s="1"/>
  <c r="G46" i="105"/>
  <c r="F46" i="105"/>
  <c r="F45" i="105" s="1"/>
  <c r="E21" i="102" s="1"/>
  <c r="E46" i="105"/>
  <c r="D46" i="105"/>
  <c r="D45" i="105" s="1"/>
  <c r="C46" i="105"/>
  <c r="C45" i="105" s="1"/>
  <c r="G45" i="105"/>
  <c r="F21" i="102" s="1"/>
  <c r="E45" i="105"/>
  <c r="D21" i="102" s="1"/>
  <c r="G43" i="105"/>
  <c r="F13" i="102" s="1"/>
  <c r="F43" i="105"/>
  <c r="E43" i="105"/>
  <c r="D19" i="102" s="1"/>
  <c r="D43" i="105"/>
  <c r="C19" i="102" s="1"/>
  <c r="C18" i="102" s="1"/>
  <c r="C43" i="105"/>
  <c r="C44" i="105" s="1"/>
  <c r="G42" i="105"/>
  <c r="F20" i="102" s="1"/>
  <c r="F18" i="102" s="1"/>
  <c r="F42" i="105"/>
  <c r="F44" i="105" s="1"/>
  <c r="E42" i="105"/>
  <c r="E44" i="105" s="1"/>
  <c r="D42" i="105"/>
  <c r="C20" i="102" s="1"/>
  <c r="C42" i="105"/>
  <c r="G37" i="105"/>
  <c r="F37" i="105"/>
  <c r="E37" i="105"/>
  <c r="D37" i="105"/>
  <c r="C37" i="105"/>
  <c r="G36" i="105"/>
  <c r="F36" i="105"/>
  <c r="E36" i="105"/>
  <c r="D36" i="105"/>
  <c r="C36" i="105"/>
  <c r="C33" i="105" s="1"/>
  <c r="G34" i="105"/>
  <c r="G33" i="105" s="1"/>
  <c r="F34" i="105"/>
  <c r="F33" i="105" s="1"/>
  <c r="E34" i="105"/>
  <c r="E33" i="105" s="1"/>
  <c r="D34" i="105"/>
  <c r="D33" i="105" s="1"/>
  <c r="C34" i="105"/>
  <c r="G32" i="105"/>
  <c r="G30" i="105" s="1"/>
  <c r="F32" i="105"/>
  <c r="E32" i="105"/>
  <c r="D32" i="105"/>
  <c r="C32" i="105"/>
  <c r="G31" i="105"/>
  <c r="F31" i="105"/>
  <c r="E31" i="105"/>
  <c r="D31" i="105"/>
  <c r="D30" i="105" s="1"/>
  <c r="C31" i="105"/>
  <c r="C30" i="105" s="1"/>
  <c r="U27" i="105"/>
  <c r="T11" i="102" s="1"/>
  <c r="T27" i="105"/>
  <c r="S11" i="102" s="1"/>
  <c r="S27" i="105"/>
  <c r="R11" i="102" s="1"/>
  <c r="R27" i="105"/>
  <c r="Q11" i="102" s="1"/>
  <c r="Q27" i="105"/>
  <c r="P27" i="105"/>
  <c r="O11" i="102" s="1"/>
  <c r="O27" i="105"/>
  <c r="N11" i="102" s="1"/>
  <c r="N27" i="105"/>
  <c r="M11" i="102" s="1"/>
  <c r="M27" i="105"/>
  <c r="L11" i="102" s="1"/>
  <c r="L27" i="105"/>
  <c r="K11" i="102" s="1"/>
  <c r="K27" i="105"/>
  <c r="J11" i="102" s="1"/>
  <c r="J27" i="105"/>
  <c r="I11" i="102" s="1"/>
  <c r="I27" i="105"/>
  <c r="H27" i="105"/>
  <c r="G27" i="105"/>
  <c r="F11" i="102" s="1"/>
  <c r="F27" i="105"/>
  <c r="E11" i="102" s="1"/>
  <c r="E27" i="105"/>
  <c r="D11" i="102" s="1"/>
  <c r="D27" i="105"/>
  <c r="C11" i="102" s="1"/>
  <c r="C27" i="105"/>
  <c r="G25" i="105"/>
  <c r="F25" i="105"/>
  <c r="E25" i="105"/>
  <c r="E24" i="105" s="1"/>
  <c r="D25" i="102" s="1"/>
  <c r="D25" i="105"/>
  <c r="D24" i="105" s="1"/>
  <c r="C25" i="102" s="1"/>
  <c r="C25" i="105"/>
  <c r="C24" i="105" s="1"/>
  <c r="U24" i="105"/>
  <c r="T25" i="102" s="1"/>
  <c r="T24" i="105"/>
  <c r="S25" i="102" s="1"/>
  <c r="S24" i="105"/>
  <c r="R24" i="105"/>
  <c r="Q25" i="102" s="1"/>
  <c r="Q24" i="105"/>
  <c r="P25" i="102" s="1"/>
  <c r="P24" i="105"/>
  <c r="O25" i="102" s="1"/>
  <c r="O24" i="105"/>
  <c r="N25" i="102" s="1"/>
  <c r="N24" i="105"/>
  <c r="M25" i="102" s="1"/>
  <c r="M24" i="105"/>
  <c r="L25" i="102" s="1"/>
  <c r="L24" i="105"/>
  <c r="K25" i="102" s="1"/>
  <c r="K24" i="105"/>
  <c r="J24" i="105"/>
  <c r="I25" i="102" s="1"/>
  <c r="I24" i="105"/>
  <c r="H25" i="102" s="1"/>
  <c r="G24" i="105"/>
  <c r="F25" i="102" s="1"/>
  <c r="F24" i="105"/>
  <c r="E25" i="102" s="1"/>
  <c r="G23" i="105"/>
  <c r="F9" i="102" s="1"/>
  <c r="F23" i="105"/>
  <c r="E9" i="102" s="1"/>
  <c r="E23" i="105"/>
  <c r="D9" i="102" s="1"/>
  <c r="D23" i="105"/>
  <c r="C23" i="105"/>
  <c r="G22" i="105"/>
  <c r="F22" i="105"/>
  <c r="E22" i="105"/>
  <c r="D22" i="105"/>
  <c r="C22" i="105"/>
  <c r="G20" i="105"/>
  <c r="G25" i="100" s="1"/>
  <c r="F20" i="105"/>
  <c r="F25" i="100" s="1"/>
  <c r="E20" i="105"/>
  <c r="E25" i="100" s="1"/>
  <c r="D20" i="105"/>
  <c r="D25" i="100" s="1"/>
  <c r="C20" i="105"/>
  <c r="G18" i="105"/>
  <c r="F67" i="98" s="1"/>
  <c r="F18" i="105"/>
  <c r="F17" i="105" s="1"/>
  <c r="E18" i="105"/>
  <c r="E17" i="105" s="1"/>
  <c r="D57" i="98" s="1"/>
  <c r="D18" i="105"/>
  <c r="C18" i="105"/>
  <c r="C17" i="105" s="1"/>
  <c r="G15" i="105"/>
  <c r="F15" i="105"/>
  <c r="E15" i="105"/>
  <c r="D15" i="105"/>
  <c r="C15" i="105"/>
  <c r="G14" i="105"/>
  <c r="G13" i="105" s="1"/>
  <c r="F14" i="105"/>
  <c r="E14" i="105"/>
  <c r="D14" i="105"/>
  <c r="D13" i="105" s="1"/>
  <c r="C14" i="105"/>
  <c r="C13" i="105" s="1"/>
  <c r="G12" i="105"/>
  <c r="F12" i="105"/>
  <c r="F9" i="105" s="1"/>
  <c r="D47" i="123" s="1"/>
  <c r="E12" i="105"/>
  <c r="D12" i="105"/>
  <c r="C12" i="105"/>
  <c r="G10" i="105"/>
  <c r="G9" i="105" s="1"/>
  <c r="E47" i="123" s="1"/>
  <c r="F10" i="105"/>
  <c r="E10" i="105"/>
  <c r="D10" i="105"/>
  <c r="C10" i="105"/>
  <c r="C9" i="105" s="1"/>
  <c r="E9" i="105"/>
  <c r="C47" i="123" s="1"/>
  <c r="D9" i="105"/>
  <c r="G7" i="105"/>
  <c r="F7" i="105"/>
  <c r="E7" i="105"/>
  <c r="D7" i="105"/>
  <c r="C7" i="105"/>
  <c r="G6" i="105"/>
  <c r="G8" i="105" s="1"/>
  <c r="F6" i="105"/>
  <c r="F8" i="105" s="1"/>
  <c r="E6" i="105"/>
  <c r="D6" i="105"/>
  <c r="D8" i="105" s="1"/>
  <c r="C6" i="105"/>
  <c r="C8" i="105" s="1"/>
  <c r="G85" i="103"/>
  <c r="F85" i="103"/>
  <c r="E85" i="103"/>
  <c r="D85" i="103"/>
  <c r="C85" i="103"/>
  <c r="G84" i="103"/>
  <c r="F84" i="103"/>
  <c r="E84" i="103"/>
  <c r="D84" i="103"/>
  <c r="C84" i="103"/>
  <c r="G81" i="103"/>
  <c r="G82" i="103" s="1"/>
  <c r="F81" i="103"/>
  <c r="E55" i="97" s="1"/>
  <c r="E81" i="103"/>
  <c r="D55" i="97" s="1"/>
  <c r="D81" i="103"/>
  <c r="C55" i="97" s="1"/>
  <c r="C81" i="103"/>
  <c r="C82" i="103" s="1"/>
  <c r="G77" i="103"/>
  <c r="F77" i="103"/>
  <c r="E77" i="103"/>
  <c r="D77" i="103"/>
  <c r="C77" i="103"/>
  <c r="G76" i="103"/>
  <c r="F76" i="103"/>
  <c r="E76" i="103"/>
  <c r="D76" i="103"/>
  <c r="C76" i="103"/>
  <c r="G75" i="103"/>
  <c r="F75" i="103"/>
  <c r="E75" i="103"/>
  <c r="D48" i="97" s="1"/>
  <c r="D43" i="97" s="1"/>
  <c r="D75" i="103"/>
  <c r="C75" i="103"/>
  <c r="G72" i="103"/>
  <c r="F49" i="97" s="1"/>
  <c r="F72" i="103"/>
  <c r="E72" i="103"/>
  <c r="D49" i="97" s="1"/>
  <c r="D72" i="103"/>
  <c r="C49" i="97" s="1"/>
  <c r="C72" i="103"/>
  <c r="G70" i="103"/>
  <c r="F70" i="103"/>
  <c r="G68" i="103"/>
  <c r="F68" i="103"/>
  <c r="E68" i="103"/>
  <c r="D68" i="103"/>
  <c r="C68" i="103"/>
  <c r="G67" i="103"/>
  <c r="F67" i="103"/>
  <c r="E67" i="103"/>
  <c r="D54" i="97" s="1"/>
  <c r="D67" i="103"/>
  <c r="C54" i="97" s="1"/>
  <c r="C67" i="103"/>
  <c r="G64" i="103"/>
  <c r="F64" i="103"/>
  <c r="E64" i="103"/>
  <c r="D64" i="103"/>
  <c r="C64" i="103"/>
  <c r="G62" i="103"/>
  <c r="F62" i="103"/>
  <c r="E62" i="103"/>
  <c r="D62" i="103"/>
  <c r="C62" i="103"/>
  <c r="G59" i="103"/>
  <c r="F59" i="103"/>
  <c r="E59" i="103"/>
  <c r="D59" i="103"/>
  <c r="C59" i="103"/>
  <c r="G58" i="103"/>
  <c r="F58" i="103"/>
  <c r="E58" i="103"/>
  <c r="D58" i="103"/>
  <c r="C58" i="103"/>
  <c r="V55" i="103"/>
  <c r="U55" i="103"/>
  <c r="T55" i="103"/>
  <c r="S55" i="103"/>
  <c r="R55" i="103"/>
  <c r="Q55" i="103"/>
  <c r="P55" i="103"/>
  <c r="O55" i="103"/>
  <c r="N55" i="103"/>
  <c r="M55" i="103"/>
  <c r="L55" i="103"/>
  <c r="K55" i="103"/>
  <c r="J55" i="103"/>
  <c r="I55" i="103"/>
  <c r="H55" i="103"/>
  <c r="G55" i="103"/>
  <c r="F55" i="103"/>
  <c r="E55" i="103"/>
  <c r="D55" i="103"/>
  <c r="C55" i="103"/>
  <c r="H52" i="103"/>
  <c r="G52" i="103"/>
  <c r="F52" i="103"/>
  <c r="E52" i="103"/>
  <c r="D52" i="103"/>
  <c r="C52" i="103"/>
  <c r="V49" i="103"/>
  <c r="U49" i="103"/>
  <c r="T49" i="103"/>
  <c r="S49" i="103"/>
  <c r="R49" i="103"/>
  <c r="Q49" i="103"/>
  <c r="P49" i="103"/>
  <c r="O49" i="103"/>
  <c r="N49" i="103"/>
  <c r="M49" i="103"/>
  <c r="L49" i="103"/>
  <c r="K49" i="103"/>
  <c r="J49" i="103"/>
  <c r="I49" i="103"/>
  <c r="H49" i="103"/>
  <c r="G49" i="103"/>
  <c r="F49" i="103"/>
  <c r="E49" i="103"/>
  <c r="D49" i="103"/>
  <c r="C49" i="103"/>
  <c r="E46" i="103"/>
  <c r="D46" i="103"/>
  <c r="C46" i="103"/>
  <c r="G44" i="103"/>
  <c r="F44" i="103"/>
  <c r="E44" i="103"/>
  <c r="D44" i="103"/>
  <c r="C44" i="103"/>
  <c r="G43" i="103"/>
  <c r="G42" i="103" s="1"/>
  <c r="F43" i="103"/>
  <c r="E43" i="103"/>
  <c r="D43" i="103"/>
  <c r="C43" i="103"/>
  <c r="G41" i="103"/>
  <c r="G6" i="102" s="1"/>
  <c r="F41" i="103"/>
  <c r="F6" i="102" s="1"/>
  <c r="E41" i="103"/>
  <c r="E6" i="102" s="1"/>
  <c r="D41" i="103"/>
  <c r="D6" i="102" s="1"/>
  <c r="C41" i="103"/>
  <c r="C6" i="102" s="1"/>
  <c r="G38" i="103"/>
  <c r="F38" i="103"/>
  <c r="E38" i="103"/>
  <c r="D38" i="103"/>
  <c r="C38" i="103"/>
  <c r="G35" i="103"/>
  <c r="F35" i="103"/>
  <c r="E35" i="103"/>
  <c r="D35" i="103"/>
  <c r="C35" i="103"/>
  <c r="G34" i="103"/>
  <c r="F34" i="103"/>
  <c r="E47" i="97" s="1"/>
  <c r="E34" i="103"/>
  <c r="D47" i="97" s="1"/>
  <c r="D34" i="103"/>
  <c r="C47" i="97" s="1"/>
  <c r="C34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G24" i="103"/>
  <c r="G23" i="103" s="1"/>
  <c r="F24" i="103"/>
  <c r="F23" i="103" s="1"/>
  <c r="F17" i="102" s="1"/>
  <c r="E24" i="103"/>
  <c r="E23" i="103" s="1"/>
  <c r="D24" i="103"/>
  <c r="D23" i="103" s="1"/>
  <c r="C24" i="103"/>
  <c r="C23" i="103" s="1"/>
  <c r="G19" i="103"/>
  <c r="G18" i="103" s="1"/>
  <c r="F19" i="103"/>
  <c r="F18" i="103" s="1"/>
  <c r="E19" i="103"/>
  <c r="E18" i="103" s="1"/>
  <c r="D19" i="103"/>
  <c r="C19" i="103"/>
  <c r="C18" i="103" s="1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D18" i="103"/>
  <c r="G16" i="103"/>
  <c r="F16" i="103"/>
  <c r="E16" i="103"/>
  <c r="D16" i="103"/>
  <c r="C16" i="103"/>
  <c r="G15" i="103"/>
  <c r="F8" i="97" s="1"/>
  <c r="F5" i="97" s="1"/>
  <c r="F15" i="103"/>
  <c r="E8" i="97" s="1"/>
  <c r="E5" i="97" s="1"/>
  <c r="E15" i="103"/>
  <c r="D8" i="97" s="1"/>
  <c r="D5" i="97" s="1"/>
  <c r="D15" i="103"/>
  <c r="C8" i="97" s="1"/>
  <c r="C5" i="97" s="1"/>
  <c r="C15" i="103"/>
  <c r="G14" i="103"/>
  <c r="F14" i="103"/>
  <c r="E14" i="103"/>
  <c r="D14" i="103"/>
  <c r="C14" i="103"/>
  <c r="G9" i="103"/>
  <c r="G12" i="103" s="1"/>
  <c r="G8" i="103" s="1"/>
  <c r="F9" i="103"/>
  <c r="F12" i="103" s="1"/>
  <c r="E9" i="103"/>
  <c r="E12" i="103" s="1"/>
  <c r="E8" i="103" s="1"/>
  <c r="D9" i="103"/>
  <c r="D12" i="103" s="1"/>
  <c r="D8" i="103" s="1"/>
  <c r="C9" i="103"/>
  <c r="F5" i="103"/>
  <c r="F46" i="103" s="1"/>
  <c r="G34" i="102"/>
  <c r="F34" i="102"/>
  <c r="E34" i="102"/>
  <c r="D34" i="102"/>
  <c r="C34" i="102"/>
  <c r="D39" i="104"/>
  <c r="B12" i="104"/>
  <c r="B11" i="104"/>
  <c r="L44" i="100"/>
  <c r="M44" i="100" s="1"/>
  <c r="N44" i="100" s="1"/>
  <c r="Q44" i="100" s="1"/>
  <c r="R44" i="100" s="1"/>
  <c r="S44" i="100" s="1"/>
  <c r="T44" i="100" s="1"/>
  <c r="U44" i="100" s="1"/>
  <c r="V44" i="100" s="1"/>
  <c r="K44" i="100"/>
  <c r="J44" i="100"/>
  <c r="B44" i="100"/>
  <c r="K43" i="100"/>
  <c r="L43" i="100" s="1"/>
  <c r="M43" i="100" s="1"/>
  <c r="N43" i="100" s="1"/>
  <c r="Q43" i="100" s="1"/>
  <c r="R43" i="100" s="1"/>
  <c r="S43" i="100" s="1"/>
  <c r="T43" i="100" s="1"/>
  <c r="U43" i="100" s="1"/>
  <c r="V43" i="100" s="1"/>
  <c r="W43" i="100" s="1"/>
  <c r="X43" i="100" s="1"/>
  <c r="Y43" i="100" s="1"/>
  <c r="Z43" i="100" s="1"/>
  <c r="AA43" i="100" s="1"/>
  <c r="AB43" i="100" s="1"/>
  <c r="AC43" i="100" s="1"/>
  <c r="J43" i="100"/>
  <c r="B43" i="100"/>
  <c r="J42" i="100"/>
  <c r="K42" i="100" s="1"/>
  <c r="L42" i="100" s="1"/>
  <c r="M42" i="100" s="1"/>
  <c r="N42" i="100" s="1"/>
  <c r="O42" i="100" s="1"/>
  <c r="P42" i="100" s="1"/>
  <c r="Q42" i="100" s="1"/>
  <c r="R42" i="100" s="1"/>
  <c r="S42" i="100" s="1"/>
  <c r="T42" i="100" s="1"/>
  <c r="U42" i="100" s="1"/>
  <c r="V42" i="100" s="1"/>
  <c r="G42" i="100"/>
  <c r="B42" i="100"/>
  <c r="R41" i="100"/>
  <c r="S41" i="100" s="1"/>
  <c r="T41" i="100" s="1"/>
  <c r="U41" i="100" s="1"/>
  <c r="V41" i="100" s="1"/>
  <c r="J41" i="100"/>
  <c r="K41" i="100" s="1"/>
  <c r="L41" i="100" s="1"/>
  <c r="M41" i="100" s="1"/>
  <c r="N41" i="100" s="1"/>
  <c r="O41" i="100" s="1"/>
  <c r="P41" i="100" s="1"/>
  <c r="Q41" i="100" s="1"/>
  <c r="B41" i="100"/>
  <c r="L40" i="100"/>
  <c r="M40" i="100" s="1"/>
  <c r="N40" i="100" s="1"/>
  <c r="O40" i="100" s="1"/>
  <c r="P40" i="100" s="1"/>
  <c r="Q40" i="100" s="1"/>
  <c r="R40" i="100" s="1"/>
  <c r="S40" i="100" s="1"/>
  <c r="T40" i="100" s="1"/>
  <c r="U40" i="100" s="1"/>
  <c r="V40" i="100" s="1"/>
  <c r="K40" i="100"/>
  <c r="J40" i="100"/>
  <c r="B40" i="100"/>
  <c r="K39" i="100"/>
  <c r="L39" i="100" s="1"/>
  <c r="M39" i="100" s="1"/>
  <c r="N39" i="100" s="1"/>
  <c r="O39" i="100" s="1"/>
  <c r="P39" i="100" s="1"/>
  <c r="Q39" i="100" s="1"/>
  <c r="R39" i="100" s="1"/>
  <c r="S39" i="100" s="1"/>
  <c r="T39" i="100" s="1"/>
  <c r="U39" i="100" s="1"/>
  <c r="V39" i="100" s="1"/>
  <c r="J39" i="100"/>
  <c r="B39" i="100"/>
  <c r="H37" i="100"/>
  <c r="B37" i="100"/>
  <c r="B36" i="100"/>
  <c r="B35" i="100"/>
  <c r="B34" i="100"/>
  <c r="B33" i="100"/>
  <c r="B32" i="100"/>
  <c r="B31" i="100"/>
  <c r="I30" i="100"/>
  <c r="I31" i="100" s="1"/>
  <c r="I32" i="100" s="1"/>
  <c r="B30" i="100"/>
  <c r="B29" i="100"/>
  <c r="O26" i="100"/>
  <c r="P26" i="100" s="1"/>
  <c r="Q26" i="100" s="1"/>
  <c r="R26" i="100" s="1"/>
  <c r="S26" i="100" s="1"/>
  <c r="T26" i="100" s="1"/>
  <c r="U26" i="100" s="1"/>
  <c r="V26" i="100" s="1"/>
  <c r="J26" i="100"/>
  <c r="K26" i="100" s="1"/>
  <c r="L26" i="100" s="1"/>
  <c r="M26" i="100" s="1"/>
  <c r="N26" i="100" s="1"/>
  <c r="I26" i="100"/>
  <c r="H23" i="100"/>
  <c r="G23" i="100"/>
  <c r="F23" i="100"/>
  <c r="E23" i="100"/>
  <c r="E37" i="100" s="1"/>
  <c r="D23" i="100"/>
  <c r="H22" i="100"/>
  <c r="H36" i="100" s="1"/>
  <c r="G22" i="100"/>
  <c r="F22" i="100"/>
  <c r="F36" i="100" s="1"/>
  <c r="E22" i="100"/>
  <c r="E36" i="100" s="1"/>
  <c r="D22" i="100"/>
  <c r="H21" i="100"/>
  <c r="G21" i="100"/>
  <c r="G35" i="100" s="1"/>
  <c r="F21" i="100"/>
  <c r="E21" i="100"/>
  <c r="E35" i="100" s="1"/>
  <c r="D21" i="100"/>
  <c r="H20" i="100"/>
  <c r="H34" i="100" s="1"/>
  <c r="G20" i="100"/>
  <c r="G34" i="100" s="1"/>
  <c r="F20" i="100"/>
  <c r="E20" i="100"/>
  <c r="D20" i="100"/>
  <c r="H19" i="100"/>
  <c r="G19" i="100"/>
  <c r="G33" i="100" s="1"/>
  <c r="F19" i="100"/>
  <c r="E19" i="100"/>
  <c r="E33" i="100" s="1"/>
  <c r="D19" i="100"/>
  <c r="H18" i="100"/>
  <c r="G18" i="100"/>
  <c r="G32" i="100" s="1"/>
  <c r="F18" i="100"/>
  <c r="F32" i="100" s="1"/>
  <c r="E18" i="100"/>
  <c r="D18" i="100"/>
  <c r="H17" i="100"/>
  <c r="G17" i="100"/>
  <c r="G31" i="100" s="1"/>
  <c r="F17" i="100"/>
  <c r="E17" i="100"/>
  <c r="D17" i="100"/>
  <c r="H16" i="100"/>
  <c r="G16" i="100"/>
  <c r="F16" i="100"/>
  <c r="F30" i="100" s="1"/>
  <c r="E16" i="100"/>
  <c r="D16" i="100"/>
  <c r="E30" i="100" s="1"/>
  <c r="H15" i="100"/>
  <c r="H29" i="100" s="1"/>
  <c r="G15" i="100"/>
  <c r="F15" i="100"/>
  <c r="E15" i="100"/>
  <c r="D15" i="100"/>
  <c r="H11" i="100"/>
  <c r="G11" i="100"/>
  <c r="G44" i="100" s="1"/>
  <c r="F11" i="100"/>
  <c r="F44" i="100" s="1"/>
  <c r="E11" i="100"/>
  <c r="D11" i="100"/>
  <c r="H10" i="100"/>
  <c r="G10" i="100"/>
  <c r="F10" i="100"/>
  <c r="E10" i="100"/>
  <c r="D10" i="100"/>
  <c r="H9" i="100"/>
  <c r="I9" i="100" s="1"/>
  <c r="G9" i="100"/>
  <c r="F9" i="100"/>
  <c r="E9" i="100"/>
  <c r="D9" i="100"/>
  <c r="H8" i="100"/>
  <c r="G8" i="100"/>
  <c r="F8" i="100"/>
  <c r="E8" i="100"/>
  <c r="D8" i="100"/>
  <c r="H7" i="100"/>
  <c r="I7" i="100" s="1"/>
  <c r="G7" i="100"/>
  <c r="F7" i="100"/>
  <c r="E7" i="100"/>
  <c r="E50" i="100" s="1"/>
  <c r="D7" i="100"/>
  <c r="H6" i="100"/>
  <c r="I6" i="100" s="1"/>
  <c r="G6" i="100"/>
  <c r="F6" i="100"/>
  <c r="F41" i="100" s="1"/>
  <c r="E6" i="100"/>
  <c r="D6" i="100"/>
  <c r="H5" i="100"/>
  <c r="I5" i="100" s="1"/>
  <c r="G5" i="100"/>
  <c r="F5" i="100"/>
  <c r="E5" i="100"/>
  <c r="D5" i="100"/>
  <c r="H4" i="100"/>
  <c r="G4" i="100"/>
  <c r="G39" i="100" s="1"/>
  <c r="F4" i="100"/>
  <c r="E4" i="100"/>
  <c r="E39" i="100" s="1"/>
  <c r="D4" i="100"/>
  <c r="H3" i="100"/>
  <c r="I3" i="100" s="1"/>
  <c r="G3" i="100"/>
  <c r="F3" i="100"/>
  <c r="F12" i="100" s="1"/>
  <c r="E3" i="100"/>
  <c r="D3" i="100"/>
  <c r="F2" i="100"/>
  <c r="G2" i="100" s="1"/>
  <c r="H2" i="100" s="1"/>
  <c r="I2" i="100" s="1"/>
  <c r="J2" i="100" s="1"/>
  <c r="K2" i="100" s="1"/>
  <c r="L2" i="100" s="1"/>
  <c r="M2" i="100" s="1"/>
  <c r="N2" i="100" s="1"/>
  <c r="O2" i="100" s="1"/>
  <c r="P2" i="100" s="1"/>
  <c r="Q2" i="100" s="1"/>
  <c r="R2" i="100" s="1"/>
  <c r="S2" i="100" s="1"/>
  <c r="T2" i="100" s="1"/>
  <c r="U2" i="100" s="1"/>
  <c r="V2" i="100" s="1"/>
  <c r="E2" i="100"/>
  <c r="K107" i="99"/>
  <c r="I107" i="99"/>
  <c r="K106" i="99"/>
  <c r="I106" i="99"/>
  <c r="K105" i="99"/>
  <c r="I105" i="99"/>
  <c r="K104" i="99"/>
  <c r="I104" i="99"/>
  <c r="K102" i="99"/>
  <c r="I102" i="99"/>
  <c r="K99" i="99"/>
  <c r="I99" i="99"/>
  <c r="K98" i="99"/>
  <c r="I98" i="99"/>
  <c r="K97" i="99"/>
  <c r="I97" i="99"/>
  <c r="K96" i="99"/>
  <c r="I96" i="99"/>
  <c r="K95" i="99"/>
  <c r="I95" i="99"/>
  <c r="K94" i="99"/>
  <c r="I94" i="99"/>
  <c r="K93" i="99"/>
  <c r="I93" i="99"/>
  <c r="G75" i="99"/>
  <c r="H48" i="100" s="1"/>
  <c r="H51" i="100" s="1"/>
  <c r="F75" i="99"/>
  <c r="G48" i="100" s="1"/>
  <c r="E75" i="99"/>
  <c r="F48" i="100" s="1"/>
  <c r="G74" i="99"/>
  <c r="F74" i="99"/>
  <c r="E74" i="99"/>
  <c r="G69" i="99"/>
  <c r="F69" i="99"/>
  <c r="E69" i="99"/>
  <c r="K36" i="99"/>
  <c r="L36" i="99" s="1"/>
  <c r="M36" i="99" s="1"/>
  <c r="N36" i="99" s="1"/>
  <c r="O36" i="99" s="1"/>
  <c r="P36" i="99" s="1"/>
  <c r="Q36" i="99" s="1"/>
  <c r="R36" i="99" s="1"/>
  <c r="S36" i="99" s="1"/>
  <c r="T36" i="99" s="1"/>
  <c r="U36" i="99" s="1"/>
  <c r="V36" i="99" s="1"/>
  <c r="W36" i="99" s="1"/>
  <c r="X36" i="99" s="1"/>
  <c r="Y36" i="99" s="1"/>
  <c r="Z36" i="99" s="1"/>
  <c r="AA36" i="99" s="1"/>
  <c r="AB36" i="99" s="1"/>
  <c r="F35" i="99"/>
  <c r="E35" i="99"/>
  <c r="D35" i="99"/>
  <c r="C35" i="99"/>
  <c r="K34" i="99"/>
  <c r="L34" i="99" s="1"/>
  <c r="M34" i="99" s="1"/>
  <c r="N34" i="99" s="1"/>
  <c r="O34" i="99" s="1"/>
  <c r="P34" i="99" s="1"/>
  <c r="Q34" i="99" s="1"/>
  <c r="R34" i="99" s="1"/>
  <c r="S34" i="99" s="1"/>
  <c r="T34" i="99" s="1"/>
  <c r="U34" i="99" s="1"/>
  <c r="U76" i="105" s="1"/>
  <c r="F34" i="99"/>
  <c r="G76" i="105" s="1"/>
  <c r="E34" i="99"/>
  <c r="F76" i="105" s="1"/>
  <c r="D34" i="99"/>
  <c r="E76" i="105" s="1"/>
  <c r="C34" i="99"/>
  <c r="D76" i="105" s="1"/>
  <c r="K33" i="99"/>
  <c r="L33" i="99" s="1"/>
  <c r="M33" i="99" s="1"/>
  <c r="N33" i="99" s="1"/>
  <c r="O33" i="99" s="1"/>
  <c r="P33" i="99" s="1"/>
  <c r="Q33" i="99" s="1"/>
  <c r="R33" i="99" s="1"/>
  <c r="S33" i="99" s="1"/>
  <c r="T33" i="99" s="1"/>
  <c r="U33" i="99" s="1"/>
  <c r="U75" i="105" s="1"/>
  <c r="F33" i="99"/>
  <c r="G75" i="105" s="1"/>
  <c r="E33" i="99"/>
  <c r="F75" i="105" s="1"/>
  <c r="D33" i="99"/>
  <c r="E75" i="105" s="1"/>
  <c r="C33" i="99"/>
  <c r="D75" i="105" s="1"/>
  <c r="K32" i="99"/>
  <c r="L32" i="99" s="1"/>
  <c r="M32" i="99" s="1"/>
  <c r="N32" i="99" s="1"/>
  <c r="O32" i="99" s="1"/>
  <c r="P32" i="99" s="1"/>
  <c r="Q32" i="99" s="1"/>
  <c r="R32" i="99" s="1"/>
  <c r="S32" i="99" s="1"/>
  <c r="T32" i="99" s="1"/>
  <c r="U32" i="99" s="1"/>
  <c r="U74" i="105" s="1"/>
  <c r="F32" i="99"/>
  <c r="G74" i="105" s="1"/>
  <c r="E32" i="99"/>
  <c r="F74" i="105" s="1"/>
  <c r="D32" i="99"/>
  <c r="E74" i="105" s="1"/>
  <c r="C32" i="99"/>
  <c r="D74" i="105" s="1"/>
  <c r="F31" i="99"/>
  <c r="E31" i="99"/>
  <c r="D31" i="99"/>
  <c r="C31" i="99"/>
  <c r="K30" i="99"/>
  <c r="L31" i="105" s="1"/>
  <c r="F30" i="99"/>
  <c r="E30" i="99"/>
  <c r="D30" i="99"/>
  <c r="C30" i="99"/>
  <c r="G29" i="99"/>
  <c r="H73" i="105" s="1"/>
  <c r="F29" i="99"/>
  <c r="G73" i="105" s="1"/>
  <c r="E29" i="99"/>
  <c r="F73" i="105" s="1"/>
  <c r="D29" i="99"/>
  <c r="C29" i="99"/>
  <c r="F27" i="99"/>
  <c r="F80" i="98" s="1"/>
  <c r="E27" i="99"/>
  <c r="E80" i="98" s="1"/>
  <c r="D27" i="99"/>
  <c r="C27" i="99"/>
  <c r="F25" i="99"/>
  <c r="E25" i="99"/>
  <c r="D25" i="99"/>
  <c r="C25" i="99"/>
  <c r="F24" i="99"/>
  <c r="E24" i="99"/>
  <c r="D24" i="99"/>
  <c r="C24" i="99"/>
  <c r="F23" i="99"/>
  <c r="E23" i="99"/>
  <c r="D23" i="99"/>
  <c r="C23" i="99"/>
  <c r="F20" i="99"/>
  <c r="E20" i="99"/>
  <c r="E103" i="99" s="1"/>
  <c r="D20" i="99"/>
  <c r="D103" i="99" s="1"/>
  <c r="C20" i="99"/>
  <c r="F19" i="99"/>
  <c r="E19" i="99"/>
  <c r="D19" i="99"/>
  <c r="C19" i="99"/>
  <c r="F17" i="99"/>
  <c r="E17" i="99"/>
  <c r="D17" i="99"/>
  <c r="C17" i="99"/>
  <c r="F16" i="99"/>
  <c r="E16" i="99"/>
  <c r="D16" i="99"/>
  <c r="C16" i="99"/>
  <c r="F14" i="99"/>
  <c r="E14" i="99"/>
  <c r="D14" i="99"/>
  <c r="C14" i="99"/>
  <c r="F13" i="99"/>
  <c r="F74" i="98" s="1"/>
  <c r="E13" i="99"/>
  <c r="E74" i="98" s="1"/>
  <c r="D13" i="99"/>
  <c r="D74" i="98" s="1"/>
  <c r="C13" i="99"/>
  <c r="C74" i="98" s="1"/>
  <c r="F12" i="99"/>
  <c r="E12" i="99"/>
  <c r="D12" i="99"/>
  <c r="C12" i="99"/>
  <c r="F11" i="99"/>
  <c r="E11" i="99"/>
  <c r="D11" i="99"/>
  <c r="C11" i="99"/>
  <c r="F10" i="99"/>
  <c r="E10" i="99"/>
  <c r="D10" i="99"/>
  <c r="C10" i="99"/>
  <c r="F9" i="99"/>
  <c r="E9" i="99"/>
  <c r="D9" i="99"/>
  <c r="C9" i="99"/>
  <c r="F8" i="99"/>
  <c r="E8" i="99"/>
  <c r="D8" i="99"/>
  <c r="C8" i="99"/>
  <c r="F7" i="99"/>
  <c r="E7" i="99"/>
  <c r="D7" i="99"/>
  <c r="C7" i="99"/>
  <c r="F6" i="99"/>
  <c r="E6" i="99"/>
  <c r="D6" i="99"/>
  <c r="C6" i="99"/>
  <c r="F5" i="99"/>
  <c r="E5" i="99"/>
  <c r="D5" i="99"/>
  <c r="C5" i="99"/>
  <c r="F4" i="99"/>
  <c r="E4" i="99"/>
  <c r="D4" i="99"/>
  <c r="C4" i="99"/>
  <c r="D2" i="99"/>
  <c r="E2" i="99" s="1"/>
  <c r="L97" i="98"/>
  <c r="K97" i="98"/>
  <c r="J97" i="98"/>
  <c r="I97" i="98"/>
  <c r="L95" i="98"/>
  <c r="K95" i="98"/>
  <c r="J95" i="98"/>
  <c r="L94" i="98"/>
  <c r="K94" i="98"/>
  <c r="J94" i="98"/>
  <c r="L93" i="98"/>
  <c r="K93" i="98"/>
  <c r="J93" i="98"/>
  <c r="D93" i="98"/>
  <c r="L92" i="98"/>
  <c r="K92" i="98"/>
  <c r="J92" i="98"/>
  <c r="E92" i="98"/>
  <c r="M91" i="98"/>
  <c r="L91" i="98"/>
  <c r="K91" i="98"/>
  <c r="J91" i="98"/>
  <c r="L90" i="98"/>
  <c r="K90" i="98"/>
  <c r="J90" i="98"/>
  <c r="M88" i="98"/>
  <c r="L88" i="98"/>
  <c r="K88" i="98"/>
  <c r="J88" i="98"/>
  <c r="E88" i="98"/>
  <c r="D88" i="98"/>
  <c r="L87" i="98"/>
  <c r="K87" i="98"/>
  <c r="L86" i="98"/>
  <c r="K86" i="98"/>
  <c r="L85" i="98"/>
  <c r="K85" i="98"/>
  <c r="M84" i="98"/>
  <c r="L84" i="98"/>
  <c r="K84" i="98"/>
  <c r="D84" i="98"/>
  <c r="L83" i="98"/>
  <c r="K83" i="98"/>
  <c r="E83" i="98"/>
  <c r="M82" i="98"/>
  <c r="L82" i="98"/>
  <c r="K82" i="98"/>
  <c r="M81" i="98"/>
  <c r="L81" i="98"/>
  <c r="K81" i="98"/>
  <c r="E81" i="98"/>
  <c r="D81" i="98"/>
  <c r="L79" i="98"/>
  <c r="E79" i="98"/>
  <c r="M78" i="98"/>
  <c r="L78" i="98"/>
  <c r="K78" i="98"/>
  <c r="M77" i="98"/>
  <c r="L77" i="98"/>
  <c r="K77" i="98"/>
  <c r="L72" i="98"/>
  <c r="K72" i="98"/>
  <c r="L70" i="98"/>
  <c r="K70" i="98"/>
  <c r="M69" i="98"/>
  <c r="L69" i="98"/>
  <c r="K69" i="98"/>
  <c r="L68" i="98"/>
  <c r="K68" i="98"/>
  <c r="L66" i="98"/>
  <c r="K66" i="98"/>
  <c r="L64" i="98"/>
  <c r="K64" i="98"/>
  <c r="F64" i="98"/>
  <c r="L63" i="98"/>
  <c r="K63" i="98"/>
  <c r="L62" i="98"/>
  <c r="K62" i="98"/>
  <c r="M61" i="98"/>
  <c r="L61" i="98"/>
  <c r="K61" i="98"/>
  <c r="D59" i="98"/>
  <c r="C59" i="98"/>
  <c r="F56" i="98"/>
  <c r="D56" i="98"/>
  <c r="D17" i="97" s="1"/>
  <c r="C56" i="98"/>
  <c r="C17" i="97" s="1"/>
  <c r="C14" i="97" s="1"/>
  <c r="F55" i="98"/>
  <c r="E55" i="98"/>
  <c r="E56" i="98" s="1"/>
  <c r="E17" i="97" s="1"/>
  <c r="E14" i="97" s="1"/>
  <c r="D55" i="98"/>
  <c r="C55" i="98"/>
  <c r="F54" i="98"/>
  <c r="E54" i="98"/>
  <c r="D54" i="98"/>
  <c r="C54" i="98"/>
  <c r="F53" i="98"/>
  <c r="F95" i="98" s="1"/>
  <c r="E53" i="98"/>
  <c r="E95" i="98" s="1"/>
  <c r="D53" i="98"/>
  <c r="D95" i="98" s="1"/>
  <c r="C53" i="98"/>
  <c r="F51" i="98"/>
  <c r="E51" i="98"/>
  <c r="D51" i="98"/>
  <c r="C51" i="98"/>
  <c r="F50" i="98"/>
  <c r="E50" i="98"/>
  <c r="E52" i="98" s="1"/>
  <c r="D50" i="98"/>
  <c r="C50" i="98"/>
  <c r="C52" i="98" s="1"/>
  <c r="F49" i="98"/>
  <c r="E49" i="98"/>
  <c r="D49" i="98"/>
  <c r="C49" i="98"/>
  <c r="F48" i="98"/>
  <c r="E48" i="98"/>
  <c r="D48" i="98"/>
  <c r="C48" i="98"/>
  <c r="F47" i="98"/>
  <c r="E47" i="98"/>
  <c r="E90" i="98" s="1"/>
  <c r="D47" i="98"/>
  <c r="C47" i="98"/>
  <c r="F46" i="98"/>
  <c r="E46" i="98"/>
  <c r="D46" i="98"/>
  <c r="C46" i="98"/>
  <c r="F45" i="98"/>
  <c r="F88" i="98" s="1"/>
  <c r="E45" i="98"/>
  <c r="D45" i="98"/>
  <c r="C45" i="98"/>
  <c r="F43" i="98"/>
  <c r="F87" i="98" s="1"/>
  <c r="E43" i="98"/>
  <c r="E87" i="98" s="1"/>
  <c r="D43" i="98"/>
  <c r="C43" i="98"/>
  <c r="F42" i="98"/>
  <c r="F86" i="98" s="1"/>
  <c r="E42" i="98"/>
  <c r="D42" i="98"/>
  <c r="D86" i="98" s="1"/>
  <c r="C42" i="98"/>
  <c r="F41" i="98"/>
  <c r="E41" i="98"/>
  <c r="D41" i="98"/>
  <c r="D85" i="98" s="1"/>
  <c r="C41" i="98"/>
  <c r="F40" i="98"/>
  <c r="F84" i="98" s="1"/>
  <c r="E40" i="98"/>
  <c r="D40" i="98"/>
  <c r="C40" i="98"/>
  <c r="F39" i="98"/>
  <c r="E39" i="98"/>
  <c r="D39" i="98"/>
  <c r="C39" i="98"/>
  <c r="F38" i="98"/>
  <c r="F82" i="98" s="1"/>
  <c r="E38" i="98"/>
  <c r="E82" i="98" s="1"/>
  <c r="D38" i="98"/>
  <c r="D82" i="98" s="1"/>
  <c r="C38" i="98"/>
  <c r="F37" i="98"/>
  <c r="F81" i="98" s="1"/>
  <c r="E37" i="98"/>
  <c r="E36" i="98" s="1"/>
  <c r="D37" i="98"/>
  <c r="C37" i="98"/>
  <c r="D36" i="98"/>
  <c r="C36" i="98"/>
  <c r="F35" i="98"/>
  <c r="E35" i="98"/>
  <c r="D35" i="98"/>
  <c r="C35" i="98"/>
  <c r="F34" i="98"/>
  <c r="F79" i="98" s="1"/>
  <c r="E34" i="98"/>
  <c r="D34" i="98"/>
  <c r="D79" i="98" s="1"/>
  <c r="C34" i="98"/>
  <c r="F33" i="98"/>
  <c r="E33" i="98"/>
  <c r="D33" i="98"/>
  <c r="C33" i="98"/>
  <c r="F32" i="98"/>
  <c r="F77" i="98" s="1"/>
  <c r="E32" i="98"/>
  <c r="E77" i="98" s="1"/>
  <c r="D32" i="98"/>
  <c r="D77" i="98" s="1"/>
  <c r="C32" i="98"/>
  <c r="F31" i="98"/>
  <c r="E31" i="98"/>
  <c r="D31" i="98"/>
  <c r="C31" i="98"/>
  <c r="F30" i="98"/>
  <c r="E30" i="98"/>
  <c r="D30" i="98"/>
  <c r="D26" i="98" s="1"/>
  <c r="C30" i="98"/>
  <c r="F29" i="98"/>
  <c r="E29" i="98"/>
  <c r="D29" i="98"/>
  <c r="C29" i="98"/>
  <c r="F28" i="98"/>
  <c r="E28" i="98"/>
  <c r="D28" i="98"/>
  <c r="C28" i="98"/>
  <c r="F27" i="98"/>
  <c r="E27" i="98"/>
  <c r="D27" i="98"/>
  <c r="C27" i="98"/>
  <c r="F26" i="98"/>
  <c r="E26" i="98"/>
  <c r="F25" i="98"/>
  <c r="E25" i="98"/>
  <c r="D25" i="98"/>
  <c r="C25" i="98"/>
  <c r="F24" i="98"/>
  <c r="E24" i="98"/>
  <c r="D24" i="98"/>
  <c r="D23" i="98" s="1"/>
  <c r="C24" i="98"/>
  <c r="C23" i="98" s="1"/>
  <c r="F23" i="98"/>
  <c r="E23" i="98"/>
  <c r="F22" i="98"/>
  <c r="E22" i="98"/>
  <c r="D22" i="98"/>
  <c r="C22" i="98"/>
  <c r="F21" i="98"/>
  <c r="E21" i="98"/>
  <c r="E19" i="98" s="1"/>
  <c r="D21" i="98"/>
  <c r="D19" i="98" s="1"/>
  <c r="C21" i="98"/>
  <c r="F20" i="98"/>
  <c r="F19" i="98" s="1"/>
  <c r="E20" i="98"/>
  <c r="D20" i="98"/>
  <c r="C20" i="98"/>
  <c r="C19" i="98"/>
  <c r="F18" i="98"/>
  <c r="E18" i="98"/>
  <c r="D18" i="98"/>
  <c r="C18" i="98"/>
  <c r="F15" i="98"/>
  <c r="E15" i="98"/>
  <c r="E69" i="98" s="1"/>
  <c r="D15" i="98"/>
  <c r="D69" i="98" s="1"/>
  <c r="C15" i="98"/>
  <c r="F14" i="98"/>
  <c r="E14" i="98"/>
  <c r="E68" i="98" s="1"/>
  <c r="D14" i="98"/>
  <c r="D68" i="98" s="1"/>
  <c r="C14" i="98"/>
  <c r="F13" i="98"/>
  <c r="E13" i="98"/>
  <c r="D13" i="98"/>
  <c r="C13" i="98"/>
  <c r="F12" i="98"/>
  <c r="E12" i="98"/>
  <c r="D12" i="98"/>
  <c r="C12" i="98"/>
  <c r="F11" i="98"/>
  <c r="E11" i="98"/>
  <c r="E64" i="98" s="1"/>
  <c r="D11" i="98"/>
  <c r="C11" i="98"/>
  <c r="F10" i="98"/>
  <c r="E10" i="98"/>
  <c r="E63" i="98" s="1"/>
  <c r="D10" i="98"/>
  <c r="D63" i="98" s="1"/>
  <c r="C10" i="98"/>
  <c r="F9" i="98"/>
  <c r="F62" i="98" s="1"/>
  <c r="E9" i="98"/>
  <c r="D9" i="98"/>
  <c r="D62" i="98" s="1"/>
  <c r="C9" i="98"/>
  <c r="F8" i="98"/>
  <c r="F61" i="98" s="1"/>
  <c r="E8" i="98"/>
  <c r="D8" i="98"/>
  <c r="C8" i="98"/>
  <c r="C7" i="98" s="1"/>
  <c r="E4" i="98"/>
  <c r="D4" i="98"/>
  <c r="C4" i="98"/>
  <c r="F2" i="98"/>
  <c r="D2" i="98"/>
  <c r="E2" i="98" s="1"/>
  <c r="E59" i="98" s="1"/>
  <c r="H68" i="97"/>
  <c r="I68" i="97" s="1"/>
  <c r="J68" i="97" s="1"/>
  <c r="K68" i="97" s="1"/>
  <c r="L68" i="97" s="1"/>
  <c r="M68" i="97" s="1"/>
  <c r="H67" i="97"/>
  <c r="I67" i="97" s="1"/>
  <c r="J67" i="97" s="1"/>
  <c r="K67" i="97" s="1"/>
  <c r="H66" i="97"/>
  <c r="I66" i="97" s="1"/>
  <c r="J66" i="97" s="1"/>
  <c r="J64" i="97"/>
  <c r="K64" i="97" s="1"/>
  <c r="L64" i="97" s="1"/>
  <c r="M64" i="97" s="1"/>
  <c r="N64" i="97" s="1"/>
  <c r="O64" i="97" s="1"/>
  <c r="P64" i="97" s="1"/>
  <c r="Q64" i="97" s="1"/>
  <c r="R64" i="97" s="1"/>
  <c r="S64" i="97" s="1"/>
  <c r="T64" i="97" s="1"/>
  <c r="U64" i="97" s="1"/>
  <c r="V64" i="97" s="1"/>
  <c r="W64" i="97" s="1"/>
  <c r="X64" i="97" s="1"/>
  <c r="Y64" i="97" s="1"/>
  <c r="Z64" i="97" s="1"/>
  <c r="AA64" i="97" s="1"/>
  <c r="AB64" i="97" s="1"/>
  <c r="H63" i="97"/>
  <c r="I63" i="97" s="1"/>
  <c r="J63" i="97" s="1"/>
  <c r="K63" i="97" s="1"/>
  <c r="L63" i="97" s="1"/>
  <c r="M63" i="97" s="1"/>
  <c r="N63" i="97" s="1"/>
  <c r="O63" i="97" s="1"/>
  <c r="P63" i="97" s="1"/>
  <c r="Q63" i="97" s="1"/>
  <c r="R63" i="97" s="1"/>
  <c r="S63" i="97" s="1"/>
  <c r="T63" i="97" s="1"/>
  <c r="U63" i="97" s="1"/>
  <c r="V63" i="97" s="1"/>
  <c r="W63" i="97" s="1"/>
  <c r="X63" i="97" s="1"/>
  <c r="Y63" i="97" s="1"/>
  <c r="Z63" i="97" s="1"/>
  <c r="AA63" i="97" s="1"/>
  <c r="AB63" i="97" s="1"/>
  <c r="J62" i="97"/>
  <c r="K62" i="97" s="1"/>
  <c r="L62" i="97" s="1"/>
  <c r="M62" i="97" s="1"/>
  <c r="N62" i="97" s="1"/>
  <c r="O62" i="97" s="1"/>
  <c r="P62" i="97" s="1"/>
  <c r="Q62" i="97" s="1"/>
  <c r="R62" i="97" s="1"/>
  <c r="S62" i="97" s="1"/>
  <c r="T62" i="97" s="1"/>
  <c r="U62" i="97" s="1"/>
  <c r="V62" i="97" s="1"/>
  <c r="W62" i="97" s="1"/>
  <c r="X62" i="97" s="1"/>
  <c r="Y62" i="97" s="1"/>
  <c r="Z62" i="97" s="1"/>
  <c r="AA62" i="97" s="1"/>
  <c r="AB62" i="97" s="1"/>
  <c r="B59" i="97"/>
  <c r="B63" i="97" s="1"/>
  <c r="B67" i="97" s="1"/>
  <c r="T29" i="97"/>
  <c r="S29" i="97"/>
  <c r="R29" i="97"/>
  <c r="G29" i="97"/>
  <c r="F29" i="97"/>
  <c r="E29" i="97"/>
  <c r="D29" i="97"/>
  <c r="C29" i="97"/>
  <c r="K26" i="97"/>
  <c r="H26" i="97"/>
  <c r="C26" i="97"/>
  <c r="G22" i="97"/>
  <c r="F22" i="97"/>
  <c r="E22" i="97"/>
  <c r="D22" i="97"/>
  <c r="C22" i="97"/>
  <c r="G19" i="97"/>
  <c r="F19" i="97"/>
  <c r="E19" i="97"/>
  <c r="D19" i="97"/>
  <c r="C19" i="97"/>
  <c r="R17" i="97"/>
  <c r="S17" i="97" s="1"/>
  <c r="T17" i="97" s="1"/>
  <c r="U17" i="97" s="1"/>
  <c r="V17" i="97" s="1"/>
  <c r="G9" i="97"/>
  <c r="F9" i="97"/>
  <c r="E9" i="97"/>
  <c r="D9" i="97"/>
  <c r="C9" i="97"/>
  <c r="E13" i="94"/>
  <c r="F13" i="94" s="1"/>
  <c r="G13" i="94" s="1"/>
  <c r="H13" i="94" s="1"/>
  <c r="I13" i="94" s="1"/>
  <c r="J13" i="94" s="1"/>
  <c r="K13" i="94" s="1"/>
  <c r="L13" i="94" s="1"/>
  <c r="M13" i="94" s="1"/>
  <c r="D21" i="94"/>
  <c r="E21" i="94" s="1"/>
  <c r="F21" i="94" s="1"/>
  <c r="G21" i="94" s="1"/>
  <c r="H21" i="94" s="1"/>
  <c r="E2" i="94"/>
  <c r="F2" i="94" s="1"/>
  <c r="G2" i="94" s="1"/>
  <c r="H2" i="94" s="1"/>
  <c r="I2" i="94" s="1"/>
  <c r="J2" i="94" s="1"/>
  <c r="K2" i="94" s="1"/>
  <c r="L2" i="94" s="1"/>
  <c r="M2" i="94" s="1"/>
  <c r="D43" i="104" l="1"/>
  <c r="P5" i="104"/>
  <c r="P67" i="104" s="1"/>
  <c r="Y37" i="100"/>
  <c r="AA30" i="100"/>
  <c r="Y33" i="73"/>
  <c r="P37" i="100"/>
  <c r="P32" i="73"/>
  <c r="W36" i="100"/>
  <c r="X36" i="73"/>
  <c r="U35" i="100"/>
  <c r="R34" i="100"/>
  <c r="Q35" i="73"/>
  <c r="X30" i="73"/>
  <c r="AC32" i="100"/>
  <c r="X37" i="100"/>
  <c r="V36" i="100"/>
  <c r="T35" i="100"/>
  <c r="Q34" i="100"/>
  <c r="W32" i="100"/>
  <c r="Y30" i="100"/>
  <c r="Y37" i="73"/>
  <c r="V36" i="73"/>
  <c r="P35" i="73"/>
  <c r="X33" i="73"/>
  <c r="Q30" i="73"/>
  <c r="W37" i="100"/>
  <c r="U36" i="100"/>
  <c r="S35" i="100"/>
  <c r="Y33" i="100"/>
  <c r="U32" i="100"/>
  <c r="S30" i="100"/>
  <c r="X37" i="73"/>
  <c r="Q36" i="73"/>
  <c r="Q33" i="73"/>
  <c r="Y31" i="73"/>
  <c r="P30" i="73"/>
  <c r="R37" i="100"/>
  <c r="P36" i="100"/>
  <c r="AA34" i="100"/>
  <c r="X33" i="100"/>
  <c r="P32" i="100"/>
  <c r="Q30" i="100"/>
  <c r="V37" i="73"/>
  <c r="P36" i="73"/>
  <c r="Y34" i="73"/>
  <c r="P33" i="73"/>
  <c r="X31" i="73"/>
  <c r="Q37" i="100"/>
  <c r="AC35" i="100"/>
  <c r="Z34" i="100"/>
  <c r="W33" i="100"/>
  <c r="AC31" i="100"/>
  <c r="Y29" i="100"/>
  <c r="Q37" i="73"/>
  <c r="X34" i="73"/>
  <c r="Q31" i="73"/>
  <c r="Y29" i="73"/>
  <c r="AB35" i="100"/>
  <c r="Y34" i="100"/>
  <c r="R33" i="100"/>
  <c r="AA31" i="100"/>
  <c r="W29" i="100"/>
  <c r="P37" i="73"/>
  <c r="Y35" i="73"/>
  <c r="Q34" i="73"/>
  <c r="Y32" i="73"/>
  <c r="P31" i="73"/>
  <c r="X29" i="73"/>
  <c r="AC36" i="100"/>
  <c r="AA35" i="100"/>
  <c r="T34" i="100"/>
  <c r="Q33" i="100"/>
  <c r="U31" i="100"/>
  <c r="Q29" i="100"/>
  <c r="X35" i="73"/>
  <c r="P34" i="73"/>
  <c r="X32" i="73"/>
  <c r="Q29" i="73"/>
  <c r="Z37" i="100"/>
  <c r="X36" i="100"/>
  <c r="V35" i="100"/>
  <c r="S34" i="100"/>
  <c r="P33" i="100"/>
  <c r="S31" i="100"/>
  <c r="Y36" i="73"/>
  <c r="V35" i="73"/>
  <c r="Q32" i="73"/>
  <c r="Y30" i="73"/>
  <c r="P29" i="73"/>
  <c r="G41" i="100"/>
  <c r="E42" i="100"/>
  <c r="H35" i="100"/>
  <c r="F37" i="100"/>
  <c r="F35" i="100"/>
  <c r="D51" i="100"/>
  <c r="E40" i="100"/>
  <c r="E44" i="100"/>
  <c r="E31" i="100"/>
  <c r="H32" i="100"/>
  <c r="F34" i="100"/>
  <c r="G37" i="100"/>
  <c r="E51" i="100"/>
  <c r="E43" i="100"/>
  <c r="H42" i="100"/>
  <c r="I8" i="100"/>
  <c r="J8" i="100" s="1"/>
  <c r="K8" i="100" s="1"/>
  <c r="L8" i="100" s="1"/>
  <c r="M8" i="100" s="1"/>
  <c r="N8" i="100" s="1"/>
  <c r="O8" i="100" s="1"/>
  <c r="P8" i="100" s="1"/>
  <c r="Q8" i="100" s="1"/>
  <c r="R8" i="100" s="1"/>
  <c r="S8" i="100" s="1"/>
  <c r="T8" i="100" s="1"/>
  <c r="U8" i="100" s="1"/>
  <c r="V8" i="100" s="1"/>
  <c r="W8" i="100" s="1"/>
  <c r="X8" i="100" s="1"/>
  <c r="Y8" i="100" s="1"/>
  <c r="Z8" i="100" s="1"/>
  <c r="AA8" i="100" s="1"/>
  <c r="AB8" i="100" s="1"/>
  <c r="AC8" i="100" s="1"/>
  <c r="F39" i="100"/>
  <c r="F43" i="100"/>
  <c r="H44" i="100"/>
  <c r="I11" i="100"/>
  <c r="J11" i="100" s="1"/>
  <c r="K11" i="100" s="1"/>
  <c r="L11" i="100" s="1"/>
  <c r="M11" i="100" s="1"/>
  <c r="N11" i="100" s="1"/>
  <c r="O11" i="100" s="1"/>
  <c r="P11" i="100" s="1"/>
  <c r="Q11" i="100" s="1"/>
  <c r="R11" i="100" s="1"/>
  <c r="S11" i="100" s="1"/>
  <c r="T11" i="100" s="1"/>
  <c r="U11" i="100" s="1"/>
  <c r="V11" i="100" s="1"/>
  <c r="W11" i="100" s="1"/>
  <c r="X11" i="100" s="1"/>
  <c r="H31" i="100"/>
  <c r="F33" i="100"/>
  <c r="F51" i="100"/>
  <c r="G50" i="100"/>
  <c r="H39" i="100"/>
  <c r="I4" i="100"/>
  <c r="J4" i="100" s="1"/>
  <c r="K4" i="100" s="1"/>
  <c r="L4" i="100" s="1"/>
  <c r="M4" i="100" s="1"/>
  <c r="N4" i="100" s="1"/>
  <c r="O4" i="100" s="1"/>
  <c r="P4" i="100" s="1"/>
  <c r="Q4" i="100" s="1"/>
  <c r="R4" i="100" s="1"/>
  <c r="S4" i="100" s="1"/>
  <c r="T4" i="100" s="1"/>
  <c r="U4" i="100" s="1"/>
  <c r="V4" i="100" s="1"/>
  <c r="W4" i="100" s="1"/>
  <c r="X4" i="100" s="1"/>
  <c r="Y4" i="100" s="1"/>
  <c r="Z4" i="100" s="1"/>
  <c r="AA4" i="100" s="1"/>
  <c r="AB4" i="100" s="1"/>
  <c r="AC4" i="100" s="1"/>
  <c r="E41" i="100"/>
  <c r="I50" i="100"/>
  <c r="K50" i="100" s="1"/>
  <c r="H43" i="100"/>
  <c r="I10" i="100"/>
  <c r="J10" i="100" s="1"/>
  <c r="K10" i="100" s="1"/>
  <c r="L10" i="100" s="1"/>
  <c r="M10" i="100" s="1"/>
  <c r="N10" i="100" s="1"/>
  <c r="O10" i="100" s="1"/>
  <c r="P10" i="100" s="1"/>
  <c r="Q10" i="100" s="1"/>
  <c r="R10" i="100" s="1"/>
  <c r="S10" i="100" s="1"/>
  <c r="T10" i="100" s="1"/>
  <c r="U10" i="100" s="1"/>
  <c r="V10" i="100" s="1"/>
  <c r="W10" i="100" s="1"/>
  <c r="X10" i="100" s="1"/>
  <c r="Y10" i="100" s="1"/>
  <c r="Z10" i="100" s="1"/>
  <c r="AA10" i="100" s="1"/>
  <c r="AB10" i="100" s="1"/>
  <c r="AC10" i="100" s="1"/>
  <c r="G30" i="100"/>
  <c r="E32" i="100"/>
  <c r="M14" i="94"/>
  <c r="M3" i="94"/>
  <c r="V32" i="100"/>
  <c r="AB31" i="100"/>
  <c r="T31" i="100"/>
  <c r="Z30" i="100"/>
  <c r="R30" i="100"/>
  <c r="X29" i="100"/>
  <c r="P29" i="100"/>
  <c r="V37" i="100"/>
  <c r="AB36" i="100"/>
  <c r="T36" i="100"/>
  <c r="Z35" i="100"/>
  <c r="R35" i="100"/>
  <c r="X34" i="100"/>
  <c r="P34" i="100"/>
  <c r="V33" i="100"/>
  <c r="AB32" i="100"/>
  <c r="T32" i="100"/>
  <c r="Z31" i="100"/>
  <c r="R31" i="100"/>
  <c r="X30" i="100"/>
  <c r="P30" i="100"/>
  <c r="V29" i="100"/>
  <c r="AC37" i="100"/>
  <c r="U37" i="100"/>
  <c r="AA36" i="100"/>
  <c r="S36" i="100"/>
  <c r="Y35" i="100"/>
  <c r="Q35" i="100"/>
  <c r="W34" i="100"/>
  <c r="AC33" i="100"/>
  <c r="U33" i="100"/>
  <c r="AA32" i="100"/>
  <c r="S32" i="100"/>
  <c r="Y31" i="100"/>
  <c r="Q31" i="100"/>
  <c r="W30" i="100"/>
  <c r="AC29" i="100"/>
  <c r="U29" i="100"/>
  <c r="AB37" i="100"/>
  <c r="T37" i="100"/>
  <c r="Z36" i="100"/>
  <c r="R36" i="100"/>
  <c r="X35" i="100"/>
  <c r="P35" i="100"/>
  <c r="V34" i="100"/>
  <c r="AB33" i="100"/>
  <c r="T33" i="100"/>
  <c r="Z32" i="100"/>
  <c r="R32" i="100"/>
  <c r="X31" i="100"/>
  <c r="P31" i="100"/>
  <c r="V30" i="100"/>
  <c r="AB29" i="100"/>
  <c r="T29" i="100"/>
  <c r="AA37" i="100"/>
  <c r="S37" i="100"/>
  <c r="Y36" i="100"/>
  <c r="Q36" i="100"/>
  <c r="W35" i="100"/>
  <c r="AC34" i="100"/>
  <c r="U34" i="100"/>
  <c r="AA33" i="100"/>
  <c r="S33" i="100"/>
  <c r="Y32" i="100"/>
  <c r="Q32" i="100"/>
  <c r="W31" i="100"/>
  <c r="U30" i="100"/>
  <c r="AA29" i="100"/>
  <c r="S29" i="100"/>
  <c r="AB34" i="100"/>
  <c r="Z33" i="100"/>
  <c r="X32" i="100"/>
  <c r="V31" i="100"/>
  <c r="AB30" i="100"/>
  <c r="T30" i="100"/>
  <c r="Z29" i="100"/>
  <c r="R29" i="100"/>
  <c r="W37" i="73"/>
  <c r="O37" i="73"/>
  <c r="O37" i="100" s="1"/>
  <c r="W36" i="73"/>
  <c r="O36" i="73"/>
  <c r="O36" i="100" s="1"/>
  <c r="W35" i="73"/>
  <c r="O35" i="73"/>
  <c r="O35" i="100" s="1"/>
  <c r="W34" i="73"/>
  <c r="O34" i="73"/>
  <c r="O34" i="100" s="1"/>
  <c r="W33" i="73"/>
  <c r="O33" i="73"/>
  <c r="O33" i="100" s="1"/>
  <c r="W32" i="73"/>
  <c r="O32" i="73"/>
  <c r="O32" i="100" s="1"/>
  <c r="W31" i="73"/>
  <c r="O31" i="73"/>
  <c r="O31" i="100" s="1"/>
  <c r="W30" i="73"/>
  <c r="O30" i="73"/>
  <c r="O30" i="100" s="1"/>
  <c r="W29" i="73"/>
  <c r="O29" i="73"/>
  <c r="O29" i="100" s="1"/>
  <c r="V34" i="73"/>
  <c r="V33" i="73"/>
  <c r="V32" i="73"/>
  <c r="V31" i="73"/>
  <c r="V30" i="73"/>
  <c r="V29" i="73"/>
  <c r="AC37" i="73"/>
  <c r="U37" i="73"/>
  <c r="AC36" i="73"/>
  <c r="U36" i="73"/>
  <c r="AC35" i="73"/>
  <c r="U35" i="73"/>
  <c r="AC34" i="73"/>
  <c r="U34" i="73"/>
  <c r="AC33" i="73"/>
  <c r="U33" i="73"/>
  <c r="AC32" i="73"/>
  <c r="U32" i="73"/>
  <c r="AC31" i="73"/>
  <c r="U31" i="73"/>
  <c r="AC30" i="73"/>
  <c r="U30" i="73"/>
  <c r="U29" i="73"/>
  <c r="AB37" i="73"/>
  <c r="T37" i="73"/>
  <c r="AB36" i="73"/>
  <c r="T36" i="73"/>
  <c r="AB35" i="73"/>
  <c r="T35" i="73"/>
  <c r="AB34" i="73"/>
  <c r="T34" i="73"/>
  <c r="AB33" i="73"/>
  <c r="T33" i="73"/>
  <c r="AB32" i="73"/>
  <c r="T32" i="73"/>
  <c r="AB31" i="73"/>
  <c r="T31" i="73"/>
  <c r="AB30" i="73"/>
  <c r="T30" i="73"/>
  <c r="AB29" i="73"/>
  <c r="T29" i="73"/>
  <c r="AA37" i="73"/>
  <c r="S37" i="73"/>
  <c r="AA36" i="73"/>
  <c r="S36" i="73"/>
  <c r="AA35" i="73"/>
  <c r="S35" i="73"/>
  <c r="AA34" i="73"/>
  <c r="S34" i="73"/>
  <c r="AA33" i="73"/>
  <c r="S33" i="73"/>
  <c r="AA32" i="73"/>
  <c r="S32" i="73"/>
  <c r="AA31" i="73"/>
  <c r="S31" i="73"/>
  <c r="AA30" i="73"/>
  <c r="S30" i="73"/>
  <c r="AA29" i="73"/>
  <c r="S29" i="73"/>
  <c r="Z37" i="73"/>
  <c r="R37" i="73"/>
  <c r="Z36" i="73"/>
  <c r="R36" i="73"/>
  <c r="Z35" i="73"/>
  <c r="R35" i="73"/>
  <c r="Z34" i="73"/>
  <c r="R34" i="73"/>
  <c r="Z33" i="73"/>
  <c r="R33" i="73"/>
  <c r="Z32" i="73"/>
  <c r="R32" i="73"/>
  <c r="Z31" i="73"/>
  <c r="R31" i="73"/>
  <c r="Z30" i="73"/>
  <c r="R30" i="73"/>
  <c r="Z29" i="73"/>
  <c r="R29" i="73"/>
  <c r="D21" i="108"/>
  <c r="D21" i="126" s="1"/>
  <c r="K3" i="127"/>
  <c r="F2" i="99"/>
  <c r="E54" i="99"/>
  <c r="D73" i="98"/>
  <c r="J106" i="99"/>
  <c r="J51" i="99"/>
  <c r="K51" i="99" s="1"/>
  <c r="L51" i="99" s="1"/>
  <c r="M51" i="99" s="1"/>
  <c r="E73" i="98"/>
  <c r="D76" i="98"/>
  <c r="D75" i="98"/>
  <c r="E76" i="98"/>
  <c r="E75" i="98"/>
  <c r="C76" i="98"/>
  <c r="C75" i="98"/>
  <c r="F76" i="98"/>
  <c r="F75" i="98"/>
  <c r="V33" i="99"/>
  <c r="V34" i="99"/>
  <c r="V76" i="105" s="1"/>
  <c r="L66" i="105"/>
  <c r="E51" i="104"/>
  <c r="E23" i="104" s="1"/>
  <c r="E25" i="104" s="1"/>
  <c r="E13" i="105"/>
  <c r="D44" i="97" s="1"/>
  <c r="E30" i="105"/>
  <c r="G54" i="105"/>
  <c r="D67" i="98"/>
  <c r="C13" i="102"/>
  <c r="C44" i="97"/>
  <c r="F13" i="105"/>
  <c r="F30" i="105"/>
  <c r="E67" i="98"/>
  <c r="D13" i="102"/>
  <c r="D20" i="102"/>
  <c r="D18" i="102" s="1"/>
  <c r="C25" i="106"/>
  <c r="C42" i="97"/>
  <c r="D17" i="105"/>
  <c r="C103" i="99" s="1"/>
  <c r="D44" i="105"/>
  <c r="E13" i="102"/>
  <c r="E20" i="102"/>
  <c r="E18" i="102" s="1"/>
  <c r="C25" i="46"/>
  <c r="D42" i="97"/>
  <c r="D51" i="104"/>
  <c r="D23" i="104" s="1"/>
  <c r="F17" i="46" s="1"/>
  <c r="AB11" i="102"/>
  <c r="E42" i="97"/>
  <c r="F44" i="97"/>
  <c r="F57" i="98"/>
  <c r="E8" i="105"/>
  <c r="G17" i="105"/>
  <c r="G44" i="105"/>
  <c r="U33" i="125"/>
  <c r="E57" i="98"/>
  <c r="C100" i="123"/>
  <c r="R67" i="99"/>
  <c r="V32" i="99"/>
  <c r="W32" i="99" s="1"/>
  <c r="X32" i="99" s="1"/>
  <c r="Y32" i="99" s="1"/>
  <c r="Y74" i="105" s="1"/>
  <c r="C102" i="123"/>
  <c r="M17" i="94"/>
  <c r="M6" i="94"/>
  <c r="AC82" i="98"/>
  <c r="X46" i="103"/>
  <c r="R16" i="104"/>
  <c r="Y5" i="103"/>
  <c r="W5" i="102"/>
  <c r="X5" i="105"/>
  <c r="V5" i="102"/>
  <c r="Y44" i="100"/>
  <c r="Z44" i="100" s="1"/>
  <c r="AA44" i="100" s="1"/>
  <c r="AB44" i="100" s="1"/>
  <c r="AC44" i="100" s="1"/>
  <c r="X40" i="100"/>
  <c r="Y40" i="100" s="1"/>
  <c r="Z40" i="100" s="1"/>
  <c r="AA40" i="100" s="1"/>
  <c r="AB40" i="100" s="1"/>
  <c r="AC40" i="100" s="1"/>
  <c r="W2" i="98"/>
  <c r="Q5" i="104"/>
  <c r="W17" i="97"/>
  <c r="F16" i="97"/>
  <c r="F15" i="97"/>
  <c r="F28" i="97" s="1"/>
  <c r="E16" i="97"/>
  <c r="C73" i="98"/>
  <c r="F26" i="99"/>
  <c r="F22" i="99" s="1"/>
  <c r="F21" i="99" s="1"/>
  <c r="F18" i="99" s="1"/>
  <c r="F91" i="99"/>
  <c r="J96" i="99"/>
  <c r="O75" i="105"/>
  <c r="J102" i="99"/>
  <c r="J107" i="99"/>
  <c r="L97" i="99"/>
  <c r="L107" i="99"/>
  <c r="E89" i="99"/>
  <c r="C42" i="103"/>
  <c r="D17" i="102"/>
  <c r="E42" i="103"/>
  <c r="D83" i="103"/>
  <c r="G83" i="103"/>
  <c r="D29" i="102"/>
  <c r="E83" i="103"/>
  <c r="D16" i="102" s="1"/>
  <c r="D42" i="103"/>
  <c r="F82" i="103"/>
  <c r="F79" i="103" s="1"/>
  <c r="C48" i="97"/>
  <c r="C43" i="97" s="1"/>
  <c r="F65" i="103"/>
  <c r="D65" i="103"/>
  <c r="G61" i="103"/>
  <c r="C65" i="103"/>
  <c r="F48" i="97"/>
  <c r="F83" i="103"/>
  <c r="G29" i="102"/>
  <c r="E48" i="97"/>
  <c r="E43" i="97" s="1"/>
  <c r="C30" i="102"/>
  <c r="G5" i="103"/>
  <c r="G46" i="103" s="1"/>
  <c r="F26" i="102"/>
  <c r="G48" i="103"/>
  <c r="C83" i="103"/>
  <c r="C16" i="102" s="1"/>
  <c r="E17" i="102"/>
  <c r="D28" i="97"/>
  <c r="C29" i="102"/>
  <c r="E30" i="102"/>
  <c r="F78" i="103"/>
  <c r="F71" i="103" s="1"/>
  <c r="D30" i="102"/>
  <c r="F30" i="102"/>
  <c r="G40" i="103"/>
  <c r="G33" i="103" s="1"/>
  <c r="G22" i="103" s="1"/>
  <c r="E29" i="102"/>
  <c r="E2" i="97"/>
  <c r="F29" i="102"/>
  <c r="D61" i="103"/>
  <c r="G65" i="103"/>
  <c r="F5" i="105"/>
  <c r="C17" i="102"/>
  <c r="C26" i="102"/>
  <c r="D26" i="102"/>
  <c r="E82" i="103"/>
  <c r="E79" i="103" s="1"/>
  <c r="F61" i="103"/>
  <c r="F55" i="97"/>
  <c r="F8" i="103"/>
  <c r="C50" i="97"/>
  <c r="C45" i="97" s="1"/>
  <c r="E54" i="97"/>
  <c r="E5" i="102"/>
  <c r="C17" i="103"/>
  <c r="C13" i="103" s="1"/>
  <c r="F42" i="103"/>
  <c r="C36" i="106"/>
  <c r="D50" i="97"/>
  <c r="D45" i="97" s="1"/>
  <c r="F54" i="97"/>
  <c r="F5" i="102"/>
  <c r="E40" i="103"/>
  <c r="E33" i="103" s="1"/>
  <c r="E22" i="103" s="1"/>
  <c r="E50" i="97"/>
  <c r="E45" i="97" s="1"/>
  <c r="F50" i="97"/>
  <c r="F45" i="97" s="1"/>
  <c r="F17" i="103"/>
  <c r="F13" i="103" s="1"/>
  <c r="C61" i="103"/>
  <c r="C79" i="103"/>
  <c r="F47" i="97"/>
  <c r="F42" i="97" s="1"/>
  <c r="E26" i="102"/>
  <c r="E17" i="103"/>
  <c r="D7" i="97" s="1"/>
  <c r="D48" i="103"/>
  <c r="E61" i="103"/>
  <c r="E65" i="103"/>
  <c r="E49" i="97"/>
  <c r="E44" i="97" s="1"/>
  <c r="Y46" i="3"/>
  <c r="Y5" i="4"/>
  <c r="U23" i="12" s="1"/>
  <c r="U10" i="12" s="1"/>
  <c r="X5" i="5"/>
  <c r="Z5" i="3"/>
  <c r="W5" i="5"/>
  <c r="X46" i="3"/>
  <c r="Y40" i="73"/>
  <c r="Z40" i="73" s="1"/>
  <c r="AA40" i="73" s="1"/>
  <c r="AB40" i="73" s="1"/>
  <c r="AC40" i="73" s="1"/>
  <c r="Y43" i="73"/>
  <c r="Z43" i="73" s="1"/>
  <c r="AA43" i="73" s="1"/>
  <c r="AB43" i="73" s="1"/>
  <c r="AC43" i="73" s="1"/>
  <c r="Y65" i="4"/>
  <c r="R49" i="2"/>
  <c r="R23" i="2" s="1"/>
  <c r="Z77" i="4"/>
  <c r="AA77" i="4" s="1"/>
  <c r="AB77" i="4" s="1"/>
  <c r="AC77" i="4" s="1"/>
  <c r="AC71" i="4" s="1"/>
  <c r="S16" i="2"/>
  <c r="R16" i="2"/>
  <c r="W22" i="55"/>
  <c r="X23" i="55" s="1"/>
  <c r="X24" i="55"/>
  <c r="W17" i="55"/>
  <c r="W24" i="55"/>
  <c r="W2" i="95"/>
  <c r="Q25" i="2"/>
  <c r="S18" i="12" s="1"/>
  <c r="Q5" i="2"/>
  <c r="C113" i="99"/>
  <c r="F3" i="99"/>
  <c r="J93" i="99"/>
  <c r="F98" i="99"/>
  <c r="E106" i="99"/>
  <c r="C36" i="99"/>
  <c r="C28" i="99" s="1"/>
  <c r="E91" i="99"/>
  <c r="Q55" i="99"/>
  <c r="K74" i="105"/>
  <c r="E3" i="99"/>
  <c r="D97" i="99"/>
  <c r="F99" i="99"/>
  <c r="D36" i="99"/>
  <c r="D28" i="99" s="1"/>
  <c r="S74" i="105"/>
  <c r="F97" i="99"/>
  <c r="F102" i="99"/>
  <c r="D104" i="99"/>
  <c r="J99" i="99"/>
  <c r="J105" i="99"/>
  <c r="F89" i="99"/>
  <c r="J97" i="99"/>
  <c r="D99" i="99"/>
  <c r="F106" i="99"/>
  <c r="J95" i="99"/>
  <c r="M98" i="99"/>
  <c r="M107" i="99"/>
  <c r="M105" i="99"/>
  <c r="M104" i="99"/>
  <c r="M96" i="99"/>
  <c r="M99" i="99"/>
  <c r="M93" i="99"/>
  <c r="F72" i="105"/>
  <c r="G72" i="105"/>
  <c r="C101" i="99"/>
  <c r="D98" i="99"/>
  <c r="C26" i="99"/>
  <c r="C22" i="99" s="1"/>
  <c r="C21" i="99" s="1"/>
  <c r="C18" i="99" s="1"/>
  <c r="F105" i="99"/>
  <c r="L106" i="99"/>
  <c r="L74" i="105"/>
  <c r="T74" i="105"/>
  <c r="P75" i="105"/>
  <c r="L76" i="105"/>
  <c r="T76" i="105"/>
  <c r="D110" i="99"/>
  <c r="E100" i="99"/>
  <c r="H100" i="99" s="1"/>
  <c r="M74" i="105"/>
  <c r="Q75" i="105"/>
  <c r="M76" i="105"/>
  <c r="L94" i="99"/>
  <c r="L96" i="99"/>
  <c r="L98" i="99"/>
  <c r="N74" i="105"/>
  <c r="R75" i="105"/>
  <c r="N76" i="105"/>
  <c r="C15" i="99"/>
  <c r="D106" i="99"/>
  <c r="L102" i="99"/>
  <c r="O74" i="105"/>
  <c r="K75" i="105"/>
  <c r="S75" i="105"/>
  <c r="O76" i="105"/>
  <c r="F90" i="99"/>
  <c r="L105" i="99"/>
  <c r="D73" i="105"/>
  <c r="D72" i="105" s="1"/>
  <c r="P74" i="105"/>
  <c r="L75" i="105"/>
  <c r="T75" i="105"/>
  <c r="P76" i="105"/>
  <c r="F73" i="98"/>
  <c r="K76" i="105"/>
  <c r="H103" i="99"/>
  <c r="U103" i="99" s="1"/>
  <c r="E73" i="105"/>
  <c r="E72" i="105" s="1"/>
  <c r="Q74" i="105"/>
  <c r="M75" i="105"/>
  <c r="Q76" i="105"/>
  <c r="S76" i="105"/>
  <c r="D105" i="99"/>
  <c r="L93" i="99"/>
  <c r="L95" i="99"/>
  <c r="L99" i="99"/>
  <c r="L104" i="99"/>
  <c r="G51" i="100"/>
  <c r="R74" i="105"/>
  <c r="N75" i="105"/>
  <c r="R76" i="105"/>
  <c r="D25" i="104"/>
  <c r="E17" i="106"/>
  <c r="C25" i="104"/>
  <c r="E28" i="97"/>
  <c r="E13" i="97"/>
  <c r="E48" i="103"/>
  <c r="F48" i="103"/>
  <c r="D16" i="105"/>
  <c r="L78" i="105"/>
  <c r="E16" i="105"/>
  <c r="F16" i="105"/>
  <c r="G16" i="105"/>
  <c r="C16" i="105"/>
  <c r="G17" i="103"/>
  <c r="G13" i="103" s="1"/>
  <c r="G7" i="103" s="1"/>
  <c r="D40" i="103"/>
  <c r="D33" i="103" s="1"/>
  <c r="D22" i="103" s="1"/>
  <c r="C40" i="103"/>
  <c r="C33" i="103" s="1"/>
  <c r="C22" i="103" s="1"/>
  <c r="D82" i="103"/>
  <c r="D79" i="103" s="1"/>
  <c r="C48" i="103"/>
  <c r="C78" i="103"/>
  <c r="C71" i="103" s="1"/>
  <c r="C12" i="103"/>
  <c r="C8" i="103" s="1"/>
  <c r="F40" i="103"/>
  <c r="F33" i="103" s="1"/>
  <c r="F22" i="103" s="1"/>
  <c r="D78" i="103"/>
  <c r="C56" i="97" s="1"/>
  <c r="E78" i="103"/>
  <c r="H5" i="103"/>
  <c r="D17" i="103"/>
  <c r="D13" i="103" s="1"/>
  <c r="D7" i="103" s="1"/>
  <c r="G78" i="103"/>
  <c r="F56" i="97" s="1"/>
  <c r="G79" i="103"/>
  <c r="X46" i="104"/>
  <c r="N46" i="104"/>
  <c r="O46" i="104" s="1"/>
  <c r="P46" i="104" s="1"/>
  <c r="Q46" i="104" s="1"/>
  <c r="X45" i="104"/>
  <c r="J5" i="100"/>
  <c r="K5" i="100" s="1"/>
  <c r="L5" i="100" s="1"/>
  <c r="M5" i="100" s="1"/>
  <c r="N5" i="100" s="1"/>
  <c r="O5" i="100" s="1"/>
  <c r="P5" i="100" s="1"/>
  <c r="Q5" i="100" s="1"/>
  <c r="R5" i="100" s="1"/>
  <c r="S5" i="100" s="1"/>
  <c r="T5" i="100" s="1"/>
  <c r="U5" i="100" s="1"/>
  <c r="V5" i="100" s="1"/>
  <c r="W5" i="100" s="1"/>
  <c r="X5" i="100" s="1"/>
  <c r="Y5" i="100" s="1"/>
  <c r="Z5" i="100" s="1"/>
  <c r="AA5" i="100" s="1"/>
  <c r="AB5" i="100" s="1"/>
  <c r="AC5" i="100" s="1"/>
  <c r="H40" i="100"/>
  <c r="I18" i="100"/>
  <c r="I33" i="100"/>
  <c r="D12" i="100"/>
  <c r="D50" i="100"/>
  <c r="G43" i="100"/>
  <c r="F24" i="100"/>
  <c r="F27" i="100" s="1"/>
  <c r="E34" i="100"/>
  <c r="G36" i="100"/>
  <c r="E12" i="100"/>
  <c r="G24" i="100"/>
  <c r="G27" i="100" s="1"/>
  <c r="H30" i="100"/>
  <c r="I16" i="100"/>
  <c r="E24" i="100"/>
  <c r="E27" i="100" s="1"/>
  <c r="H12" i="100"/>
  <c r="G12" i="100"/>
  <c r="H41" i="100"/>
  <c r="J6" i="100"/>
  <c r="K6" i="100" s="1"/>
  <c r="L6" i="100" s="1"/>
  <c r="M6" i="100" s="1"/>
  <c r="N6" i="100" s="1"/>
  <c r="O6" i="100" s="1"/>
  <c r="P6" i="100" s="1"/>
  <c r="Q6" i="100" s="1"/>
  <c r="R6" i="100" s="1"/>
  <c r="S6" i="100" s="1"/>
  <c r="T6" i="100" s="1"/>
  <c r="U6" i="100" s="1"/>
  <c r="V6" i="100" s="1"/>
  <c r="W6" i="100" s="1"/>
  <c r="X6" i="100" s="1"/>
  <c r="Y6" i="100" s="1"/>
  <c r="Z6" i="100" s="1"/>
  <c r="AA6" i="100" s="1"/>
  <c r="AB6" i="100" s="1"/>
  <c r="AC6" i="100" s="1"/>
  <c r="F50" i="100"/>
  <c r="H24" i="100"/>
  <c r="F40" i="100"/>
  <c r="H50" i="100"/>
  <c r="F42" i="100"/>
  <c r="F31" i="100"/>
  <c r="H33" i="100"/>
  <c r="G40" i="100"/>
  <c r="D24" i="100"/>
  <c r="D27" i="100" s="1"/>
  <c r="E49" i="100"/>
  <c r="I17" i="100"/>
  <c r="E29" i="100"/>
  <c r="F29" i="100"/>
  <c r="I15" i="100"/>
  <c r="G29" i="100"/>
  <c r="E112" i="99"/>
  <c r="E15" i="99"/>
  <c r="D26" i="99"/>
  <c r="D15" i="99"/>
  <c r="F111" i="99"/>
  <c r="E26" i="99"/>
  <c r="E104" i="99"/>
  <c r="F112" i="99"/>
  <c r="F15" i="99"/>
  <c r="C3" i="99"/>
  <c r="C110" i="99"/>
  <c r="D3" i="99"/>
  <c r="C112" i="99"/>
  <c r="E36" i="99"/>
  <c r="E28" i="99" s="1"/>
  <c r="L30" i="99"/>
  <c r="M31" i="105" s="1"/>
  <c r="D112" i="99"/>
  <c r="F36" i="99"/>
  <c r="F28" i="99" s="1"/>
  <c r="E90" i="99"/>
  <c r="F104" i="99"/>
  <c r="E98" i="99"/>
  <c r="E99" i="99"/>
  <c r="D102" i="99"/>
  <c r="E105" i="99"/>
  <c r="E101" i="99"/>
  <c r="E110" i="99"/>
  <c r="D113" i="99"/>
  <c r="C100" i="99"/>
  <c r="E102" i="99"/>
  <c r="F110" i="99"/>
  <c r="C111" i="99"/>
  <c r="E113" i="99"/>
  <c r="H113" i="99" s="1"/>
  <c r="D100" i="99"/>
  <c r="D101" i="99"/>
  <c r="E97" i="99"/>
  <c r="D111" i="99"/>
  <c r="F113" i="99"/>
  <c r="E111" i="99"/>
  <c r="F101" i="99"/>
  <c r="F100" i="99"/>
  <c r="J94" i="99"/>
  <c r="J98" i="99"/>
  <c r="M106" i="99"/>
  <c r="M95" i="99"/>
  <c r="M97" i="99"/>
  <c r="M102" i="99"/>
  <c r="M94" i="99"/>
  <c r="J104" i="99"/>
  <c r="G2" i="98"/>
  <c r="F59" i="98"/>
  <c r="F63" i="98"/>
  <c r="D17" i="98"/>
  <c r="E7" i="98"/>
  <c r="E89" i="98" s="1"/>
  <c r="E17" i="98"/>
  <c r="F7" i="98"/>
  <c r="F17" i="98"/>
  <c r="D7" i="98"/>
  <c r="D61" i="98"/>
  <c r="F69" i="98"/>
  <c r="C26" i="98"/>
  <c r="E61" i="98"/>
  <c r="D64" i="98"/>
  <c r="C89" i="98"/>
  <c r="D92" i="98"/>
  <c r="D52" i="98"/>
  <c r="D94" i="98" s="1"/>
  <c r="E85" i="98"/>
  <c r="D89" i="98"/>
  <c r="K96" i="98"/>
  <c r="E62" i="98"/>
  <c r="F68" i="98"/>
  <c r="F78" i="98"/>
  <c r="D83" i="98"/>
  <c r="F85" i="98"/>
  <c r="D90" i="98"/>
  <c r="M87" i="98"/>
  <c r="M79" i="98"/>
  <c r="M66" i="98"/>
  <c r="M64" i="98"/>
  <c r="M95" i="98"/>
  <c r="M86" i="98"/>
  <c r="M72" i="98"/>
  <c r="M63" i="98"/>
  <c r="M97" i="98"/>
  <c r="M94" i="98"/>
  <c r="M90" i="98"/>
  <c r="M85" i="98"/>
  <c r="M70" i="98"/>
  <c r="M62" i="98"/>
  <c r="M92" i="98"/>
  <c r="M83" i="98"/>
  <c r="M68" i="98"/>
  <c r="F36" i="98"/>
  <c r="F4" i="98" s="1"/>
  <c r="F92" i="98"/>
  <c r="F83" i="98"/>
  <c r="E86" i="98"/>
  <c r="F90" i="98"/>
  <c r="E93" i="98"/>
  <c r="F93" i="98"/>
  <c r="F52" i="98"/>
  <c r="F94" i="98" s="1"/>
  <c r="E84" i="98"/>
  <c r="D87" i="98"/>
  <c r="M93" i="98"/>
  <c r="L67" i="97"/>
  <c r="H22" i="97"/>
  <c r="L26" i="97"/>
  <c r="D14" i="97"/>
  <c r="D13" i="97" s="1"/>
  <c r="D16" i="97"/>
  <c r="C16" i="97"/>
  <c r="C15" i="97"/>
  <c r="C13" i="97" s="1"/>
  <c r="K66" i="97"/>
  <c r="N68" i="97"/>
  <c r="I21" i="94"/>
  <c r="J21" i="94" s="1"/>
  <c r="F17" i="106" l="1"/>
  <c r="P10" i="104"/>
  <c r="E43" i="104"/>
  <c r="N107" i="99"/>
  <c r="N46" i="99"/>
  <c r="R55" i="99"/>
  <c r="L3" i="127"/>
  <c r="G2" i="99"/>
  <c r="F54" i="99"/>
  <c r="N51" i="99"/>
  <c r="F94" i="99"/>
  <c r="W34" i="99"/>
  <c r="W76" i="105" s="1"/>
  <c r="W33" i="99"/>
  <c r="V75" i="105"/>
  <c r="S67" i="99"/>
  <c r="C28" i="46"/>
  <c r="C28" i="106"/>
  <c r="F103" i="99"/>
  <c r="E19" i="106"/>
  <c r="E19" i="46"/>
  <c r="F19" i="106"/>
  <c r="F19" i="46"/>
  <c r="C27" i="46"/>
  <c r="C27" i="106"/>
  <c r="G17" i="106"/>
  <c r="G17" i="46"/>
  <c r="F43" i="97"/>
  <c r="G19" i="106"/>
  <c r="G19" i="46"/>
  <c r="M66" i="105"/>
  <c r="F51" i="104"/>
  <c r="F23" i="104" s="1"/>
  <c r="U34" i="125"/>
  <c r="Q30" i="134" s="1"/>
  <c r="R50" i="100"/>
  <c r="S50" i="100" s="1"/>
  <c r="T50" i="100" s="1"/>
  <c r="U50" i="100" s="1"/>
  <c r="F98" i="123"/>
  <c r="F111" i="123"/>
  <c r="E38" i="123"/>
  <c r="E51" i="123"/>
  <c r="D51" i="123"/>
  <c r="D38" i="123"/>
  <c r="AA71" i="123"/>
  <c r="AA58" i="123"/>
  <c r="E98" i="123"/>
  <c r="E97" i="123" s="1"/>
  <c r="E111" i="123"/>
  <c r="C51" i="123"/>
  <c r="C38" i="123"/>
  <c r="C98" i="123"/>
  <c r="C97" i="123" s="1"/>
  <c r="C103" i="123" s="1"/>
  <c r="C111" i="123"/>
  <c r="D98" i="123"/>
  <c r="D97" i="123" s="1"/>
  <c r="D111" i="123"/>
  <c r="Y11" i="100"/>
  <c r="Z11" i="100" s="1"/>
  <c r="AA11" i="100" s="1"/>
  <c r="AB11" i="100" s="1"/>
  <c r="AC11" i="100" s="1"/>
  <c r="Q29" i="97"/>
  <c r="V74" i="105"/>
  <c r="X74" i="105"/>
  <c r="W74" i="105"/>
  <c r="Z32" i="99"/>
  <c r="AA32" i="99" s="1"/>
  <c r="F96" i="99"/>
  <c r="C34" i="106"/>
  <c r="C34" i="46"/>
  <c r="E102" i="123"/>
  <c r="D102" i="123"/>
  <c r="R46" i="104"/>
  <c r="Y46" i="103"/>
  <c r="S16" i="104"/>
  <c r="Z5" i="103"/>
  <c r="X5" i="102"/>
  <c r="Y5" i="105"/>
  <c r="R5" i="104"/>
  <c r="R42" i="104"/>
  <c r="R57" i="104" s="1"/>
  <c r="W59" i="98"/>
  <c r="X2" i="98"/>
  <c r="Q10" i="104"/>
  <c r="Q67" i="104"/>
  <c r="X17" i="97"/>
  <c r="F13" i="97"/>
  <c r="X34" i="99"/>
  <c r="X76" i="105" s="1"/>
  <c r="D107" i="99"/>
  <c r="N95" i="99"/>
  <c r="E28" i="102"/>
  <c r="F16" i="102"/>
  <c r="E16" i="102"/>
  <c r="E56" i="97"/>
  <c r="F2" i="97"/>
  <c r="D28" i="102"/>
  <c r="D15" i="102"/>
  <c r="D14" i="102" s="1"/>
  <c r="C40" i="123" s="1"/>
  <c r="G5" i="105"/>
  <c r="F60" i="103"/>
  <c r="F47" i="103" s="1"/>
  <c r="C28" i="102"/>
  <c r="D10" i="102"/>
  <c r="D8" i="102" s="1"/>
  <c r="C39" i="123" s="1"/>
  <c r="C10" i="102"/>
  <c r="C8" i="102" s="1"/>
  <c r="F7" i="103"/>
  <c r="F24" i="102" s="1"/>
  <c r="C7" i="103"/>
  <c r="C6" i="103" s="1"/>
  <c r="F15" i="102"/>
  <c r="D71" i="103"/>
  <c r="D60" i="103" s="1"/>
  <c r="D47" i="103" s="1"/>
  <c r="F28" i="102"/>
  <c r="G6" i="103"/>
  <c r="D4" i="97"/>
  <c r="D6" i="97"/>
  <c r="C27" i="102"/>
  <c r="D27" i="102"/>
  <c r="D6" i="103"/>
  <c r="E13" i="103"/>
  <c r="E7" i="103" s="1"/>
  <c r="D24" i="102" s="1"/>
  <c r="C41" i="123" s="1"/>
  <c r="E15" i="102"/>
  <c r="C7" i="97"/>
  <c r="G5" i="102"/>
  <c r="G2" i="97"/>
  <c r="H2" i="97" s="1"/>
  <c r="I2" i="97" s="1"/>
  <c r="J2" i="97" s="1"/>
  <c r="K2" i="97" s="1"/>
  <c r="L2" i="97" s="1"/>
  <c r="M2" i="97" s="1"/>
  <c r="N2" i="97" s="1"/>
  <c r="O2" i="97" s="1"/>
  <c r="P2" i="97" s="1"/>
  <c r="Q2" i="97" s="1"/>
  <c r="R2" i="97" s="1"/>
  <c r="S2" i="97" s="1"/>
  <c r="T2" i="97" s="1"/>
  <c r="U2" i="97" s="1"/>
  <c r="V2" i="97" s="1"/>
  <c r="W2" i="97" s="1"/>
  <c r="X2" i="97" s="1"/>
  <c r="Y2" i="97" s="1"/>
  <c r="Z2" i="97" s="1"/>
  <c r="AA2" i="97" s="1"/>
  <c r="AB2" i="97" s="1"/>
  <c r="H5" i="105"/>
  <c r="F7" i="97"/>
  <c r="C15" i="102"/>
  <c r="C14" i="102" s="1"/>
  <c r="E71" i="103"/>
  <c r="E60" i="103" s="1"/>
  <c r="E47" i="103" s="1"/>
  <c r="D56" i="97"/>
  <c r="C33" i="106"/>
  <c r="E7" i="97"/>
  <c r="F27" i="102"/>
  <c r="E27" i="102"/>
  <c r="G71" i="103"/>
  <c r="C60" i="103"/>
  <c r="C47" i="103" s="1"/>
  <c r="E10" i="102"/>
  <c r="E8" i="102" s="1"/>
  <c r="D39" i="123" s="1"/>
  <c r="F10" i="102"/>
  <c r="F8" i="102" s="1"/>
  <c r="E39" i="123" s="1"/>
  <c r="Z5" i="4"/>
  <c r="V23" i="12" s="1"/>
  <c r="V10" i="12" s="1"/>
  <c r="Y5" i="5"/>
  <c r="AA5" i="3"/>
  <c r="Z46" i="3"/>
  <c r="R25" i="2"/>
  <c r="T18" i="12" s="1"/>
  <c r="T16" i="12"/>
  <c r="Z65" i="4"/>
  <c r="S49" i="2"/>
  <c r="S23" i="2" s="1"/>
  <c r="T16" i="2"/>
  <c r="R5" i="2"/>
  <c r="R40" i="2"/>
  <c r="R52" i="2" s="1"/>
  <c r="S5" i="2"/>
  <c r="S40" i="2"/>
  <c r="S52" i="2" s="1"/>
  <c r="X17" i="55"/>
  <c r="X22" i="55"/>
  <c r="Y23" i="55" s="1"/>
  <c r="Y24" i="55"/>
  <c r="W59" i="95"/>
  <c r="X2" i="95"/>
  <c r="Q10" i="2"/>
  <c r="Q62" i="2"/>
  <c r="N97" i="99"/>
  <c r="N99" i="99"/>
  <c r="D22" i="99"/>
  <c r="D21" i="99" s="1"/>
  <c r="D18" i="99" s="1"/>
  <c r="N98" i="99"/>
  <c r="N96" i="99"/>
  <c r="F95" i="99"/>
  <c r="E107" i="99"/>
  <c r="E22" i="99"/>
  <c r="E21" i="99" s="1"/>
  <c r="E18" i="99" s="1"/>
  <c r="H112" i="99"/>
  <c r="U112" i="99" s="1"/>
  <c r="N106" i="99"/>
  <c r="N104" i="99"/>
  <c r="N102" i="99"/>
  <c r="N105" i="99"/>
  <c r="N94" i="99"/>
  <c r="O107" i="99"/>
  <c r="N93" i="99"/>
  <c r="C69" i="105"/>
  <c r="C70" i="105" s="1"/>
  <c r="C38" i="105"/>
  <c r="D69" i="105"/>
  <c r="D70" i="105" s="1"/>
  <c r="D38" i="105"/>
  <c r="E38" i="105"/>
  <c r="E69" i="105"/>
  <c r="M78" i="105"/>
  <c r="G38" i="105"/>
  <c r="G69" i="105"/>
  <c r="F38" i="105"/>
  <c r="F69" i="105"/>
  <c r="H46" i="103"/>
  <c r="I5" i="103"/>
  <c r="I19" i="100"/>
  <c r="I34" i="100"/>
  <c r="J15" i="100"/>
  <c r="M30" i="99"/>
  <c r="N31" i="105" s="1"/>
  <c r="F107" i="99"/>
  <c r="U113" i="99"/>
  <c r="D16" i="98"/>
  <c r="N95" i="98"/>
  <c r="N86" i="98"/>
  <c r="N72" i="98"/>
  <c r="N63" i="98"/>
  <c r="N97" i="98"/>
  <c r="N94" i="98"/>
  <c r="N90" i="98"/>
  <c r="N85" i="98"/>
  <c r="N70" i="98"/>
  <c r="N62" i="98"/>
  <c r="N93" i="98"/>
  <c r="N84" i="98"/>
  <c r="N69" i="98"/>
  <c r="N61" i="98"/>
  <c r="N91" i="98"/>
  <c r="N82" i="98"/>
  <c r="N77" i="98"/>
  <c r="N92" i="98"/>
  <c r="N64" i="98"/>
  <c r="N87" i="98"/>
  <c r="N83" i="98"/>
  <c r="N68" i="98"/>
  <c r="N79" i="98"/>
  <c r="N78" i="98"/>
  <c r="N88" i="98"/>
  <c r="N81" i="98"/>
  <c r="N66" i="98"/>
  <c r="L96" i="98"/>
  <c r="F16" i="98"/>
  <c r="F70" i="98" s="1"/>
  <c r="G59" i="98"/>
  <c r="H2" i="98"/>
  <c r="E94" i="98"/>
  <c r="E16" i="98"/>
  <c r="E6" i="98"/>
  <c r="E3" i="98" s="1"/>
  <c r="F89" i="98"/>
  <c r="C17" i="98"/>
  <c r="C16" i="98" s="1"/>
  <c r="C6" i="98" s="1"/>
  <c r="C3" i="98" s="1"/>
  <c r="O68" i="97"/>
  <c r="M67" i="97"/>
  <c r="L66" i="97"/>
  <c r="F43" i="104" l="1"/>
  <c r="N42" i="99"/>
  <c r="O46" i="99"/>
  <c r="S55" i="99"/>
  <c r="M3" i="127"/>
  <c r="V50" i="100"/>
  <c r="W50" i="100" s="1"/>
  <c r="X50" i="100" s="1"/>
  <c r="Y50" i="100" s="1"/>
  <c r="Z50" i="100" s="1"/>
  <c r="AA50" i="100" s="1"/>
  <c r="AB50" i="100" s="1"/>
  <c r="AC50" i="100" s="1"/>
  <c r="D19" i="126"/>
  <c r="E19" i="126" s="1"/>
  <c r="O51" i="99"/>
  <c r="O93" i="99"/>
  <c r="H2" i="99"/>
  <c r="G54" i="99"/>
  <c r="O102" i="99"/>
  <c r="O94" i="99"/>
  <c r="T67" i="99"/>
  <c r="X33" i="99"/>
  <c r="W75" i="105"/>
  <c r="G60" i="103"/>
  <c r="G47" i="103" s="1"/>
  <c r="G87" i="103" s="1"/>
  <c r="C32" i="46"/>
  <c r="F70" i="105"/>
  <c r="D49" i="123" s="1"/>
  <c r="D48" i="123"/>
  <c r="H17" i="46"/>
  <c r="F25" i="104"/>
  <c r="H17" i="106"/>
  <c r="G70" i="105"/>
  <c r="E49" i="123" s="1"/>
  <c r="E48" i="123"/>
  <c r="N66" i="105"/>
  <c r="G51" i="104"/>
  <c r="G23" i="104" s="1"/>
  <c r="D24" i="106"/>
  <c r="D11" i="106" s="1"/>
  <c r="D24" i="46"/>
  <c r="D11" i="46" s="1"/>
  <c r="E41" i="123"/>
  <c r="C31" i="46"/>
  <c r="C24" i="106"/>
  <c r="C11" i="106" s="1"/>
  <c r="C24" i="46"/>
  <c r="C11" i="46" s="1"/>
  <c r="E70" i="105"/>
  <c r="C49" i="123" s="1"/>
  <c r="C48" i="123"/>
  <c r="U35" i="125"/>
  <c r="Q31" i="134" s="1"/>
  <c r="Z74" i="105"/>
  <c r="G98" i="123"/>
  <c r="G111" i="123"/>
  <c r="C104" i="123"/>
  <c r="C57" i="98"/>
  <c r="C44" i="98" s="1"/>
  <c r="D70" i="98"/>
  <c r="AB32" i="99"/>
  <c r="AB74" i="105" s="1"/>
  <c r="AA74" i="105"/>
  <c r="D103" i="123"/>
  <c r="D104" i="123" s="1"/>
  <c r="C33" i="46"/>
  <c r="Q6" i="108"/>
  <c r="D110" i="123"/>
  <c r="S46" i="104"/>
  <c r="Z46" i="103"/>
  <c r="T16" i="104"/>
  <c r="AA5" i="103"/>
  <c r="Y5" i="102"/>
  <c r="Z5" i="105"/>
  <c r="R10" i="104"/>
  <c r="R67" i="104"/>
  <c r="S5" i="104"/>
  <c r="S42" i="104"/>
  <c r="S57" i="104" s="1"/>
  <c r="F14" i="102"/>
  <c r="E40" i="123" s="1"/>
  <c r="E14" i="102"/>
  <c r="D40" i="123" s="1"/>
  <c r="X59" i="98"/>
  <c r="Y2" i="98"/>
  <c r="Y17" i="97"/>
  <c r="Y34" i="99"/>
  <c r="Y76" i="105" s="1"/>
  <c r="O97" i="99"/>
  <c r="O105" i="99"/>
  <c r="O95" i="99"/>
  <c r="C24" i="102"/>
  <c r="C23" i="102" s="1"/>
  <c r="F6" i="103"/>
  <c r="F87" i="103" s="1"/>
  <c r="D90" i="103"/>
  <c r="C90" i="103"/>
  <c r="C32" i="106"/>
  <c r="C6" i="97"/>
  <c r="C4" i="97"/>
  <c r="C3" i="97" s="1"/>
  <c r="C87" i="103"/>
  <c r="E24" i="102"/>
  <c r="D41" i="123" s="1"/>
  <c r="E6" i="103"/>
  <c r="H5" i="102"/>
  <c r="C16" i="104"/>
  <c r="I5" i="105"/>
  <c r="D23" i="102"/>
  <c r="D3" i="97"/>
  <c r="C31" i="106"/>
  <c r="F23" i="102"/>
  <c r="D87" i="103"/>
  <c r="E4" i="97"/>
  <c r="E6" i="97"/>
  <c r="F6" i="97"/>
  <c r="F4" i="97"/>
  <c r="Z5" i="5"/>
  <c r="AA5" i="4"/>
  <c r="W23" i="12" s="1"/>
  <c r="W10" i="12" s="1"/>
  <c r="AB5" i="3"/>
  <c r="AA46" i="3"/>
  <c r="S25" i="2"/>
  <c r="U18" i="12" s="1"/>
  <c r="U16" i="12"/>
  <c r="AA65" i="4"/>
  <c r="T49" i="2"/>
  <c r="T23" i="2" s="1"/>
  <c r="T5" i="2"/>
  <c r="T40" i="2"/>
  <c r="T52" i="2" s="1"/>
  <c r="S62" i="2"/>
  <c r="S10" i="2"/>
  <c r="R10" i="2"/>
  <c r="R62" i="2"/>
  <c r="U16" i="2"/>
  <c r="Y22" i="55"/>
  <c r="Z23" i="55" s="1"/>
  <c r="Z24" i="55"/>
  <c r="Y17" i="55"/>
  <c r="X59" i="95"/>
  <c r="Y2" i="95"/>
  <c r="P95" i="99"/>
  <c r="O106" i="99"/>
  <c r="O104" i="99"/>
  <c r="O98" i="99"/>
  <c r="O96" i="99"/>
  <c r="O99" i="99"/>
  <c r="N78" i="105"/>
  <c r="F48" i="105"/>
  <c r="F55" i="105" s="1"/>
  <c r="D53" i="123" s="1"/>
  <c r="F64" i="105"/>
  <c r="F65" i="105" s="1"/>
  <c r="F56" i="105"/>
  <c r="E7" i="102" s="1"/>
  <c r="D37" i="123" s="1"/>
  <c r="F58" i="105"/>
  <c r="D52" i="123" s="1"/>
  <c r="D58" i="105"/>
  <c r="D48" i="105"/>
  <c r="D55" i="105" s="1"/>
  <c r="D64" i="105"/>
  <c r="D65" i="105" s="1"/>
  <c r="D56" i="105"/>
  <c r="C7" i="102" s="1"/>
  <c r="G64" i="105"/>
  <c r="G65" i="105" s="1"/>
  <c r="G56" i="105"/>
  <c r="F7" i="102" s="1"/>
  <c r="E37" i="123" s="1"/>
  <c r="G58" i="105"/>
  <c r="E52" i="123" s="1"/>
  <c r="G48" i="105"/>
  <c r="G55" i="105" s="1"/>
  <c r="E53" i="123" s="1"/>
  <c r="E48" i="105"/>
  <c r="E55" i="105" s="1"/>
  <c r="C53" i="123" s="1"/>
  <c r="E58" i="105"/>
  <c r="C52" i="123" s="1"/>
  <c r="E64" i="105"/>
  <c r="E65" i="105" s="1"/>
  <c r="E56" i="105"/>
  <c r="D7" i="102" s="1"/>
  <c r="C37" i="123" s="1"/>
  <c r="C58" i="105"/>
  <c r="C48" i="105"/>
  <c r="C55" i="105" s="1"/>
  <c r="C64" i="105"/>
  <c r="C65" i="105" s="1"/>
  <c r="C56" i="105"/>
  <c r="I46" i="103"/>
  <c r="J5" i="103"/>
  <c r="K15" i="100"/>
  <c r="I35" i="100"/>
  <c r="I20" i="100"/>
  <c r="N30" i="99"/>
  <c r="O31" i="105" s="1"/>
  <c r="O97" i="98"/>
  <c r="O94" i="98"/>
  <c r="O90" i="98"/>
  <c r="O85" i="98"/>
  <c r="O70" i="98"/>
  <c r="O62" i="98"/>
  <c r="O93" i="98"/>
  <c r="O84" i="98"/>
  <c r="O69" i="98"/>
  <c r="O61" i="98"/>
  <c r="O92" i="98"/>
  <c r="O83" i="98"/>
  <c r="O68" i="98"/>
  <c r="O88" i="98"/>
  <c r="O81" i="98"/>
  <c r="O64" i="98"/>
  <c r="O87" i="98"/>
  <c r="O91" i="98"/>
  <c r="O79" i="98"/>
  <c r="O82" i="98"/>
  <c r="O78" i="98"/>
  <c r="O95" i="98"/>
  <c r="O63" i="98"/>
  <c r="O77" i="98"/>
  <c r="O86" i="98"/>
  <c r="O72" i="98"/>
  <c r="O66" i="98"/>
  <c r="D6" i="98"/>
  <c r="D3" i="98" s="1"/>
  <c r="E97" i="98" s="1"/>
  <c r="E70" i="98"/>
  <c r="H59" i="98"/>
  <c r="I2" i="98"/>
  <c r="F6" i="98"/>
  <c r="F3" i="98" s="1"/>
  <c r="E44" i="98"/>
  <c r="M96" i="98"/>
  <c r="M66" i="97"/>
  <c r="P68" i="97"/>
  <c r="N67" i="97"/>
  <c r="P81" i="98" l="1"/>
  <c r="P82" i="98"/>
  <c r="G43" i="104"/>
  <c r="E42" i="123"/>
  <c r="G90" i="103"/>
  <c r="O42" i="99"/>
  <c r="P46" i="99"/>
  <c r="T55" i="99"/>
  <c r="N3" i="127"/>
  <c r="P51" i="99"/>
  <c r="I2" i="99"/>
  <c r="H54" i="99"/>
  <c r="Y33" i="99"/>
  <c r="X75" i="105"/>
  <c r="U67" i="99"/>
  <c r="O66" i="105"/>
  <c r="H51" i="104"/>
  <c r="H23" i="104" s="1"/>
  <c r="C31" i="102"/>
  <c r="C32" i="102" s="1"/>
  <c r="C38" i="102" s="1"/>
  <c r="H19" i="106"/>
  <c r="H19" i="46"/>
  <c r="D31" i="102"/>
  <c r="D32" i="102" s="1"/>
  <c r="D38" i="102" s="1"/>
  <c r="E24" i="106"/>
  <c r="E11" i="106" s="1"/>
  <c r="E24" i="46"/>
  <c r="E11" i="46" s="1"/>
  <c r="I17" i="46"/>
  <c r="I17" i="106"/>
  <c r="G25" i="104"/>
  <c r="U36" i="125"/>
  <c r="Q32" i="134" s="1"/>
  <c r="C42" i="123"/>
  <c r="E103" i="123"/>
  <c r="E104" i="123" s="1"/>
  <c r="H111" i="123"/>
  <c r="H98" i="123"/>
  <c r="C110" i="123"/>
  <c r="E110" i="123"/>
  <c r="T46" i="104"/>
  <c r="S10" i="104"/>
  <c r="S67" i="104"/>
  <c r="AA46" i="103"/>
  <c r="U16" i="104"/>
  <c r="AB5" i="103"/>
  <c r="Z5" i="102"/>
  <c r="AA5" i="105"/>
  <c r="T5" i="104"/>
  <c r="T42" i="104"/>
  <c r="T57" i="104" s="1"/>
  <c r="Y59" i="98"/>
  <c r="Z2" i="98"/>
  <c r="Z17" i="97"/>
  <c r="Z34" i="99"/>
  <c r="Z76" i="105" s="1"/>
  <c r="P93" i="99"/>
  <c r="P97" i="99"/>
  <c r="P98" i="99"/>
  <c r="Q102" i="99"/>
  <c r="F90" i="103"/>
  <c r="F31" i="102"/>
  <c r="I5" i="102"/>
  <c r="D16" i="104"/>
  <c r="J5" i="105"/>
  <c r="E23" i="102"/>
  <c r="D42" i="123" s="1"/>
  <c r="E27" i="97"/>
  <c r="E26" i="97" s="1"/>
  <c r="E3" i="97"/>
  <c r="D27" i="97"/>
  <c r="D26" i="97" s="1"/>
  <c r="F27" i="97"/>
  <c r="F26" i="97" s="1"/>
  <c r="F3" i="97"/>
  <c r="C5" i="104"/>
  <c r="C42" i="104"/>
  <c r="C57" i="104" s="1"/>
  <c r="C50" i="104"/>
  <c r="C65" i="104" s="1"/>
  <c r="E90" i="103"/>
  <c r="E87" i="103"/>
  <c r="AA5" i="5"/>
  <c r="AB5" i="4"/>
  <c r="X23" i="12" s="1"/>
  <c r="X10" i="12" s="1"/>
  <c r="AC5" i="3"/>
  <c r="AB46" i="3"/>
  <c r="AB65" i="4"/>
  <c r="U49" i="2"/>
  <c r="U23" i="2" s="1"/>
  <c r="T25" i="2"/>
  <c r="V18" i="12" s="1"/>
  <c r="V16" i="12"/>
  <c r="U5" i="2"/>
  <c r="U40" i="2"/>
  <c r="U52" i="2" s="1"/>
  <c r="V16" i="2"/>
  <c r="T62" i="2"/>
  <c r="T10" i="2"/>
  <c r="AA24" i="55"/>
  <c r="Z22" i="55"/>
  <c r="AA23" i="55" s="1"/>
  <c r="Z17" i="55"/>
  <c r="Z2" i="95"/>
  <c r="Y59" i="95"/>
  <c r="P105" i="99"/>
  <c r="P102" i="99"/>
  <c r="P94" i="99"/>
  <c r="P106" i="99"/>
  <c r="P96" i="99"/>
  <c r="P104" i="99"/>
  <c r="P107" i="99"/>
  <c r="P99" i="99"/>
  <c r="O78" i="105"/>
  <c r="F62" i="105"/>
  <c r="F63" i="105" s="1"/>
  <c r="F71" i="105"/>
  <c r="D50" i="123" s="1"/>
  <c r="G62" i="105"/>
  <c r="G71" i="105"/>
  <c r="E50" i="123" s="1"/>
  <c r="E62" i="105"/>
  <c r="E63" i="105" s="1"/>
  <c r="E71" i="105"/>
  <c r="C50" i="123" s="1"/>
  <c r="D62" i="105"/>
  <c r="D63" i="105" s="1"/>
  <c r="D71" i="105"/>
  <c r="C71" i="105"/>
  <c r="C62" i="105"/>
  <c r="C63" i="105" s="1"/>
  <c r="J46" i="103"/>
  <c r="K5" i="103"/>
  <c r="I36" i="100"/>
  <c r="I21" i="100"/>
  <c r="L15" i="100"/>
  <c r="O30" i="99"/>
  <c r="P31" i="105" s="1"/>
  <c r="P93" i="98"/>
  <c r="P84" i="98"/>
  <c r="P69" i="98"/>
  <c r="P92" i="98"/>
  <c r="P83" i="98"/>
  <c r="P68" i="98"/>
  <c r="P91" i="98"/>
  <c r="P78" i="98"/>
  <c r="P87" i="98"/>
  <c r="P79" i="98"/>
  <c r="P97" i="98"/>
  <c r="P90" i="98"/>
  <c r="P95" i="98"/>
  <c r="P63" i="98"/>
  <c r="P88" i="98"/>
  <c r="P86" i="98"/>
  <c r="P72" i="98"/>
  <c r="P66" i="98"/>
  <c r="P94" i="98"/>
  <c r="P85" i="98"/>
  <c r="P70" i="98"/>
  <c r="F97" i="98"/>
  <c r="F44" i="98"/>
  <c r="I59" i="98"/>
  <c r="J2" i="98"/>
  <c r="N96" i="98"/>
  <c r="D97" i="98"/>
  <c r="D44" i="98"/>
  <c r="Q68" i="97"/>
  <c r="O67" i="97"/>
  <c r="N66" i="97"/>
  <c r="H43" i="104" l="1"/>
  <c r="P42" i="99"/>
  <c r="Q46" i="99"/>
  <c r="C2" i="127"/>
  <c r="C22" i="127" s="1"/>
  <c r="C2" i="129"/>
  <c r="C31" i="129" s="1"/>
  <c r="U55" i="99"/>
  <c r="V55" i="99" s="1"/>
  <c r="W55" i="99" s="1"/>
  <c r="X55" i="99" s="1"/>
  <c r="Y55" i="99" s="1"/>
  <c r="Z55" i="99" s="1"/>
  <c r="AA55" i="99" s="1"/>
  <c r="AB55" i="99" s="1"/>
  <c r="O3" i="127"/>
  <c r="Q106" i="99"/>
  <c r="Q51" i="99"/>
  <c r="J2" i="99"/>
  <c r="I54" i="99"/>
  <c r="Q94" i="99"/>
  <c r="V67" i="99"/>
  <c r="Z33" i="99"/>
  <c r="Y75" i="105"/>
  <c r="G63" i="105"/>
  <c r="C29" i="46"/>
  <c r="C29" i="106"/>
  <c r="C43" i="123"/>
  <c r="C44" i="123" s="1"/>
  <c r="I19" i="106"/>
  <c r="I19" i="46"/>
  <c r="J17" i="46"/>
  <c r="J17" i="106"/>
  <c r="H25" i="104"/>
  <c r="F24" i="106"/>
  <c r="F11" i="106" s="1"/>
  <c r="F24" i="46"/>
  <c r="F11" i="46" s="1"/>
  <c r="P66" i="105"/>
  <c r="I51" i="104"/>
  <c r="I23" i="104" s="1"/>
  <c r="U37" i="125"/>
  <c r="Q33" i="134" s="1"/>
  <c r="F32" i="102"/>
  <c r="F38" i="102" s="1"/>
  <c r="E43" i="123"/>
  <c r="E44" i="123" s="1"/>
  <c r="I111" i="123"/>
  <c r="I98" i="123"/>
  <c r="U46" i="104"/>
  <c r="AA5" i="102"/>
  <c r="AB5" i="105"/>
  <c r="AB46" i="103"/>
  <c r="V16" i="104"/>
  <c r="AC5" i="103"/>
  <c r="T67" i="104"/>
  <c r="T10" i="104"/>
  <c r="U5" i="104"/>
  <c r="U42" i="104"/>
  <c r="U57" i="104" s="1"/>
  <c r="Z59" i="98"/>
  <c r="AA2" i="98"/>
  <c r="AA17" i="97"/>
  <c r="AA34" i="99"/>
  <c r="AA76" i="105" s="1"/>
  <c r="R105" i="99"/>
  <c r="Q96" i="99"/>
  <c r="Q98" i="99"/>
  <c r="Q93" i="99"/>
  <c r="Q107" i="99"/>
  <c r="Q99" i="99"/>
  <c r="Q95" i="99"/>
  <c r="Q104" i="99"/>
  <c r="Q97" i="99"/>
  <c r="Q105" i="99"/>
  <c r="D42" i="104"/>
  <c r="D57" i="104" s="1"/>
  <c r="D5" i="104"/>
  <c r="J5" i="102"/>
  <c r="E16" i="104"/>
  <c r="K5" i="105"/>
  <c r="E31" i="102"/>
  <c r="D43" i="123" s="1"/>
  <c r="D44" i="123" s="1"/>
  <c r="C67" i="104"/>
  <c r="C10" i="104"/>
  <c r="AC46" i="3"/>
  <c r="AC5" i="4"/>
  <c r="Y23" i="12" s="1"/>
  <c r="Y10" i="12" s="1"/>
  <c r="AB5" i="5"/>
  <c r="U25" i="2"/>
  <c r="W18" i="12" s="1"/>
  <c r="W16" i="12"/>
  <c r="V49" i="2"/>
  <c r="V23" i="2" s="1"/>
  <c r="AC65" i="4"/>
  <c r="W49" i="2" s="1"/>
  <c r="W23" i="2" s="1"/>
  <c r="W16" i="2"/>
  <c r="V5" i="2"/>
  <c r="V40" i="2"/>
  <c r="V52" i="2" s="1"/>
  <c r="U62" i="2"/>
  <c r="U10" i="2"/>
  <c r="AA17" i="55"/>
  <c r="AB24" i="55"/>
  <c r="AA22" i="55"/>
  <c r="AB23" i="55" s="1"/>
  <c r="AB22" i="55" s="1"/>
  <c r="AA2" i="95"/>
  <c r="Z59" i="95"/>
  <c r="P78" i="105"/>
  <c r="K46" i="103"/>
  <c r="L5" i="103"/>
  <c r="M15" i="100"/>
  <c r="I37" i="100"/>
  <c r="I23" i="100" s="1"/>
  <c r="I22" i="100"/>
  <c r="P30" i="99"/>
  <c r="Q31" i="105" s="1"/>
  <c r="Q92" i="98"/>
  <c r="Q83" i="98"/>
  <c r="Q68" i="98"/>
  <c r="Q91" i="98"/>
  <c r="Q82" i="98"/>
  <c r="Q77" i="98"/>
  <c r="Q88" i="98"/>
  <c r="Q81" i="98"/>
  <c r="Q87" i="98"/>
  <c r="Q79" i="98"/>
  <c r="Q66" i="98"/>
  <c r="Q64" i="98"/>
  <c r="Q84" i="98"/>
  <c r="Q69" i="98"/>
  <c r="Q97" i="98"/>
  <c r="Q90" i="98"/>
  <c r="Q95" i="98"/>
  <c r="Q78" i="98"/>
  <c r="Q63" i="98"/>
  <c r="Q86" i="98"/>
  <c r="Q72" i="98"/>
  <c r="Q94" i="98"/>
  <c r="Q93" i="98"/>
  <c r="Q85" i="98"/>
  <c r="Q62" i="98"/>
  <c r="Q61" i="98"/>
  <c r="Q70" i="98"/>
  <c r="O96" i="98"/>
  <c r="J59" i="98"/>
  <c r="K2" i="98"/>
  <c r="O66" i="97"/>
  <c r="P67" i="97"/>
  <c r="R68" i="97"/>
  <c r="I43" i="104" l="1"/>
  <c r="Q42" i="99"/>
  <c r="R46" i="99"/>
  <c r="D2" i="129"/>
  <c r="D31" i="129" s="1"/>
  <c r="D2" i="127"/>
  <c r="D22" i="127" s="1"/>
  <c r="R51" i="99"/>
  <c r="K2" i="99"/>
  <c r="J54" i="99"/>
  <c r="R95" i="99"/>
  <c r="R94" i="99"/>
  <c r="S102" i="99"/>
  <c r="R102" i="99"/>
  <c r="Z75" i="105"/>
  <c r="AA33" i="99"/>
  <c r="W67" i="99"/>
  <c r="X67" i="99" s="1"/>
  <c r="Y67" i="99" s="1"/>
  <c r="Z67" i="99" s="1"/>
  <c r="AA67" i="99" s="1"/>
  <c r="AB67" i="99" s="1"/>
  <c r="G24" i="106"/>
  <c r="G11" i="106" s="1"/>
  <c r="G24" i="46"/>
  <c r="G11" i="46" s="1"/>
  <c r="K17" i="46"/>
  <c r="I25" i="104"/>
  <c r="K17" i="106"/>
  <c r="Q66" i="105"/>
  <c r="J51" i="104"/>
  <c r="J23" i="104" s="1"/>
  <c r="C30" i="106"/>
  <c r="C35" i="106"/>
  <c r="C30" i="46"/>
  <c r="C35" i="46"/>
  <c r="J19" i="106"/>
  <c r="J19" i="46"/>
  <c r="U38" i="125"/>
  <c r="Q34" i="134" s="1"/>
  <c r="J111" i="123"/>
  <c r="J98" i="123"/>
  <c r="V46" i="104"/>
  <c r="U10" i="104"/>
  <c r="U67" i="104"/>
  <c r="AB5" i="102"/>
  <c r="AC5" i="105"/>
  <c r="AC46" i="103"/>
  <c r="W16" i="104"/>
  <c r="V5" i="104"/>
  <c r="V42" i="104"/>
  <c r="V57" i="104" s="1"/>
  <c r="AA59" i="98"/>
  <c r="AB2" i="98"/>
  <c r="AB59" i="98" s="1"/>
  <c r="AB17" i="97"/>
  <c r="AB34" i="99"/>
  <c r="AB76" i="105" s="1"/>
  <c r="R99" i="99"/>
  <c r="R106" i="99"/>
  <c r="R97" i="99"/>
  <c r="R96" i="99"/>
  <c r="R98" i="99"/>
  <c r="R104" i="99"/>
  <c r="R107" i="99"/>
  <c r="R93" i="99"/>
  <c r="L5" i="105"/>
  <c r="K5" i="102"/>
  <c r="F16" i="104"/>
  <c r="D10" i="104"/>
  <c r="D67" i="104"/>
  <c r="E5" i="104"/>
  <c r="E42" i="104"/>
  <c r="E57" i="104" s="1"/>
  <c r="E32" i="102"/>
  <c r="E38" i="102" s="1"/>
  <c r="Y16" i="12"/>
  <c r="W25" i="2"/>
  <c r="Y18" i="12" s="1"/>
  <c r="V25" i="2"/>
  <c r="X18" i="12" s="1"/>
  <c r="X16" i="12"/>
  <c r="V62" i="2"/>
  <c r="V10" i="2"/>
  <c r="W5" i="2"/>
  <c r="W40" i="2"/>
  <c r="W52" i="2" s="1"/>
  <c r="AB17" i="55"/>
  <c r="AA59" i="95"/>
  <c r="AB2" i="95"/>
  <c r="AB59" i="95" s="1"/>
  <c r="Q78" i="105"/>
  <c r="M5" i="103"/>
  <c r="L46" i="103"/>
  <c r="N15" i="100"/>
  <c r="Q30" i="99"/>
  <c r="R31" i="105" s="1"/>
  <c r="K59" i="98"/>
  <c r="L2" i="98"/>
  <c r="R91" i="98"/>
  <c r="R82" i="98"/>
  <c r="R77" i="98"/>
  <c r="R88" i="98"/>
  <c r="R81" i="98"/>
  <c r="R78" i="98"/>
  <c r="R95" i="98"/>
  <c r="R86" i="98"/>
  <c r="R72" i="98"/>
  <c r="R63" i="98"/>
  <c r="R97" i="98"/>
  <c r="R92" i="98"/>
  <c r="R90" i="98"/>
  <c r="R79" i="98"/>
  <c r="R83" i="98"/>
  <c r="R68" i="98"/>
  <c r="R66" i="98"/>
  <c r="R94" i="98"/>
  <c r="R62" i="98"/>
  <c r="R93" i="98"/>
  <c r="R85" i="98"/>
  <c r="R84" i="98"/>
  <c r="R61" i="98"/>
  <c r="R70" i="98"/>
  <c r="R87" i="98"/>
  <c r="R69" i="98"/>
  <c r="R64" i="98"/>
  <c r="P96" i="98"/>
  <c r="S68" i="97"/>
  <c r="P66" i="97"/>
  <c r="Q67" i="97"/>
  <c r="J43" i="104" l="1"/>
  <c r="S99" i="99"/>
  <c r="S96" i="99"/>
  <c r="R42" i="99"/>
  <c r="S46" i="99"/>
  <c r="S93" i="99"/>
  <c r="E2" i="127"/>
  <c r="E22" i="127" s="1"/>
  <c r="E2" i="129"/>
  <c r="E31" i="129" s="1"/>
  <c r="S94" i="99"/>
  <c r="S105" i="99"/>
  <c r="S104" i="99"/>
  <c r="S98" i="99"/>
  <c r="S107" i="99"/>
  <c r="T104" i="99"/>
  <c r="S95" i="99"/>
  <c r="S106" i="99"/>
  <c r="S97" i="99"/>
  <c r="S51" i="99"/>
  <c r="L2" i="99"/>
  <c r="K54" i="99"/>
  <c r="AB33" i="99"/>
  <c r="AB75" i="105" s="1"/>
  <c r="AA75" i="105"/>
  <c r="L17" i="106"/>
  <c r="L17" i="46"/>
  <c r="J25" i="104"/>
  <c r="R66" i="105"/>
  <c r="K51" i="104"/>
  <c r="K23" i="104" s="1"/>
  <c r="K19" i="106"/>
  <c r="K19" i="46"/>
  <c r="H24" i="106"/>
  <c r="H11" i="106" s="1"/>
  <c r="H24" i="46"/>
  <c r="H11" i="46" s="1"/>
  <c r="U39" i="125"/>
  <c r="Q35" i="134" s="1"/>
  <c r="K98" i="123"/>
  <c r="K111" i="123"/>
  <c r="W46" i="104"/>
  <c r="V67" i="104"/>
  <c r="V10" i="104"/>
  <c r="W5" i="104"/>
  <c r="W42" i="104"/>
  <c r="W57" i="104" s="1"/>
  <c r="M5" i="105"/>
  <c r="L5" i="102"/>
  <c r="G16" i="104"/>
  <c r="E67" i="104"/>
  <c r="E10" i="104"/>
  <c r="F5" i="104"/>
  <c r="F42" i="104"/>
  <c r="F57" i="104" s="1"/>
  <c r="W10" i="2"/>
  <c r="W62" i="2"/>
  <c r="R78" i="105"/>
  <c r="N5" i="103"/>
  <c r="M46" i="103"/>
  <c r="O15" i="100"/>
  <c r="R30" i="99"/>
  <c r="S31" i="105" s="1"/>
  <c r="Q96" i="98"/>
  <c r="S88" i="98"/>
  <c r="S81" i="98"/>
  <c r="S78" i="98"/>
  <c r="S87" i="98"/>
  <c r="S79" i="98"/>
  <c r="S66" i="98"/>
  <c r="S64" i="98"/>
  <c r="S97" i="98"/>
  <c r="S94" i="98"/>
  <c r="S90" i="98"/>
  <c r="S85" i="98"/>
  <c r="S70" i="98"/>
  <c r="S62" i="98"/>
  <c r="S83" i="98"/>
  <c r="S68" i="98"/>
  <c r="S95" i="98"/>
  <c r="S91" i="98"/>
  <c r="S63" i="98"/>
  <c r="S86" i="98"/>
  <c r="S82" i="98"/>
  <c r="S72" i="98"/>
  <c r="S77" i="98"/>
  <c r="S92" i="98"/>
  <c r="S84" i="98"/>
  <c r="S61" i="98"/>
  <c r="S69" i="98"/>
  <c r="S93" i="98"/>
  <c r="L59" i="98"/>
  <c r="M2" i="98"/>
  <c r="Q66" i="97"/>
  <c r="R67" i="97"/>
  <c r="T68" i="97"/>
  <c r="U68" i="97" s="1"/>
  <c r="V68" i="97" s="1"/>
  <c r="W68" i="97" s="1"/>
  <c r="X68" i="97" s="1"/>
  <c r="Y68" i="97" s="1"/>
  <c r="Z68" i="97" s="1"/>
  <c r="AA68" i="97" s="1"/>
  <c r="AB68" i="97" s="1"/>
  <c r="K43" i="104" l="1"/>
  <c r="T105" i="99"/>
  <c r="T102" i="99"/>
  <c r="S42" i="99"/>
  <c r="T46" i="99"/>
  <c r="T96" i="99"/>
  <c r="V97" i="99"/>
  <c r="F2" i="129"/>
  <c r="F31" i="129" s="1"/>
  <c r="F2" i="127"/>
  <c r="F22" i="127" s="1"/>
  <c r="T94" i="99"/>
  <c r="T98" i="99"/>
  <c r="T51" i="99"/>
  <c r="T107" i="99"/>
  <c r="T97" i="99"/>
  <c r="T93" i="99"/>
  <c r="T106" i="99"/>
  <c r="T99" i="99"/>
  <c r="T95" i="99"/>
  <c r="M2" i="99"/>
  <c r="L54" i="99"/>
  <c r="I24" i="106"/>
  <c r="I11" i="106" s="1"/>
  <c r="I24" i="46"/>
  <c r="I11" i="46" s="1"/>
  <c r="M17" i="46"/>
  <c r="M17" i="106"/>
  <c r="K25" i="104"/>
  <c r="S66" i="105"/>
  <c r="L51" i="104"/>
  <c r="L23" i="104" s="1"/>
  <c r="L19" i="106"/>
  <c r="L19" i="46"/>
  <c r="U41" i="125"/>
  <c r="Q37" i="134" s="1"/>
  <c r="U40" i="125"/>
  <c r="Q36" i="134" s="1"/>
  <c r="L98" i="123"/>
  <c r="L111" i="123"/>
  <c r="W67" i="104"/>
  <c r="W10" i="104"/>
  <c r="G5" i="104"/>
  <c r="G42" i="104"/>
  <c r="G57" i="104" s="1"/>
  <c r="F10" i="104"/>
  <c r="F67" i="104"/>
  <c r="N5" i="105"/>
  <c r="M5" i="102"/>
  <c r="H16" i="104"/>
  <c r="S78" i="105"/>
  <c r="N46" i="103"/>
  <c r="O5" i="103"/>
  <c r="P15" i="100"/>
  <c r="U107" i="99"/>
  <c r="S30" i="99"/>
  <c r="T31" i="105" s="1"/>
  <c r="M59" i="98"/>
  <c r="N2" i="98"/>
  <c r="R96" i="98"/>
  <c r="T78" i="98"/>
  <c r="T87" i="98"/>
  <c r="T79" i="98"/>
  <c r="T66" i="98"/>
  <c r="T64" i="98"/>
  <c r="T95" i="98"/>
  <c r="T86" i="98"/>
  <c r="T72" i="98"/>
  <c r="T63" i="98"/>
  <c r="T93" i="98"/>
  <c r="T84" i="98"/>
  <c r="T69" i="98"/>
  <c r="T61" i="98"/>
  <c r="T91" i="98"/>
  <c r="T82" i="98"/>
  <c r="T94" i="98"/>
  <c r="T88" i="98"/>
  <c r="T77" i="98"/>
  <c r="T62" i="98"/>
  <c r="T85" i="98"/>
  <c r="T81" i="98"/>
  <c r="T70" i="98"/>
  <c r="T83" i="98"/>
  <c r="T97" i="98"/>
  <c r="T90" i="98"/>
  <c r="T68" i="98"/>
  <c r="T92" i="98"/>
  <c r="S67" i="97"/>
  <c r="R66" i="97"/>
  <c r="U3" i="125" l="1"/>
  <c r="V92" i="98"/>
  <c r="V72" i="98"/>
  <c r="V62" i="98"/>
  <c r="V97" i="98"/>
  <c r="V84" i="98"/>
  <c r="V70" i="98"/>
  <c r="V61" i="98"/>
  <c r="V83" i="98"/>
  <c r="V95" i="98"/>
  <c r="V91" i="98"/>
  <c r="V82" i="98"/>
  <c r="V81" i="98"/>
  <c r="V68" i="98"/>
  <c r="V90" i="98"/>
  <c r="V79" i="98"/>
  <c r="V66" i="98"/>
  <c r="V69" i="98"/>
  <c r="V88" i="98"/>
  <c r="V78" i="98"/>
  <c r="V64" i="98"/>
  <c r="V87" i="98"/>
  <c r="V77" i="98"/>
  <c r="V63" i="98"/>
  <c r="V86" i="98"/>
  <c r="V94" i="98"/>
  <c r="V85" i="98"/>
  <c r="V93" i="98"/>
  <c r="L43" i="104"/>
  <c r="V105" i="99"/>
  <c r="U93" i="99"/>
  <c r="U96" i="99"/>
  <c r="U95" i="99"/>
  <c r="U98" i="99"/>
  <c r="U97" i="99"/>
  <c r="U102" i="99"/>
  <c r="U94" i="99"/>
  <c r="V96" i="99"/>
  <c r="V106" i="99"/>
  <c r="U105" i="99"/>
  <c r="U99" i="99"/>
  <c r="U106" i="99"/>
  <c r="U104" i="99"/>
  <c r="U5" i="125"/>
  <c r="U1" i="125"/>
  <c r="V93" i="99"/>
  <c r="W95" i="99"/>
  <c r="V104" i="99"/>
  <c r="V95" i="99"/>
  <c r="V102" i="99"/>
  <c r="T42" i="99"/>
  <c r="U46" i="99"/>
  <c r="V99" i="99"/>
  <c r="U51" i="99"/>
  <c r="V51" i="99" s="1"/>
  <c r="V107" i="99"/>
  <c r="V98" i="99"/>
  <c r="G2" i="127"/>
  <c r="G22" i="127" s="1"/>
  <c r="G2" i="129"/>
  <c r="G31" i="129" s="1"/>
  <c r="V94" i="99"/>
  <c r="N2" i="99"/>
  <c r="M54" i="99"/>
  <c r="N17" i="46"/>
  <c r="N17" i="106"/>
  <c r="L25" i="104"/>
  <c r="T66" i="105"/>
  <c r="M51" i="104"/>
  <c r="M19" i="106"/>
  <c r="M19" i="46"/>
  <c r="J24" i="106"/>
  <c r="J11" i="106" s="1"/>
  <c r="J24" i="46"/>
  <c r="J11" i="46" s="1"/>
  <c r="M98" i="123"/>
  <c r="M111" i="123"/>
  <c r="H5" i="104"/>
  <c r="H42" i="104"/>
  <c r="H57" i="104" s="1"/>
  <c r="N5" i="102"/>
  <c r="I16" i="104"/>
  <c r="O5" i="105"/>
  <c r="G10" i="104"/>
  <c r="G67" i="104"/>
  <c r="T78" i="105"/>
  <c r="P5" i="103"/>
  <c r="O46" i="103"/>
  <c r="Q15" i="100"/>
  <c r="T30" i="99"/>
  <c r="U31" i="105" s="1"/>
  <c r="U87" i="98"/>
  <c r="U79" i="98"/>
  <c r="U66" i="98"/>
  <c r="U64" i="98"/>
  <c r="U95" i="98"/>
  <c r="U86" i="98"/>
  <c r="U72" i="98"/>
  <c r="U63" i="98"/>
  <c r="U97" i="98"/>
  <c r="U94" i="98"/>
  <c r="U90" i="98"/>
  <c r="U85" i="98"/>
  <c r="U70" i="98"/>
  <c r="U62" i="98"/>
  <c r="U92" i="98"/>
  <c r="U83" i="98"/>
  <c r="U68" i="98"/>
  <c r="U82" i="98"/>
  <c r="U78" i="98"/>
  <c r="U88" i="98"/>
  <c r="U77" i="98"/>
  <c r="U81" i="98"/>
  <c r="U93" i="98"/>
  <c r="U61" i="98"/>
  <c r="U69" i="98"/>
  <c r="U91" i="98"/>
  <c r="U84" i="98"/>
  <c r="N59" i="98"/>
  <c r="O2" i="98"/>
  <c r="S96" i="98"/>
  <c r="S66" i="97"/>
  <c r="T67" i="97"/>
  <c r="U67" i="97" s="1"/>
  <c r="V67" i="97" s="1"/>
  <c r="W67" i="97" s="1"/>
  <c r="X67" i="97" s="1"/>
  <c r="Y67" i="97" s="1"/>
  <c r="Z67" i="97" s="1"/>
  <c r="AA67" i="97" s="1"/>
  <c r="AB67" i="97" s="1"/>
  <c r="W82" i="98" l="1"/>
  <c r="W84" i="98"/>
  <c r="W68" i="98"/>
  <c r="W90" i="98"/>
  <c r="W61" i="98"/>
  <c r="W79" i="98"/>
  <c r="W91" i="98"/>
  <c r="W94" i="98"/>
  <c r="W63" i="98"/>
  <c r="W83" i="98"/>
  <c r="W92" i="98"/>
  <c r="W86" i="98"/>
  <c r="W88" i="98"/>
  <c r="W66" i="98"/>
  <c r="W78" i="98"/>
  <c r="W72" i="98"/>
  <c r="W93" i="98"/>
  <c r="W70" i="98"/>
  <c r="W64" i="98"/>
  <c r="W85" i="98"/>
  <c r="W62" i="98"/>
  <c r="W77" i="98"/>
  <c r="W95" i="98"/>
  <c r="W97" i="98"/>
  <c r="W69" i="98"/>
  <c r="W87" i="98"/>
  <c r="W81" i="98"/>
  <c r="M43" i="104"/>
  <c r="W96" i="99"/>
  <c r="W97" i="99"/>
  <c r="W105" i="99"/>
  <c r="W93" i="99"/>
  <c r="W94" i="99"/>
  <c r="W107" i="99"/>
  <c r="W104" i="99"/>
  <c r="X95" i="99"/>
  <c r="W98" i="99"/>
  <c r="W102" i="99"/>
  <c r="W106" i="99"/>
  <c r="W99" i="99"/>
  <c r="W51" i="99"/>
  <c r="U42" i="99"/>
  <c r="V46" i="99"/>
  <c r="H2" i="127"/>
  <c r="H22" i="127" s="1"/>
  <c r="H2" i="129"/>
  <c r="H31" i="129" s="1"/>
  <c r="O2" i="99"/>
  <c r="N54" i="99"/>
  <c r="M23" i="104"/>
  <c r="X51" i="104"/>
  <c r="U66" i="105"/>
  <c r="N51" i="104"/>
  <c r="N23" i="104" s="1"/>
  <c r="N19" i="106"/>
  <c r="N19" i="46"/>
  <c r="K24" i="106"/>
  <c r="K11" i="106" s="1"/>
  <c r="K24" i="46"/>
  <c r="K11" i="46" s="1"/>
  <c r="N98" i="123"/>
  <c r="N111" i="123"/>
  <c r="O5" i="102"/>
  <c r="J16" i="104"/>
  <c r="P5" i="105"/>
  <c r="I42" i="104"/>
  <c r="I57" i="104" s="1"/>
  <c r="I5" i="104"/>
  <c r="H10" i="104"/>
  <c r="H67" i="104"/>
  <c r="U78" i="105"/>
  <c r="V78" i="105" s="1"/>
  <c r="P46" i="103"/>
  <c r="Q5" i="103"/>
  <c r="R15" i="100"/>
  <c r="U30" i="99"/>
  <c r="T96" i="98"/>
  <c r="O59" i="98"/>
  <c r="P2" i="98"/>
  <c r="T66" i="97"/>
  <c r="U66" i="97" s="1"/>
  <c r="V66" i="97" s="1"/>
  <c r="W66" i="97" s="1"/>
  <c r="X66" i="97" s="1"/>
  <c r="Y66" i="97" s="1"/>
  <c r="Z66" i="97" s="1"/>
  <c r="AA66" i="97" s="1"/>
  <c r="AB66" i="97" s="1"/>
  <c r="X70" i="98" l="1"/>
  <c r="X64" i="98"/>
  <c r="X84" i="98"/>
  <c r="X91" i="98"/>
  <c r="X62" i="98"/>
  <c r="X68" i="98"/>
  <c r="X95" i="98"/>
  <c r="X97" i="98"/>
  <c r="X77" i="98"/>
  <c r="X87" i="98"/>
  <c r="X81" i="98"/>
  <c r="X61" i="98"/>
  <c r="X79" i="98"/>
  <c r="X90" i="98"/>
  <c r="X83" i="98"/>
  <c r="X94" i="98"/>
  <c r="X63" i="98"/>
  <c r="X82" i="98"/>
  <c r="X85" i="98"/>
  <c r="X86" i="98"/>
  <c r="X88" i="98"/>
  <c r="X66" i="98"/>
  <c r="X93" i="98"/>
  <c r="X78" i="98"/>
  <c r="X72" i="98"/>
  <c r="X92" i="98"/>
  <c r="X69" i="98"/>
  <c r="N43" i="104"/>
  <c r="X43" i="104"/>
  <c r="X99" i="99"/>
  <c r="X97" i="99"/>
  <c r="X98" i="99"/>
  <c r="X107" i="99"/>
  <c r="Y105" i="99"/>
  <c r="X96" i="99"/>
  <c r="X93" i="99"/>
  <c r="X104" i="99"/>
  <c r="X102" i="99"/>
  <c r="X106" i="99"/>
  <c r="X105" i="99"/>
  <c r="X51" i="99"/>
  <c r="Y51" i="99" s="1"/>
  <c r="X94" i="99"/>
  <c r="V42" i="99"/>
  <c r="W46" i="99"/>
  <c r="I2" i="129"/>
  <c r="I31" i="129" s="1"/>
  <c r="I2" i="127"/>
  <c r="I22" i="127" s="1"/>
  <c r="P2" i="99"/>
  <c r="O54" i="99"/>
  <c r="P17" i="46"/>
  <c r="P17" i="106"/>
  <c r="N25" i="104"/>
  <c r="O51" i="104"/>
  <c r="O23" i="104" s="1"/>
  <c r="V66" i="105"/>
  <c r="L24" i="106"/>
  <c r="L11" i="106" s="1"/>
  <c r="L24" i="46"/>
  <c r="L11" i="46" s="1"/>
  <c r="X23" i="104"/>
  <c r="O17" i="46"/>
  <c r="M25" i="104"/>
  <c r="O17" i="106"/>
  <c r="O98" i="123"/>
  <c r="O111" i="123"/>
  <c r="V31" i="105"/>
  <c r="V30" i="99"/>
  <c r="W78" i="105"/>
  <c r="I67" i="104"/>
  <c r="I10" i="104"/>
  <c r="J5" i="104"/>
  <c r="J42" i="104"/>
  <c r="J57" i="104" s="1"/>
  <c r="P5" i="102"/>
  <c r="K16" i="104"/>
  <c r="Q5" i="105"/>
  <c r="Q46" i="103"/>
  <c r="R5" i="103"/>
  <c r="S15" i="100"/>
  <c r="P59" i="98"/>
  <c r="Q2" i="98"/>
  <c r="U96" i="98"/>
  <c r="V96" i="98" s="1"/>
  <c r="W96" i="98" s="1"/>
  <c r="X96" i="98" s="1"/>
  <c r="Y96" i="98" s="1"/>
  <c r="Z96" i="98" s="1"/>
  <c r="AA96" i="98" s="1"/>
  <c r="AB96" i="98" s="1"/>
  <c r="Y72" i="98" l="1"/>
  <c r="Y91" i="98"/>
  <c r="Y94" i="98"/>
  <c r="Y64" i="98"/>
  <c r="Y83" i="98"/>
  <c r="Y86" i="98"/>
  <c r="Y93" i="98"/>
  <c r="Y78" i="98"/>
  <c r="Y95" i="98"/>
  <c r="Y97" i="98"/>
  <c r="Y85" i="98"/>
  <c r="Y62" i="98"/>
  <c r="Y87" i="98"/>
  <c r="Y81" i="98"/>
  <c r="Y77" i="98"/>
  <c r="Y92" i="98"/>
  <c r="Y79" i="98"/>
  <c r="Y90" i="98"/>
  <c r="Y69" i="98"/>
  <c r="Y84" i="98"/>
  <c r="Y63" i="98"/>
  <c r="Y82" i="98"/>
  <c r="Y61" i="98"/>
  <c r="Y68" i="98"/>
  <c r="Y88" i="98"/>
  <c r="Y66" i="98"/>
  <c r="Y70" i="98"/>
  <c r="O43" i="104"/>
  <c r="Y106" i="99"/>
  <c r="Y99" i="99"/>
  <c r="Y97" i="99"/>
  <c r="Y95" i="99"/>
  <c r="Y104" i="99"/>
  <c r="Y98" i="99"/>
  <c r="Y107" i="99"/>
  <c r="Y93" i="99"/>
  <c r="Y94" i="99"/>
  <c r="Z102" i="99"/>
  <c r="Y102" i="99"/>
  <c r="Y96" i="99"/>
  <c r="W42" i="99"/>
  <c r="X46" i="99"/>
  <c r="J2" i="129"/>
  <c r="J31" i="129" s="1"/>
  <c r="J2" i="127"/>
  <c r="J22" i="127" s="1"/>
  <c r="Q2" i="99"/>
  <c r="P54" i="99"/>
  <c r="M24" i="106"/>
  <c r="M11" i="106" s="1"/>
  <c r="M24" i="46"/>
  <c r="M11" i="46" s="1"/>
  <c r="P51" i="104"/>
  <c r="P23" i="104" s="1"/>
  <c r="W66" i="105"/>
  <c r="Q17" i="46"/>
  <c r="Q17" i="106"/>
  <c r="O25" i="104"/>
  <c r="P19" i="106"/>
  <c r="P19" i="46"/>
  <c r="O19" i="46"/>
  <c r="X25" i="104"/>
  <c r="O19" i="106"/>
  <c r="P111" i="123"/>
  <c r="P98" i="123"/>
  <c r="AA98" i="123"/>
  <c r="AA111" i="123"/>
  <c r="AB111" i="123" s="1"/>
  <c r="W31" i="105"/>
  <c r="W30" i="99"/>
  <c r="X78" i="105"/>
  <c r="J67" i="104"/>
  <c r="J10" i="104"/>
  <c r="Q5" i="102"/>
  <c r="L16" i="104"/>
  <c r="R5" i="105"/>
  <c r="K5" i="104"/>
  <c r="K42" i="104"/>
  <c r="K57" i="104" s="1"/>
  <c r="R46" i="103"/>
  <c r="S5" i="103"/>
  <c r="T15" i="100"/>
  <c r="Q59" i="98"/>
  <c r="R2" i="98"/>
  <c r="Z90" i="98" l="1"/>
  <c r="Z94" i="98"/>
  <c r="Z93" i="98"/>
  <c r="Z82" i="98"/>
  <c r="Z86" i="98"/>
  <c r="Z69" i="98"/>
  <c r="Z88" i="98"/>
  <c r="Z66" i="98"/>
  <c r="Z78" i="98"/>
  <c r="Z85" i="98"/>
  <c r="Z72" i="98"/>
  <c r="Z91" i="98"/>
  <c r="Z70" i="98"/>
  <c r="Z95" i="98"/>
  <c r="Z64" i="98"/>
  <c r="Z83" i="98"/>
  <c r="Z62" i="98"/>
  <c r="Z77" i="98"/>
  <c r="Z92" i="98"/>
  <c r="Z87" i="98"/>
  <c r="Z61" i="98"/>
  <c r="Z97" i="98"/>
  <c r="Z84" i="98"/>
  <c r="Z79" i="98"/>
  <c r="Z81" i="98"/>
  <c r="Z68" i="98"/>
  <c r="Z63" i="98"/>
  <c r="P43" i="104"/>
  <c r="Z97" i="99"/>
  <c r="Z106" i="99"/>
  <c r="Z98" i="99"/>
  <c r="Z107" i="99"/>
  <c r="Z104" i="99"/>
  <c r="AA95" i="99"/>
  <c r="Z94" i="99"/>
  <c r="Z93" i="99"/>
  <c r="Z105" i="99"/>
  <c r="Z99" i="99"/>
  <c r="Z96" i="99"/>
  <c r="Z95" i="99"/>
  <c r="Z51" i="99"/>
  <c r="X42" i="99"/>
  <c r="Y46" i="99"/>
  <c r="K2" i="129"/>
  <c r="K31" i="129" s="1"/>
  <c r="K2" i="127"/>
  <c r="K22" i="127" s="1"/>
  <c r="R2" i="99"/>
  <c r="Q54" i="99"/>
  <c r="Q19" i="106"/>
  <c r="Q19" i="46"/>
  <c r="X66" i="105"/>
  <c r="Q51" i="104"/>
  <c r="Q23" i="104" s="1"/>
  <c r="Q25" i="104" s="1"/>
  <c r="P25" i="104"/>
  <c r="R17" i="46"/>
  <c r="R17" i="106"/>
  <c r="N24" i="106"/>
  <c r="N11" i="106" s="1"/>
  <c r="N24" i="46"/>
  <c r="N11" i="46" s="1"/>
  <c r="Q111" i="123"/>
  <c r="Q98" i="123"/>
  <c r="X30" i="99"/>
  <c r="X31" i="105"/>
  <c r="Y78" i="105"/>
  <c r="L5" i="104"/>
  <c r="L42" i="104"/>
  <c r="L57" i="104" s="1"/>
  <c r="K67" i="104"/>
  <c r="K10" i="104"/>
  <c r="R5" i="102"/>
  <c r="M16" i="104"/>
  <c r="S5" i="105"/>
  <c r="S46" i="103"/>
  <c r="T5" i="103"/>
  <c r="U15" i="100"/>
  <c r="R59" i="98"/>
  <c r="S2" i="98"/>
  <c r="AA107" i="99" l="1"/>
  <c r="AA66" i="98"/>
  <c r="AA77" i="98"/>
  <c r="AA94" i="98"/>
  <c r="AA91" i="98"/>
  <c r="AA69" i="98"/>
  <c r="AA86" i="98"/>
  <c r="AA95" i="98"/>
  <c r="AA83" i="98"/>
  <c r="AA61" i="98"/>
  <c r="AA72" i="98"/>
  <c r="AA92" i="98"/>
  <c r="AA88" i="98"/>
  <c r="AA97" i="98"/>
  <c r="AA84" i="98"/>
  <c r="AA87" i="98"/>
  <c r="AA78" i="98"/>
  <c r="AA81" i="98"/>
  <c r="AA68" i="98"/>
  <c r="AA79" i="98"/>
  <c r="AA62" i="98"/>
  <c r="AA90" i="98"/>
  <c r="AA93" i="98"/>
  <c r="AA63" i="98"/>
  <c r="AA64" i="98"/>
  <c r="AA82" i="98"/>
  <c r="AA85" i="98"/>
  <c r="AA70" i="98"/>
  <c r="Q43" i="104"/>
  <c r="AA98" i="99"/>
  <c r="AA97" i="99"/>
  <c r="AA94" i="99"/>
  <c r="AA106" i="99"/>
  <c r="AA104" i="99"/>
  <c r="AA96" i="99"/>
  <c r="AA93" i="99"/>
  <c r="AA102" i="99"/>
  <c r="AA105" i="99"/>
  <c r="AA51" i="99"/>
  <c r="AB51" i="99" s="1"/>
  <c r="AA99" i="99"/>
  <c r="Y42" i="99"/>
  <c r="Z46" i="99"/>
  <c r="L2" i="127"/>
  <c r="L22" i="127" s="1"/>
  <c r="L2" i="129"/>
  <c r="L31" i="129" s="1"/>
  <c r="S2" i="99"/>
  <c r="R54" i="99"/>
  <c r="AB99" i="99"/>
  <c r="AB95" i="99"/>
  <c r="AB94" i="99"/>
  <c r="AB105" i="99"/>
  <c r="AB104" i="99"/>
  <c r="AB97" i="99"/>
  <c r="AB96" i="99"/>
  <c r="AB102" i="99"/>
  <c r="AB93" i="99"/>
  <c r="AB106" i="99"/>
  <c r="AB107" i="99"/>
  <c r="AB98" i="99"/>
  <c r="O24" i="106"/>
  <c r="O11" i="106" s="1"/>
  <c r="O24" i="46"/>
  <c r="O11" i="46" s="1"/>
  <c r="R19" i="106"/>
  <c r="R19" i="46"/>
  <c r="Y66" i="105"/>
  <c r="R51" i="104"/>
  <c r="R23" i="104" s="1"/>
  <c r="R25" i="104" s="1"/>
  <c r="R111" i="123"/>
  <c r="R98" i="123"/>
  <c r="Y31" i="105"/>
  <c r="Y30" i="99"/>
  <c r="Z78" i="105"/>
  <c r="T5" i="105"/>
  <c r="S5" i="102"/>
  <c r="N16" i="104"/>
  <c r="L67" i="104"/>
  <c r="L10" i="104"/>
  <c r="M5" i="104"/>
  <c r="M42" i="104"/>
  <c r="M57" i="104" s="1"/>
  <c r="T46" i="103"/>
  <c r="U5" i="103"/>
  <c r="V15" i="100"/>
  <c r="W15" i="100" s="1"/>
  <c r="S59" i="98"/>
  <c r="T2" i="98"/>
  <c r="AB83" i="98" l="1"/>
  <c r="AB61" i="98"/>
  <c r="AB64" i="98"/>
  <c r="AB92" i="98"/>
  <c r="AB94" i="98"/>
  <c r="AB79" i="98"/>
  <c r="AB84" i="98"/>
  <c r="AB86" i="98"/>
  <c r="AB63" i="98"/>
  <c r="AB87" i="98"/>
  <c r="AB68" i="98"/>
  <c r="AB78" i="98"/>
  <c r="AB97" i="98"/>
  <c r="AB90" i="98"/>
  <c r="AB93" i="98"/>
  <c r="AB70" i="98"/>
  <c r="AB81" i="98"/>
  <c r="AB82" i="98"/>
  <c r="AB85" i="98"/>
  <c r="AB62" i="98"/>
  <c r="AB95" i="98"/>
  <c r="AB66" i="98"/>
  <c r="AB77" i="98"/>
  <c r="AB88" i="98"/>
  <c r="AB91" i="98"/>
  <c r="AB69" i="98"/>
  <c r="AB72" i="98"/>
  <c r="R43" i="104"/>
  <c r="Z42" i="99"/>
  <c r="AA46" i="99"/>
  <c r="M2" i="129"/>
  <c r="M31" i="129" s="1"/>
  <c r="M2" i="127"/>
  <c r="M22" i="127" s="1"/>
  <c r="T2" i="99"/>
  <c r="S54" i="99"/>
  <c r="Z66" i="105"/>
  <c r="S51" i="104"/>
  <c r="S23" i="104" s="1"/>
  <c r="S25" i="104" s="1"/>
  <c r="P24" i="106"/>
  <c r="P11" i="106" s="1"/>
  <c r="P24" i="46"/>
  <c r="P11" i="46" s="1"/>
  <c r="S98" i="123"/>
  <c r="S111" i="123"/>
  <c r="Z31" i="105"/>
  <c r="Z30" i="99"/>
  <c r="AA78" i="105"/>
  <c r="X15" i="100"/>
  <c r="U5" i="105"/>
  <c r="T5" i="102"/>
  <c r="O16" i="104"/>
  <c r="N5" i="104"/>
  <c r="N42" i="104"/>
  <c r="N57" i="104" s="1"/>
  <c r="M67" i="104"/>
  <c r="M10" i="104"/>
  <c r="V5" i="103"/>
  <c r="U46" i="103"/>
  <c r="T59" i="98"/>
  <c r="U2" i="98"/>
  <c r="U59" i="98" s="1"/>
  <c r="S43" i="104" l="1"/>
  <c r="AA42" i="99"/>
  <c r="AB46" i="99"/>
  <c r="AB42" i="99" s="1"/>
  <c r="N2" i="127"/>
  <c r="N22" i="127" s="1"/>
  <c r="N2" i="129"/>
  <c r="N31" i="129" s="1"/>
  <c r="U2" i="99"/>
  <c r="T54" i="99"/>
  <c r="Q24" i="106"/>
  <c r="Q11" i="106" s="1"/>
  <c r="Q24" i="46"/>
  <c r="Q11" i="46" s="1"/>
  <c r="AA66" i="105"/>
  <c r="T51" i="104"/>
  <c r="T23" i="104" s="1"/>
  <c r="T25" i="104" s="1"/>
  <c r="T98" i="123"/>
  <c r="T111" i="123"/>
  <c r="AA31" i="105"/>
  <c r="AA30" i="99"/>
  <c r="AB78" i="105"/>
  <c r="Y16" i="97"/>
  <c r="Z18" i="97"/>
  <c r="Y15" i="100"/>
  <c r="V46" i="103"/>
  <c r="R24" i="106"/>
  <c r="R11" i="106" s="1"/>
  <c r="U5" i="102"/>
  <c r="N67" i="104"/>
  <c r="N10" i="104"/>
  <c r="O5" i="104"/>
  <c r="O42" i="104"/>
  <c r="O57" i="104" s="1"/>
  <c r="T43" i="104" l="1"/>
  <c r="O2" i="127"/>
  <c r="O22" i="127" s="1"/>
  <c r="O2" i="129"/>
  <c r="O31" i="129" s="1"/>
  <c r="V2" i="99"/>
  <c r="U54" i="99"/>
  <c r="AB66" i="105"/>
  <c r="U51" i="104"/>
  <c r="U23" i="104" s="1"/>
  <c r="U25" i="104" s="1"/>
  <c r="U111" i="123"/>
  <c r="U98" i="123"/>
  <c r="AB31" i="105"/>
  <c r="AB30" i="99"/>
  <c r="AC31" i="105" s="1"/>
  <c r="Z16" i="97"/>
  <c r="AA18" i="97"/>
  <c r="AC78" i="105"/>
  <c r="AC72" i="105" s="1"/>
  <c r="Z15" i="100"/>
  <c r="O67" i="104"/>
  <c r="O10" i="104"/>
  <c r="U43" i="104" l="1"/>
  <c r="W2" i="99"/>
  <c r="V54" i="99"/>
  <c r="V51" i="104"/>
  <c r="V23" i="104" s="1"/>
  <c r="V25" i="104" s="1"/>
  <c r="AC66" i="105"/>
  <c r="W51" i="104" s="1"/>
  <c r="W23" i="104" s="1"/>
  <c r="W25" i="104" s="1"/>
  <c r="V98" i="123"/>
  <c r="V111" i="123"/>
  <c r="AA51" i="123"/>
  <c r="AA38" i="123"/>
  <c r="AA6" i="123" s="1"/>
  <c r="AB18" i="97"/>
  <c r="AB16" i="97" s="1"/>
  <c r="AA16" i="97"/>
  <c r="AA15" i="100"/>
  <c r="V43" i="104" l="1"/>
  <c r="X2" i="99"/>
  <c r="W54" i="99"/>
  <c r="AA23" i="123"/>
  <c r="W98" i="123"/>
  <c r="W111" i="123"/>
  <c r="AB15" i="100"/>
  <c r="W43" i="104" l="1"/>
  <c r="Y2" i="99"/>
  <c r="X54" i="99"/>
  <c r="X111" i="123"/>
  <c r="X98" i="123"/>
  <c r="AC15" i="100"/>
  <c r="Z2" i="99" l="1"/>
  <c r="Y54" i="99"/>
  <c r="Z111" i="123"/>
  <c r="Z98" i="123"/>
  <c r="Y111" i="123"/>
  <c r="Y98" i="123"/>
  <c r="AA2" i="99" l="1"/>
  <c r="Z54" i="99"/>
  <c r="AB2" i="99" l="1"/>
  <c r="AB54" i="99" s="1"/>
  <c r="AA54" i="99"/>
  <c r="K39" i="73" l="1"/>
  <c r="L39" i="73" s="1"/>
  <c r="M39" i="73" s="1"/>
  <c r="N39" i="73" s="1"/>
  <c r="O39" i="73" s="1"/>
  <c r="P39" i="73" s="1"/>
  <c r="Q39" i="73" s="1"/>
  <c r="R39" i="73" s="1"/>
  <c r="S39" i="73" s="1"/>
  <c r="T39" i="73" s="1"/>
  <c r="U39" i="73" s="1"/>
  <c r="V39" i="73" s="1"/>
  <c r="K40" i="73"/>
  <c r="L40" i="73"/>
  <c r="M40" i="73" s="1"/>
  <c r="N40" i="73" s="1"/>
  <c r="O40" i="73" s="1"/>
  <c r="P40" i="73" s="1"/>
  <c r="Q40" i="73" s="1"/>
  <c r="R40" i="73" s="1"/>
  <c r="S40" i="73" s="1"/>
  <c r="T40" i="73" s="1"/>
  <c r="U40" i="73" s="1"/>
  <c r="V40" i="73" s="1"/>
  <c r="K41" i="73"/>
  <c r="L41" i="73" s="1"/>
  <c r="M41" i="73" s="1"/>
  <c r="N41" i="73" s="1"/>
  <c r="O41" i="73" s="1"/>
  <c r="P41" i="73" s="1"/>
  <c r="Q41" i="73" s="1"/>
  <c r="R41" i="73" s="1"/>
  <c r="S41" i="73" s="1"/>
  <c r="T41" i="73" s="1"/>
  <c r="U41" i="73" s="1"/>
  <c r="V41" i="73" s="1"/>
  <c r="K42" i="73"/>
  <c r="L42" i="73"/>
  <c r="M42" i="73" s="1"/>
  <c r="N42" i="73" s="1"/>
  <c r="O42" i="73" s="1"/>
  <c r="P42" i="73" s="1"/>
  <c r="Q42" i="73" s="1"/>
  <c r="R42" i="73" s="1"/>
  <c r="S42" i="73" s="1"/>
  <c r="T42" i="73" s="1"/>
  <c r="U42" i="73" s="1"/>
  <c r="V42" i="73" s="1"/>
  <c r="K43" i="73"/>
  <c r="L43" i="73" s="1"/>
  <c r="M43" i="73" s="1"/>
  <c r="N43" i="73" s="1"/>
  <c r="O43" i="73" s="1"/>
  <c r="P43" i="73" s="1"/>
  <c r="Q43" i="73" s="1"/>
  <c r="R43" i="73" s="1"/>
  <c r="S43" i="73" s="1"/>
  <c r="T43" i="73" s="1"/>
  <c r="U43" i="73" s="1"/>
  <c r="V43" i="73" s="1"/>
  <c r="K44" i="73"/>
  <c r="L44" i="73"/>
  <c r="M44" i="73" s="1"/>
  <c r="N44" i="73" s="1"/>
  <c r="O44" i="73" s="1"/>
  <c r="P44" i="73" s="1"/>
  <c r="Q44" i="73" s="1"/>
  <c r="R44" i="73" s="1"/>
  <c r="S44" i="73" s="1"/>
  <c r="T44" i="73" s="1"/>
  <c r="U44" i="73" s="1"/>
  <c r="V44" i="73" s="1"/>
  <c r="J40" i="73"/>
  <c r="J41" i="73"/>
  <c r="J42" i="73"/>
  <c r="J43" i="73"/>
  <c r="J44" i="73"/>
  <c r="J39" i="73"/>
  <c r="E48" i="73"/>
  <c r="D48" i="73"/>
  <c r="D18" i="55"/>
  <c r="D15" i="55" s="1"/>
  <c r="E18" i="55"/>
  <c r="F18" i="55"/>
  <c r="C18" i="55"/>
  <c r="R17" i="55"/>
  <c r="S17" i="55" s="1"/>
  <c r="T17" i="55" s="1"/>
  <c r="G9" i="55"/>
  <c r="F9" i="55"/>
  <c r="C9" i="55"/>
  <c r="H24" i="55"/>
  <c r="H11" i="55" s="1"/>
  <c r="F22" i="55"/>
  <c r="E22" i="55"/>
  <c r="D22" i="55"/>
  <c r="C22" i="55"/>
  <c r="G29" i="55"/>
  <c r="D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F29" i="55"/>
  <c r="E29" i="55"/>
  <c r="C29" i="55"/>
  <c r="C26" i="55"/>
  <c r="R11" i="5"/>
  <c r="S11" i="5"/>
  <c r="T11" i="5"/>
  <c r="U11" i="5"/>
  <c r="R12" i="5"/>
  <c r="S12" i="5"/>
  <c r="T12" i="5"/>
  <c r="U12" i="5"/>
  <c r="R20" i="5"/>
  <c r="S20" i="5"/>
  <c r="T20" i="5"/>
  <c r="U20" i="5"/>
  <c r="R22" i="5"/>
  <c r="S22" i="5"/>
  <c r="T22" i="5"/>
  <c r="U22" i="5"/>
  <c r="R25" i="5"/>
  <c r="S25" i="5"/>
  <c r="T25" i="5"/>
  <c r="U25" i="5"/>
  <c r="N49" i="2"/>
  <c r="N23" i="2" s="1"/>
  <c r="N25" i="2" s="1"/>
  <c r="P18" i="12" s="1"/>
  <c r="O49" i="2"/>
  <c r="O23" i="2" s="1"/>
  <c r="Q16" i="12" s="1"/>
  <c r="P49" i="2"/>
  <c r="P23" i="2" s="1"/>
  <c r="P25" i="2" s="1"/>
  <c r="R18" i="12" s="1"/>
  <c r="T18" i="3"/>
  <c r="U18" i="3"/>
  <c r="V18" i="3"/>
  <c r="T27" i="3"/>
  <c r="U27" i="3"/>
  <c r="V27" i="3"/>
  <c r="T49" i="3"/>
  <c r="U49" i="3"/>
  <c r="V49" i="3"/>
  <c r="T55" i="3"/>
  <c r="U55" i="3"/>
  <c r="V55" i="3"/>
  <c r="S18" i="3"/>
  <c r="S27" i="3"/>
  <c r="S49" i="3"/>
  <c r="S55" i="3"/>
  <c r="S24" i="4"/>
  <c r="T24" i="4"/>
  <c r="U24" i="4"/>
  <c r="V24" i="4"/>
  <c r="S27" i="4"/>
  <c r="T27" i="4"/>
  <c r="U27" i="4"/>
  <c r="V27" i="4"/>
  <c r="S50" i="4"/>
  <c r="S53" i="4" s="1"/>
  <c r="T50" i="4"/>
  <c r="T53" i="4" s="1"/>
  <c r="U50" i="4"/>
  <c r="U53" i="4" s="1"/>
  <c r="V50" i="4"/>
  <c r="V53" i="4"/>
  <c r="S65" i="4"/>
  <c r="T65" i="4" s="1"/>
  <c r="U65" i="4" s="1"/>
  <c r="V65" i="4" s="1"/>
  <c r="S72" i="4"/>
  <c r="T72" i="4"/>
  <c r="U72" i="4"/>
  <c r="V72" i="4"/>
  <c r="V73" i="4"/>
  <c r="V74" i="4"/>
  <c r="V75" i="4"/>
  <c r="J57" i="55"/>
  <c r="J59" i="55"/>
  <c r="H61" i="55"/>
  <c r="I61" i="55" s="1"/>
  <c r="J61" i="55" s="1"/>
  <c r="B51" i="55"/>
  <c r="B49" i="55"/>
  <c r="C2" i="55"/>
  <c r="E76" i="4"/>
  <c r="F76" i="4"/>
  <c r="G76" i="4"/>
  <c r="E77" i="4"/>
  <c r="F77" i="4"/>
  <c r="G77" i="4"/>
  <c r="E78" i="4"/>
  <c r="F78" i="4"/>
  <c r="G78" i="4"/>
  <c r="D78" i="4"/>
  <c r="D77" i="4"/>
  <c r="D76" i="4"/>
  <c r="J78" i="4"/>
  <c r="K78" i="4" s="1"/>
  <c r="L78" i="4" s="1"/>
  <c r="M78" i="4" s="1"/>
  <c r="N78" i="4" s="1"/>
  <c r="O78" i="4" s="1"/>
  <c r="P78" i="4" s="1"/>
  <c r="Q78" i="4" s="1"/>
  <c r="R78" i="4" s="1"/>
  <c r="S78" i="4" s="1"/>
  <c r="T78" i="4" s="1"/>
  <c r="U78" i="4" s="1"/>
  <c r="V78" i="4" s="1"/>
  <c r="J77" i="4"/>
  <c r="K77" i="4" s="1"/>
  <c r="L77" i="4" s="1"/>
  <c r="M77" i="4" s="1"/>
  <c r="N77" i="4" s="1"/>
  <c r="O77" i="4" s="1"/>
  <c r="P77" i="4" s="1"/>
  <c r="Q77" i="4" s="1"/>
  <c r="R77" i="4" s="1"/>
  <c r="S77" i="4" s="1"/>
  <c r="T77" i="4" s="1"/>
  <c r="U77" i="4" s="1"/>
  <c r="V77" i="4" s="1"/>
  <c r="B78" i="4"/>
  <c r="B77" i="4"/>
  <c r="B76" i="4"/>
  <c r="I72" i="4"/>
  <c r="J72" i="4"/>
  <c r="K72" i="4"/>
  <c r="L72" i="4"/>
  <c r="M72" i="4"/>
  <c r="N72" i="4"/>
  <c r="O72" i="4"/>
  <c r="P72" i="4"/>
  <c r="Q72" i="4"/>
  <c r="R72" i="4"/>
  <c r="I73" i="4"/>
  <c r="J73" i="4"/>
  <c r="I74" i="4"/>
  <c r="J74" i="4"/>
  <c r="I75" i="4"/>
  <c r="J75" i="4"/>
  <c r="B73" i="4"/>
  <c r="B74" i="4"/>
  <c r="B75" i="4"/>
  <c r="B72" i="4"/>
  <c r="D68" i="4"/>
  <c r="E68" i="4"/>
  <c r="F68" i="4"/>
  <c r="G68" i="4"/>
  <c r="D69" i="4"/>
  <c r="E69" i="4"/>
  <c r="F69" i="4"/>
  <c r="G69" i="4"/>
  <c r="C70" i="4"/>
  <c r="I81" i="95"/>
  <c r="I81" i="98" s="1"/>
  <c r="I82" i="95"/>
  <c r="I83" i="95"/>
  <c r="I83" i="98" s="1"/>
  <c r="I84" i="95"/>
  <c r="I84" i="98" s="1"/>
  <c r="I85" i="95"/>
  <c r="I85" i="98" s="1"/>
  <c r="I86" i="95"/>
  <c r="I86" i="98" s="1"/>
  <c r="I87" i="95"/>
  <c r="I87" i="98" s="1"/>
  <c r="K81" i="95"/>
  <c r="L81" i="95"/>
  <c r="K82" i="95"/>
  <c r="K83" i="95"/>
  <c r="K84" i="95"/>
  <c r="K85" i="95"/>
  <c r="K86" i="95"/>
  <c r="K87" i="95"/>
  <c r="J82" i="95"/>
  <c r="J82" i="98" s="1"/>
  <c r="J85" i="95"/>
  <c r="J85" i="98" s="1"/>
  <c r="J86" i="95"/>
  <c r="J86" i="98" s="1"/>
  <c r="J87" i="95"/>
  <c r="J87" i="98" s="1"/>
  <c r="E83" i="95"/>
  <c r="E84" i="95"/>
  <c r="D82" i="95"/>
  <c r="D83" i="95"/>
  <c r="I96" i="95"/>
  <c r="J96" i="95" s="1"/>
  <c r="K96" i="95" s="1"/>
  <c r="L96" i="95" s="1"/>
  <c r="M96" i="95" s="1"/>
  <c r="N96" i="95" s="1"/>
  <c r="O96" i="95" s="1"/>
  <c r="P96" i="95" s="1"/>
  <c r="Q96" i="95" s="1"/>
  <c r="R96" i="95" s="1"/>
  <c r="S96" i="95" s="1"/>
  <c r="T96" i="95" s="1"/>
  <c r="U96" i="95" s="1"/>
  <c r="V96" i="95" s="1"/>
  <c r="W96" i="95" s="1"/>
  <c r="X96" i="95" s="1"/>
  <c r="Y96" i="95" s="1"/>
  <c r="Z96" i="95" s="1"/>
  <c r="AA96" i="95" s="1"/>
  <c r="AB96" i="95" s="1"/>
  <c r="H88" i="95"/>
  <c r="H88" i="98" s="1"/>
  <c r="I88" i="95"/>
  <c r="I88" i="98" s="1"/>
  <c r="I90" i="95"/>
  <c r="I90" i="98" s="1"/>
  <c r="I92" i="95"/>
  <c r="I92" i="98" s="1"/>
  <c r="I93" i="95"/>
  <c r="I93" i="98" s="1"/>
  <c r="I94" i="95"/>
  <c r="I94" i="98" s="1"/>
  <c r="I95" i="95"/>
  <c r="I95" i="98" s="1"/>
  <c r="H97" i="95"/>
  <c r="H97" i="98" s="1"/>
  <c r="I97" i="95"/>
  <c r="D95" i="95"/>
  <c r="K88" i="95"/>
  <c r="K90" i="95"/>
  <c r="K91" i="95"/>
  <c r="K92" i="95"/>
  <c r="K93" i="95"/>
  <c r="K94" i="95"/>
  <c r="K95" i="95"/>
  <c r="K97" i="95"/>
  <c r="C59" i="95"/>
  <c r="K77" i="95"/>
  <c r="K79" i="95"/>
  <c r="K78" i="95"/>
  <c r="K72" i="95"/>
  <c r="I72" i="95"/>
  <c r="I72" i="98" s="1"/>
  <c r="K70" i="95"/>
  <c r="I70" i="95"/>
  <c r="I70" i="98" s="1"/>
  <c r="K69" i="95"/>
  <c r="I69" i="95"/>
  <c r="I69" i="98" s="1"/>
  <c r="K68" i="95"/>
  <c r="I68" i="95"/>
  <c r="I68" i="98" s="1"/>
  <c r="K66" i="95"/>
  <c r="I66" i="95"/>
  <c r="I66" i="98" s="1"/>
  <c r="K61" i="95"/>
  <c r="K62" i="95"/>
  <c r="K63" i="95"/>
  <c r="K64" i="95"/>
  <c r="I62" i="95"/>
  <c r="I62" i="98" s="1"/>
  <c r="I63" i="95"/>
  <c r="I64" i="95"/>
  <c r="I61" i="95"/>
  <c r="I61" i="98" s="1"/>
  <c r="D51" i="95"/>
  <c r="E51" i="95"/>
  <c r="F51" i="95"/>
  <c r="C51" i="95"/>
  <c r="D50" i="95"/>
  <c r="E50" i="95"/>
  <c r="F50" i="95"/>
  <c r="C50" i="95"/>
  <c r="C49" i="95"/>
  <c r="D49" i="95"/>
  <c r="E49" i="95"/>
  <c r="F49" i="95"/>
  <c r="D48" i="95"/>
  <c r="E48" i="95"/>
  <c r="F48" i="95"/>
  <c r="C48" i="95"/>
  <c r="D47" i="95"/>
  <c r="D90" i="95" s="1"/>
  <c r="E47" i="95"/>
  <c r="F47" i="95"/>
  <c r="C47" i="95"/>
  <c r="D43" i="95"/>
  <c r="D87" i="95" s="1"/>
  <c r="E43" i="95"/>
  <c r="E87" i="95" s="1"/>
  <c r="F43" i="95"/>
  <c r="F87" i="95" s="1"/>
  <c r="C43" i="95"/>
  <c r="D53" i="95"/>
  <c r="E53" i="95"/>
  <c r="F53" i="95"/>
  <c r="D54" i="95"/>
  <c r="E54" i="95"/>
  <c r="F54" i="95"/>
  <c r="C54" i="95"/>
  <c r="C53" i="95"/>
  <c r="D55" i="95"/>
  <c r="D56" i="95" s="1"/>
  <c r="D17" i="55" s="1"/>
  <c r="E55" i="95"/>
  <c r="E56" i="95" s="1"/>
  <c r="E17" i="55" s="1"/>
  <c r="E14" i="55" s="1"/>
  <c r="F55" i="95"/>
  <c r="F56" i="95" s="1"/>
  <c r="F17" i="55" s="1"/>
  <c r="F14" i="55" s="1"/>
  <c r="C55" i="95"/>
  <c r="C56" i="95" s="1"/>
  <c r="C17" i="55" s="1"/>
  <c r="C14" i="55" s="1"/>
  <c r="D46" i="95"/>
  <c r="E46" i="95"/>
  <c r="F46" i="95"/>
  <c r="C46" i="95"/>
  <c r="D45" i="95"/>
  <c r="E45" i="95"/>
  <c r="F45" i="95"/>
  <c r="C45" i="95"/>
  <c r="D42" i="95"/>
  <c r="E42" i="95"/>
  <c r="E86" i="95" s="1"/>
  <c r="F42" i="95"/>
  <c r="F86" i="95" s="1"/>
  <c r="C42" i="95"/>
  <c r="D86" i="95" s="1"/>
  <c r="D41" i="95"/>
  <c r="D85" i="95" s="1"/>
  <c r="E41" i="95"/>
  <c r="F85" i="95" s="1"/>
  <c r="F41" i="95"/>
  <c r="C41" i="95"/>
  <c r="D40" i="95"/>
  <c r="D84" i="95" s="1"/>
  <c r="E40" i="95"/>
  <c r="F40" i="95"/>
  <c r="F84" i="95" s="1"/>
  <c r="C40" i="95"/>
  <c r="D39" i="95"/>
  <c r="E39" i="95"/>
  <c r="F39" i="95"/>
  <c r="F83" i="95" s="1"/>
  <c r="C39" i="95"/>
  <c r="D37" i="95"/>
  <c r="D81" i="95" s="1"/>
  <c r="E37" i="95"/>
  <c r="E81" i="95" s="1"/>
  <c r="F37" i="95"/>
  <c r="F81" i="95" s="1"/>
  <c r="D38" i="95"/>
  <c r="E38" i="95"/>
  <c r="E82" i="95" s="1"/>
  <c r="F38" i="95"/>
  <c r="C38" i="95"/>
  <c r="C37" i="95"/>
  <c r="D14" i="95"/>
  <c r="E14" i="95"/>
  <c r="F14" i="95"/>
  <c r="C14" i="95"/>
  <c r="D33" i="95"/>
  <c r="E33" i="95"/>
  <c r="F33" i="95"/>
  <c r="C33" i="95"/>
  <c r="D34" i="95"/>
  <c r="E34" i="95"/>
  <c r="F34" i="95"/>
  <c r="C34" i="95"/>
  <c r="D15" i="95"/>
  <c r="E15" i="95"/>
  <c r="F15" i="95"/>
  <c r="C15" i="95"/>
  <c r="D12" i="95"/>
  <c r="E12" i="95"/>
  <c r="F12" i="95"/>
  <c r="D13" i="95"/>
  <c r="E13" i="95"/>
  <c r="F13" i="95"/>
  <c r="C13" i="95"/>
  <c r="C12" i="95"/>
  <c r="D32" i="95"/>
  <c r="E32" i="95"/>
  <c r="F32" i="95"/>
  <c r="C32" i="95"/>
  <c r="D31" i="95"/>
  <c r="E31" i="95"/>
  <c r="F31" i="95"/>
  <c r="C31" i="95"/>
  <c r="D22" i="95"/>
  <c r="E22" i="95"/>
  <c r="F22" i="95"/>
  <c r="C22" i="95"/>
  <c r="D20" i="95"/>
  <c r="E20" i="95"/>
  <c r="F20" i="95"/>
  <c r="C20" i="95"/>
  <c r="D30" i="95"/>
  <c r="E30" i="95"/>
  <c r="F30" i="95"/>
  <c r="C30" i="95"/>
  <c r="D21" i="95"/>
  <c r="E21" i="95"/>
  <c r="F21" i="95"/>
  <c r="C21" i="95"/>
  <c r="D28" i="95"/>
  <c r="E28" i="95"/>
  <c r="F28" i="95"/>
  <c r="C28" i="95"/>
  <c r="D27" i="95"/>
  <c r="E27" i="95"/>
  <c r="F27" i="95"/>
  <c r="C27" i="95"/>
  <c r="D25" i="95"/>
  <c r="E25" i="95"/>
  <c r="F25" i="95"/>
  <c r="C25" i="95"/>
  <c r="D24" i="95"/>
  <c r="E24" i="95"/>
  <c r="F24" i="95"/>
  <c r="C24" i="95"/>
  <c r="D18" i="95"/>
  <c r="E18" i="95"/>
  <c r="F18" i="95"/>
  <c r="C18" i="95"/>
  <c r="D29" i="95"/>
  <c r="E29" i="95"/>
  <c r="F29" i="95"/>
  <c r="C29" i="95"/>
  <c r="D8" i="95"/>
  <c r="E8" i="95"/>
  <c r="F8" i="95"/>
  <c r="D9" i="95"/>
  <c r="E9" i="95"/>
  <c r="F9" i="95"/>
  <c r="D10" i="95"/>
  <c r="E10" i="95"/>
  <c r="F10" i="95"/>
  <c r="D11" i="95"/>
  <c r="E11" i="95"/>
  <c r="F11" i="95"/>
  <c r="C9" i="95"/>
  <c r="C10" i="95"/>
  <c r="C11" i="95"/>
  <c r="C8" i="95"/>
  <c r="D35" i="95"/>
  <c r="E35" i="95"/>
  <c r="F35" i="95"/>
  <c r="C35" i="95"/>
  <c r="L61" i="95"/>
  <c r="J61" i="95"/>
  <c r="J61" i="98" s="1"/>
  <c r="D2" i="95"/>
  <c r="E2" i="95" s="1"/>
  <c r="F2" i="95" s="1"/>
  <c r="G2" i="95" s="1"/>
  <c r="H2" i="95" s="1"/>
  <c r="I2" i="95" s="1"/>
  <c r="J2" i="95" s="1"/>
  <c r="K2" i="95" s="1"/>
  <c r="L2" i="95" s="1"/>
  <c r="M2" i="95" s="1"/>
  <c r="N2" i="95" s="1"/>
  <c r="O2" i="95" s="1"/>
  <c r="P2" i="95" s="1"/>
  <c r="Q2" i="95" s="1"/>
  <c r="R2" i="95" s="1"/>
  <c r="S2" i="95" s="1"/>
  <c r="T2" i="95" s="1"/>
  <c r="U2" i="95" s="1"/>
  <c r="U59" i="95" s="1"/>
  <c r="K87" i="89"/>
  <c r="I87" i="89"/>
  <c r="K86" i="89"/>
  <c r="I86" i="89"/>
  <c r="K85" i="89"/>
  <c r="I85" i="89"/>
  <c r="K84" i="89"/>
  <c r="I84" i="89"/>
  <c r="K82" i="89"/>
  <c r="I82" i="89"/>
  <c r="K79" i="89"/>
  <c r="I79" i="89"/>
  <c r="K78" i="89"/>
  <c r="I78" i="89"/>
  <c r="K77" i="89"/>
  <c r="I77" i="89"/>
  <c r="I74" i="89"/>
  <c r="K74" i="89"/>
  <c r="I75" i="89"/>
  <c r="K75" i="89"/>
  <c r="I76" i="89"/>
  <c r="K76" i="89"/>
  <c r="K73" i="89"/>
  <c r="I73" i="89"/>
  <c r="J86" i="89"/>
  <c r="G8" i="81"/>
  <c r="G80" i="99" s="1"/>
  <c r="G9" i="81"/>
  <c r="G10" i="81" s="1"/>
  <c r="F55" i="99"/>
  <c r="G55" i="99" s="1"/>
  <c r="H55" i="99" s="1"/>
  <c r="F8" i="81"/>
  <c r="F80" i="99" s="1"/>
  <c r="F9" i="81"/>
  <c r="F10" i="81" s="1"/>
  <c r="F11" i="81"/>
  <c r="E55" i="99" s="1"/>
  <c r="E11" i="81"/>
  <c r="E9" i="81"/>
  <c r="E8" i="81"/>
  <c r="E80" i="99" s="1"/>
  <c r="AK24" i="81"/>
  <c r="AL24" i="81"/>
  <c r="AM24" i="81"/>
  <c r="AK25" i="81"/>
  <c r="AL25" i="81"/>
  <c r="AM25" i="81"/>
  <c r="AK26" i="81"/>
  <c r="AL26" i="81"/>
  <c r="AM26" i="81"/>
  <c r="AK27" i="81"/>
  <c r="AL27" i="81"/>
  <c r="AM27" i="81"/>
  <c r="AK28" i="81"/>
  <c r="AL28" i="81"/>
  <c r="AM28" i="81"/>
  <c r="AK29" i="81"/>
  <c r="AL29" i="81"/>
  <c r="AM29" i="81"/>
  <c r="AK30" i="81"/>
  <c r="AL30" i="81"/>
  <c r="AM30" i="81"/>
  <c r="AK31" i="81"/>
  <c r="AL31" i="81"/>
  <c r="AM31" i="81"/>
  <c r="AK32" i="81"/>
  <c r="AL32" i="81"/>
  <c r="AM32" i="81"/>
  <c r="AK33" i="81"/>
  <c r="AL33" i="81"/>
  <c r="AM33" i="81"/>
  <c r="AK34" i="81"/>
  <c r="AL34" i="81"/>
  <c r="AM34" i="81"/>
  <c r="AK35" i="81"/>
  <c r="AL35" i="81"/>
  <c r="AM35" i="81"/>
  <c r="AK36" i="81"/>
  <c r="AL36" i="81"/>
  <c r="AM36" i="81"/>
  <c r="AK37" i="81"/>
  <c r="AL37" i="81"/>
  <c r="AM37" i="81"/>
  <c r="AK38" i="81"/>
  <c r="AL38" i="81"/>
  <c r="AM38" i="81"/>
  <c r="AK39" i="81"/>
  <c r="AL39" i="81"/>
  <c r="AM39" i="81"/>
  <c r="AK40" i="81"/>
  <c r="AL40" i="81"/>
  <c r="AM40" i="81"/>
  <c r="AK41" i="81"/>
  <c r="AL41" i="81"/>
  <c r="AM41" i="81"/>
  <c r="AK42" i="81"/>
  <c r="AL42" i="81"/>
  <c r="AM42" i="81"/>
  <c r="AK43" i="81"/>
  <c r="AL43" i="81"/>
  <c r="AM43" i="81"/>
  <c r="AK44" i="81"/>
  <c r="AL44" i="81"/>
  <c r="AM44" i="81"/>
  <c r="AK45" i="81"/>
  <c r="AL45" i="81"/>
  <c r="AM45" i="81"/>
  <c r="AK46" i="81"/>
  <c r="AL46" i="81"/>
  <c r="AM46" i="81"/>
  <c r="AK47" i="81"/>
  <c r="AL47" i="81"/>
  <c r="AM47" i="81"/>
  <c r="AK48" i="81"/>
  <c r="AL48" i="81"/>
  <c r="AM48" i="81"/>
  <c r="AK49" i="81"/>
  <c r="AL49" i="81"/>
  <c r="AM49" i="81"/>
  <c r="AK50" i="81"/>
  <c r="AL50" i="81"/>
  <c r="AM50" i="81"/>
  <c r="AK51" i="81"/>
  <c r="AL51" i="81"/>
  <c r="AM51" i="81"/>
  <c r="AK52" i="81"/>
  <c r="AL52" i="81"/>
  <c r="AM52" i="81"/>
  <c r="AK53" i="81"/>
  <c r="AL53" i="81"/>
  <c r="AM53" i="81"/>
  <c r="AK54" i="81"/>
  <c r="AL54" i="81"/>
  <c r="AM54" i="81"/>
  <c r="AK55" i="81"/>
  <c r="AL55" i="81"/>
  <c r="AM55" i="81"/>
  <c r="AK56" i="81"/>
  <c r="AL56" i="81"/>
  <c r="AM56" i="81"/>
  <c r="AK57" i="81"/>
  <c r="AL57" i="81"/>
  <c r="AM57" i="81"/>
  <c r="AK58" i="81"/>
  <c r="AL58" i="81"/>
  <c r="AM58" i="81"/>
  <c r="AK59" i="81"/>
  <c r="AL59" i="81"/>
  <c r="AM59" i="81"/>
  <c r="AK60" i="81"/>
  <c r="AL60" i="81"/>
  <c r="AM60" i="81"/>
  <c r="AK61" i="81"/>
  <c r="AL61" i="81"/>
  <c r="AM61" i="81"/>
  <c r="AK62" i="81"/>
  <c r="AL62" i="81"/>
  <c r="AM62" i="81"/>
  <c r="AK63" i="81"/>
  <c r="AL63" i="81"/>
  <c r="AM63" i="81"/>
  <c r="AK64" i="81"/>
  <c r="AL64" i="81"/>
  <c r="AM64" i="81"/>
  <c r="AK65" i="81"/>
  <c r="AL65" i="81"/>
  <c r="AM65" i="81"/>
  <c r="AK66" i="81"/>
  <c r="AL66" i="81"/>
  <c r="AM66" i="81"/>
  <c r="AK67" i="81"/>
  <c r="AL67" i="81"/>
  <c r="AM67" i="81"/>
  <c r="AL23" i="81"/>
  <c r="F12" i="81" s="1"/>
  <c r="F81" i="99" s="1"/>
  <c r="F65" i="98" s="1"/>
  <c r="AM23" i="81"/>
  <c r="AO23" i="81"/>
  <c r="AK23" i="81"/>
  <c r="AI67" i="81"/>
  <c r="AH67" i="81"/>
  <c r="AG67" i="81"/>
  <c r="AE67" i="81"/>
  <c r="AD67" i="81"/>
  <c r="AC67" i="81"/>
  <c r="AI66" i="81"/>
  <c r="AH66" i="81"/>
  <c r="AG66" i="81"/>
  <c r="AE66" i="81"/>
  <c r="AD66" i="81"/>
  <c r="AC66" i="81"/>
  <c r="AI65" i="81"/>
  <c r="AH65" i="81"/>
  <c r="AG65" i="81"/>
  <c r="AE65" i="81"/>
  <c r="AD65" i="81"/>
  <c r="AC65" i="81"/>
  <c r="AI64" i="81"/>
  <c r="AH64" i="81"/>
  <c r="AG64" i="81"/>
  <c r="AE64" i="81"/>
  <c r="AD64" i="81"/>
  <c r="AC64" i="81"/>
  <c r="AI63" i="81"/>
  <c r="AH63" i="81"/>
  <c r="AG63" i="81"/>
  <c r="AE63" i="81"/>
  <c r="AD63" i="81"/>
  <c r="AC63" i="81"/>
  <c r="AI62" i="81"/>
  <c r="AH62" i="81"/>
  <c r="AG62" i="81"/>
  <c r="AE62" i="81"/>
  <c r="AD62" i="81"/>
  <c r="AC62" i="81"/>
  <c r="AI61" i="81"/>
  <c r="AH61" i="81"/>
  <c r="AG61" i="81"/>
  <c r="AE61" i="81"/>
  <c r="AD61" i="81"/>
  <c r="AC61" i="81"/>
  <c r="AI60" i="81"/>
  <c r="AH60" i="81"/>
  <c r="AG60" i="81"/>
  <c r="AE60" i="81"/>
  <c r="AD60" i="81"/>
  <c r="AC60" i="81"/>
  <c r="AI59" i="81"/>
  <c r="AH59" i="81"/>
  <c r="AG59" i="81"/>
  <c r="AE59" i="81"/>
  <c r="AD59" i="81"/>
  <c r="AC59" i="81"/>
  <c r="AI58" i="81"/>
  <c r="AH58" i="81"/>
  <c r="AG58" i="81"/>
  <c r="AE58" i="81"/>
  <c r="AD58" i="81"/>
  <c r="AC58" i="81"/>
  <c r="AI57" i="81"/>
  <c r="AH57" i="81"/>
  <c r="AG57" i="81"/>
  <c r="AE57" i="81"/>
  <c r="AD57" i="81"/>
  <c r="AC57" i="81"/>
  <c r="AI56" i="81"/>
  <c r="AH56" i="81"/>
  <c r="AG56" i="81"/>
  <c r="AE56" i="81"/>
  <c r="AD56" i="81"/>
  <c r="AC56" i="81"/>
  <c r="AI55" i="81"/>
  <c r="AH55" i="81"/>
  <c r="AG55" i="81"/>
  <c r="AE55" i="81"/>
  <c r="AD55" i="81"/>
  <c r="AC55" i="81"/>
  <c r="AI54" i="81"/>
  <c r="AH54" i="81"/>
  <c r="AG54" i="81"/>
  <c r="AE54" i="81"/>
  <c r="AD54" i="81"/>
  <c r="AC54" i="81"/>
  <c r="AI53" i="81"/>
  <c r="AH53" i="81"/>
  <c r="AG53" i="81"/>
  <c r="AE53" i="81"/>
  <c r="AD53" i="81"/>
  <c r="AC53" i="81"/>
  <c r="AI52" i="81"/>
  <c r="AH52" i="81"/>
  <c r="AG52" i="81"/>
  <c r="AE52" i="81"/>
  <c r="AD52" i="81"/>
  <c r="AC52" i="81"/>
  <c r="AI51" i="81"/>
  <c r="AH51" i="81"/>
  <c r="AG51" i="81"/>
  <c r="AE51" i="81"/>
  <c r="AD51" i="81"/>
  <c r="AC51" i="81"/>
  <c r="AI50" i="81"/>
  <c r="AH50" i="81"/>
  <c r="AG50" i="81"/>
  <c r="AE50" i="81"/>
  <c r="AD50" i="81"/>
  <c r="AC50" i="81"/>
  <c r="AI49" i="81"/>
  <c r="AH49" i="81"/>
  <c r="AG49" i="81"/>
  <c r="AE49" i="81"/>
  <c r="AD49" i="81"/>
  <c r="AC49" i="81"/>
  <c r="AI48" i="81"/>
  <c r="AH48" i="81"/>
  <c r="AG48" i="81"/>
  <c r="AE48" i="81"/>
  <c r="AD48" i="81"/>
  <c r="AC48" i="81"/>
  <c r="AI47" i="81"/>
  <c r="AH47" i="81"/>
  <c r="AG47" i="81"/>
  <c r="AE47" i="81"/>
  <c r="AD47" i="81"/>
  <c r="AC47" i="81"/>
  <c r="AI46" i="81"/>
  <c r="AH46" i="81"/>
  <c r="AG46" i="81"/>
  <c r="AE46" i="81"/>
  <c r="AD46" i="81"/>
  <c r="AC46" i="81"/>
  <c r="AI45" i="81"/>
  <c r="AH45" i="81"/>
  <c r="AG45" i="81"/>
  <c r="AE45" i="81"/>
  <c r="AD45" i="81"/>
  <c r="AC45" i="81"/>
  <c r="AI44" i="81"/>
  <c r="AH44" i="81"/>
  <c r="AG44" i="81"/>
  <c r="AE44" i="81"/>
  <c r="AD44" i="81"/>
  <c r="AC44" i="81"/>
  <c r="AI43" i="81"/>
  <c r="AH43" i="81"/>
  <c r="AG43" i="81"/>
  <c r="AE43" i="81"/>
  <c r="AD43" i="81"/>
  <c r="AC43" i="81"/>
  <c r="AI42" i="81"/>
  <c r="AH42" i="81"/>
  <c r="AG42" i="81"/>
  <c r="AE42" i="81"/>
  <c r="AD42" i="81"/>
  <c r="AC42" i="81"/>
  <c r="AI41" i="81"/>
  <c r="AH41" i="81"/>
  <c r="AG41" i="81"/>
  <c r="AE41" i="81"/>
  <c r="AD41" i="81"/>
  <c r="AC41" i="81"/>
  <c r="AI40" i="81"/>
  <c r="AH40" i="81"/>
  <c r="AG40" i="81"/>
  <c r="AE40" i="81"/>
  <c r="AD40" i="81"/>
  <c r="AC40" i="81"/>
  <c r="AI39" i="81"/>
  <c r="AH39" i="81"/>
  <c r="AG39" i="81"/>
  <c r="AE39" i="81"/>
  <c r="AD39" i="81"/>
  <c r="AC39" i="81"/>
  <c r="AI38" i="81"/>
  <c r="AH38" i="81"/>
  <c r="AG38" i="81"/>
  <c r="AE38" i="81"/>
  <c r="AD38" i="81"/>
  <c r="AC38" i="81"/>
  <c r="AI37" i="81"/>
  <c r="AH37" i="81"/>
  <c r="AG37" i="81"/>
  <c r="AE37" i="81"/>
  <c r="AD37" i="81"/>
  <c r="AC37" i="81"/>
  <c r="AI36" i="81"/>
  <c r="AH36" i="81"/>
  <c r="AG36" i="81"/>
  <c r="AE36" i="81"/>
  <c r="AD36" i="81"/>
  <c r="AC36" i="81"/>
  <c r="AI35" i="81"/>
  <c r="AH35" i="81"/>
  <c r="AG35" i="81"/>
  <c r="AE35" i="81"/>
  <c r="AD35" i="81"/>
  <c r="AC35" i="81"/>
  <c r="AI34" i="81"/>
  <c r="AH34" i="81"/>
  <c r="AG34" i="81"/>
  <c r="AE34" i="81"/>
  <c r="AD34" i="81"/>
  <c r="AC34" i="81"/>
  <c r="AI33" i="81"/>
  <c r="AH33" i="81"/>
  <c r="AG33" i="81"/>
  <c r="AE33" i="81"/>
  <c r="AD33" i="81"/>
  <c r="AC33" i="81"/>
  <c r="AI32" i="81"/>
  <c r="AH32" i="81"/>
  <c r="AG32" i="81"/>
  <c r="AE32" i="81"/>
  <c r="AD32" i="81"/>
  <c r="AC32" i="81"/>
  <c r="AI31" i="81"/>
  <c r="AH31" i="81"/>
  <c r="AG31" i="81"/>
  <c r="AE31" i="81"/>
  <c r="AD31" i="81"/>
  <c r="AC31" i="81"/>
  <c r="AI30" i="81"/>
  <c r="AH30" i="81"/>
  <c r="AG30" i="81"/>
  <c r="AE30" i="81"/>
  <c r="AD30" i="81"/>
  <c r="AC30" i="81"/>
  <c r="AI29" i="81"/>
  <c r="AH29" i="81"/>
  <c r="AG29" i="81"/>
  <c r="AE29" i="81"/>
  <c r="AD29" i="81"/>
  <c r="AC29" i="81"/>
  <c r="AI28" i="81"/>
  <c r="AH28" i="81"/>
  <c r="AG28" i="81"/>
  <c r="AE28" i="81"/>
  <c r="AD28" i="81"/>
  <c r="AC28" i="81"/>
  <c r="AI27" i="81"/>
  <c r="AH27" i="81"/>
  <c r="AG27" i="81"/>
  <c r="AE27" i="81"/>
  <c r="AD27" i="81"/>
  <c r="AC27" i="81"/>
  <c r="AI26" i="81"/>
  <c r="AH26" i="81"/>
  <c r="AG26" i="81"/>
  <c r="AE26" i="81"/>
  <c r="AD26" i="81"/>
  <c r="AC26" i="81"/>
  <c r="AI25" i="81"/>
  <c r="AH25" i="81"/>
  <c r="AG25" i="81"/>
  <c r="AE25" i="81"/>
  <c r="AD25" i="81"/>
  <c r="AC25" i="81"/>
  <c r="AI24" i="81"/>
  <c r="AH24" i="81"/>
  <c r="AG24" i="81"/>
  <c r="AE24" i="81"/>
  <c r="AD24" i="81"/>
  <c r="AC24" i="81"/>
  <c r="AI23" i="81"/>
  <c r="AH23" i="81"/>
  <c r="AG23" i="81"/>
  <c r="AE23" i="81"/>
  <c r="AD23" i="81"/>
  <c r="AC23" i="81"/>
  <c r="AA21" i="81"/>
  <c r="Z21" i="81"/>
  <c r="Y21" i="81"/>
  <c r="W21" i="81"/>
  <c r="V21" i="81"/>
  <c r="U21" i="81"/>
  <c r="S21" i="81"/>
  <c r="R21" i="81"/>
  <c r="Q21" i="81"/>
  <c r="O21" i="81"/>
  <c r="N21" i="81"/>
  <c r="M21" i="81"/>
  <c r="K21" i="81"/>
  <c r="J21" i="81"/>
  <c r="I21" i="81"/>
  <c r="I63" i="98" l="1"/>
  <c r="I38" i="95"/>
  <c r="J38" i="95" s="1"/>
  <c r="K38" i="95" s="1"/>
  <c r="I82" i="98"/>
  <c r="I64" i="98"/>
  <c r="U87" i="89"/>
  <c r="I55" i="99"/>
  <c r="D3" i="127" s="1"/>
  <c r="C3" i="127"/>
  <c r="C16" i="55"/>
  <c r="D16" i="55"/>
  <c r="F16" i="55"/>
  <c r="C15" i="55"/>
  <c r="C13" i="55" s="1"/>
  <c r="D14" i="55"/>
  <c r="D13" i="55" s="1"/>
  <c r="E16" i="55"/>
  <c r="F15" i="55"/>
  <c r="F13" i="55" s="1"/>
  <c r="E15" i="55"/>
  <c r="E13" i="55" s="1"/>
  <c r="E10" i="81"/>
  <c r="G79" i="99"/>
  <c r="G59" i="89"/>
  <c r="E79" i="99"/>
  <c r="E59" i="89"/>
  <c r="F79" i="99"/>
  <c r="F59" i="89"/>
  <c r="G60" i="89"/>
  <c r="F60" i="89"/>
  <c r="F61" i="89"/>
  <c r="F65" i="95" s="1"/>
  <c r="E12" i="81"/>
  <c r="E81" i="99" s="1"/>
  <c r="E65" i="98" s="1"/>
  <c r="F66" i="98" s="1"/>
  <c r="E39" i="89"/>
  <c r="G12" i="81"/>
  <c r="E60" i="89"/>
  <c r="F39" i="89"/>
  <c r="G39" i="89" s="1"/>
  <c r="R16" i="12"/>
  <c r="P16" i="12"/>
  <c r="R82" i="89"/>
  <c r="L78" i="89"/>
  <c r="P74" i="89"/>
  <c r="U84" i="89"/>
  <c r="O79" i="89"/>
  <c r="S75" i="89"/>
  <c r="Q77" i="89"/>
  <c r="N87" i="89"/>
  <c r="J82" i="89"/>
  <c r="R73" i="89"/>
  <c r="P85" i="89"/>
  <c r="J73" i="89"/>
  <c r="T78" i="89"/>
  <c r="N76" i="89"/>
  <c r="S86" i="89"/>
  <c r="M84" i="89"/>
  <c r="U17" i="55"/>
  <c r="D9" i="55"/>
  <c r="E9" i="55"/>
  <c r="E19" i="55"/>
  <c r="C19" i="55"/>
  <c r="F19" i="55"/>
  <c r="D19" i="55"/>
  <c r="G19" i="55"/>
  <c r="G22" i="55"/>
  <c r="H23" i="55" s="1"/>
  <c r="O25" i="2"/>
  <c r="Q18" i="12" s="1"/>
  <c r="K61" i="55"/>
  <c r="L61" i="55" s="1"/>
  <c r="M61" i="55" s="1"/>
  <c r="N61" i="55" s="1"/>
  <c r="O61" i="55" s="1"/>
  <c r="P61" i="55" s="1"/>
  <c r="Q61" i="55" s="1"/>
  <c r="R61" i="55" s="1"/>
  <c r="S61" i="55" s="1"/>
  <c r="T61" i="55" s="1"/>
  <c r="U61" i="55" s="1"/>
  <c r="V61" i="55" s="1"/>
  <c r="F88" i="95"/>
  <c r="E85" i="95"/>
  <c r="F82" i="95"/>
  <c r="L86" i="95"/>
  <c r="J84" i="95"/>
  <c r="J84" i="98" s="1"/>
  <c r="L83" i="95"/>
  <c r="E93" i="95"/>
  <c r="J83" i="95"/>
  <c r="J83" i="98" s="1"/>
  <c r="L85" i="95"/>
  <c r="D93" i="95"/>
  <c r="L82" i="95"/>
  <c r="F90" i="95"/>
  <c r="E92" i="95"/>
  <c r="J81" i="95"/>
  <c r="J81" i="98" s="1"/>
  <c r="L87" i="95"/>
  <c r="E90" i="95"/>
  <c r="L84" i="95"/>
  <c r="G59" i="95"/>
  <c r="J95" i="95"/>
  <c r="L93" i="95"/>
  <c r="F95" i="95"/>
  <c r="J91" i="95"/>
  <c r="D88" i="95"/>
  <c r="J90" i="95"/>
  <c r="O59" i="95"/>
  <c r="J88" i="95"/>
  <c r="D92" i="95"/>
  <c r="L97" i="95"/>
  <c r="L90" i="95"/>
  <c r="F93" i="95"/>
  <c r="Q59" i="95"/>
  <c r="I59" i="95"/>
  <c r="J97" i="95"/>
  <c r="L95" i="95"/>
  <c r="E95" i="95"/>
  <c r="F92" i="95"/>
  <c r="P59" i="95"/>
  <c r="H59" i="95"/>
  <c r="L92" i="95"/>
  <c r="N59" i="95"/>
  <c r="F59" i="95"/>
  <c r="J94" i="95"/>
  <c r="L94" i="95"/>
  <c r="E88" i="95"/>
  <c r="M59" i="95"/>
  <c r="E59" i="95"/>
  <c r="J93" i="95"/>
  <c r="L91" i="95"/>
  <c r="T59" i="95"/>
  <c r="L59" i="95"/>
  <c r="D59" i="95"/>
  <c r="J92" i="95"/>
  <c r="L88" i="95"/>
  <c r="S59" i="95"/>
  <c r="K59" i="95"/>
  <c r="R59" i="95"/>
  <c r="J59" i="95"/>
  <c r="E77" i="95"/>
  <c r="E79" i="95"/>
  <c r="F79" i="95"/>
  <c r="F77" i="95"/>
  <c r="D77" i="95"/>
  <c r="J78" i="95"/>
  <c r="D68" i="95"/>
  <c r="J72" i="95"/>
  <c r="J72" i="98" s="1"/>
  <c r="J77" i="95"/>
  <c r="L77" i="95"/>
  <c r="D79" i="95"/>
  <c r="L78" i="95"/>
  <c r="F78" i="95"/>
  <c r="L72" i="95"/>
  <c r="L79" i="95"/>
  <c r="F69" i="95"/>
  <c r="D69" i="95"/>
  <c r="F68" i="95"/>
  <c r="E68" i="95"/>
  <c r="E69" i="95"/>
  <c r="L68" i="95"/>
  <c r="J70" i="95"/>
  <c r="J70" i="98" s="1"/>
  <c r="J69" i="95"/>
  <c r="J69" i="98" s="1"/>
  <c r="L66" i="95"/>
  <c r="L70" i="95"/>
  <c r="J66" i="95"/>
  <c r="J66" i="98" s="1"/>
  <c r="L69" i="95"/>
  <c r="J68" i="95"/>
  <c r="J68" i="98" s="1"/>
  <c r="D61" i="95"/>
  <c r="E63" i="95"/>
  <c r="E61" i="95"/>
  <c r="E64" i="95"/>
  <c r="E62" i="95"/>
  <c r="F63" i="95"/>
  <c r="D62" i="95"/>
  <c r="F52" i="95"/>
  <c r="L62" i="95"/>
  <c r="F64" i="95"/>
  <c r="F62" i="95"/>
  <c r="D64" i="95"/>
  <c r="D63" i="95"/>
  <c r="L64" i="95"/>
  <c r="F61" i="95"/>
  <c r="J64" i="95"/>
  <c r="J64" i="98" s="1"/>
  <c r="J62" i="95"/>
  <c r="J62" i="98" s="1"/>
  <c r="D52" i="95"/>
  <c r="L63" i="95"/>
  <c r="E52" i="95"/>
  <c r="J63" i="95"/>
  <c r="J63" i="98" s="1"/>
  <c r="C52" i="95"/>
  <c r="E23" i="95"/>
  <c r="D36" i="95"/>
  <c r="C36" i="95"/>
  <c r="C4" i="95" s="1"/>
  <c r="F36" i="95"/>
  <c r="F4" i="95" s="1"/>
  <c r="D23" i="95"/>
  <c r="E36" i="95"/>
  <c r="F23" i="95"/>
  <c r="C26" i="95"/>
  <c r="C23" i="95"/>
  <c r="D19" i="95"/>
  <c r="D26" i="95"/>
  <c r="C19" i="95"/>
  <c r="F26" i="95"/>
  <c r="F19" i="95"/>
  <c r="E26" i="95"/>
  <c r="E19" i="95"/>
  <c r="C7" i="95"/>
  <c r="E7" i="95"/>
  <c r="D7" i="95"/>
  <c r="F7" i="95"/>
  <c r="Q73" i="89"/>
  <c r="U76" i="89"/>
  <c r="M76" i="89"/>
  <c r="R75" i="89"/>
  <c r="J75" i="89"/>
  <c r="O74" i="89"/>
  <c r="J77" i="89"/>
  <c r="R77" i="89"/>
  <c r="M78" i="89"/>
  <c r="U78" i="89"/>
  <c r="P79" i="89"/>
  <c r="S82" i="89"/>
  <c r="N84" i="89"/>
  <c r="Q85" i="89"/>
  <c r="L86" i="89"/>
  <c r="T86" i="89"/>
  <c r="O87" i="89"/>
  <c r="P73" i="89"/>
  <c r="T76" i="89"/>
  <c r="L76" i="89"/>
  <c r="Q75" i="89"/>
  <c r="N74" i="89"/>
  <c r="S77" i="89"/>
  <c r="N78" i="89"/>
  <c r="Q79" i="89"/>
  <c r="L82" i="89"/>
  <c r="T82" i="89"/>
  <c r="O84" i="89"/>
  <c r="J85" i="89"/>
  <c r="R85" i="89"/>
  <c r="M86" i="89"/>
  <c r="U86" i="89"/>
  <c r="P87" i="89"/>
  <c r="O73" i="89"/>
  <c r="S76" i="89"/>
  <c r="P75" i="89"/>
  <c r="U74" i="89"/>
  <c r="M74" i="89"/>
  <c r="L77" i="89"/>
  <c r="T77" i="89"/>
  <c r="O78" i="89"/>
  <c r="J79" i="89"/>
  <c r="R79" i="89"/>
  <c r="M82" i="89"/>
  <c r="U82" i="89"/>
  <c r="P84" i="89"/>
  <c r="S85" i="89"/>
  <c r="N86" i="89"/>
  <c r="Q87" i="89"/>
  <c r="N73" i="89"/>
  <c r="R76" i="89"/>
  <c r="J76" i="89"/>
  <c r="O75" i="89"/>
  <c r="T74" i="89"/>
  <c r="L74" i="89"/>
  <c r="M77" i="89"/>
  <c r="U77" i="89"/>
  <c r="P78" i="89"/>
  <c r="S79" i="89"/>
  <c r="N82" i="89"/>
  <c r="Q84" i="89"/>
  <c r="L85" i="89"/>
  <c r="T85" i="89"/>
  <c r="O86" i="89"/>
  <c r="J87" i="89"/>
  <c r="R87" i="89"/>
  <c r="U73" i="89"/>
  <c r="M73" i="89"/>
  <c r="Q76" i="89"/>
  <c r="N75" i="89"/>
  <c r="S74" i="89"/>
  <c r="N77" i="89"/>
  <c r="Q78" i="89"/>
  <c r="L79" i="89"/>
  <c r="T79" i="89"/>
  <c r="O82" i="89"/>
  <c r="J84" i="89"/>
  <c r="R84" i="89"/>
  <c r="M85" i="89"/>
  <c r="U85" i="89"/>
  <c r="P86" i="89"/>
  <c r="S87" i="89"/>
  <c r="T73" i="89"/>
  <c r="L73" i="89"/>
  <c r="P76" i="89"/>
  <c r="U75" i="89"/>
  <c r="M75" i="89"/>
  <c r="R74" i="89"/>
  <c r="J74" i="89"/>
  <c r="O77" i="89"/>
  <c r="J78" i="89"/>
  <c r="R78" i="89"/>
  <c r="M79" i="89"/>
  <c r="U79" i="89"/>
  <c r="P82" i="89"/>
  <c r="S84" i="89"/>
  <c r="N85" i="89"/>
  <c r="Q86" i="89"/>
  <c r="L87" i="89"/>
  <c r="T87" i="89"/>
  <c r="S73" i="89"/>
  <c r="O76" i="89"/>
  <c r="T75" i="89"/>
  <c r="L75" i="89"/>
  <c r="Q74" i="89"/>
  <c r="P77" i="89"/>
  <c r="S78" i="89"/>
  <c r="N79" i="89"/>
  <c r="Q82" i="89"/>
  <c r="L84" i="89"/>
  <c r="T84" i="89"/>
  <c r="O85" i="89"/>
  <c r="R86" i="89"/>
  <c r="M87" i="89"/>
  <c r="F16" i="81"/>
  <c r="F15" i="81"/>
  <c r="E61" i="89"/>
  <c r="E65" i="95" s="1"/>
  <c r="E15" i="81"/>
  <c r="G15" i="81"/>
  <c r="G16" i="81"/>
  <c r="L38" i="95" l="1"/>
  <c r="J55" i="99"/>
  <c r="K55" i="99" s="1"/>
  <c r="V76" i="89"/>
  <c r="V84" i="89"/>
  <c r="V75" i="89"/>
  <c r="V86" i="89"/>
  <c r="V78" i="89"/>
  <c r="V77" i="89"/>
  <c r="V87" i="89"/>
  <c r="V74" i="89"/>
  <c r="V79" i="89"/>
  <c r="V82" i="89"/>
  <c r="V73" i="89"/>
  <c r="V85" i="89"/>
  <c r="W61" i="55"/>
  <c r="H59" i="89"/>
  <c r="U59" i="89" s="1"/>
  <c r="F66" i="95"/>
  <c r="H79" i="99"/>
  <c r="G81" i="99"/>
  <c r="G61" i="89"/>
  <c r="G77" i="99"/>
  <c r="H77" i="99" s="1"/>
  <c r="G57" i="89"/>
  <c r="H57" i="89" s="1"/>
  <c r="U57" i="89" s="1"/>
  <c r="V57" i="89" s="1"/>
  <c r="W57" i="89" s="1"/>
  <c r="X57" i="89" s="1"/>
  <c r="Y57" i="89" s="1"/>
  <c r="Z57" i="89" s="1"/>
  <c r="AA57" i="89" s="1"/>
  <c r="AB57" i="89" s="1"/>
  <c r="G82" i="99"/>
  <c r="G62" i="89"/>
  <c r="E57" i="89"/>
  <c r="E77" i="99"/>
  <c r="E62" i="89"/>
  <c r="E82" i="99"/>
  <c r="F82" i="99"/>
  <c r="F62" i="89"/>
  <c r="F77" i="99"/>
  <c r="F57" i="89"/>
  <c r="H10" i="55"/>
  <c r="H22" i="55"/>
  <c r="I23" i="55" s="1"/>
  <c r="I24" i="55"/>
  <c r="M81" i="95"/>
  <c r="M84" i="95"/>
  <c r="M87" i="95"/>
  <c r="M82" i="95"/>
  <c r="M85" i="95"/>
  <c r="M83" i="95"/>
  <c r="M86" i="95"/>
  <c r="E94" i="95"/>
  <c r="E4" i="95"/>
  <c r="E89" i="95"/>
  <c r="F89" i="95"/>
  <c r="D4" i="95"/>
  <c r="D89" i="95"/>
  <c r="C89" i="95"/>
  <c r="F94" i="95"/>
  <c r="D94" i="95"/>
  <c r="M77" i="95"/>
  <c r="M95" i="95"/>
  <c r="M90" i="95"/>
  <c r="M93" i="95"/>
  <c r="M94" i="95"/>
  <c r="M88" i="95"/>
  <c r="M91" i="95"/>
  <c r="M97" i="95"/>
  <c r="M92" i="95"/>
  <c r="M79" i="95"/>
  <c r="M72" i="95"/>
  <c r="M78" i="95"/>
  <c r="M69" i="95"/>
  <c r="M70" i="95"/>
  <c r="M68" i="95"/>
  <c r="M66" i="95"/>
  <c r="M62" i="95"/>
  <c r="M64" i="95"/>
  <c r="M61" i="95"/>
  <c r="M63" i="95"/>
  <c r="D17" i="95"/>
  <c r="D16" i="95" s="1"/>
  <c r="F17" i="95"/>
  <c r="F16" i="95" s="1"/>
  <c r="C17" i="95"/>
  <c r="C16" i="95" s="1"/>
  <c r="C6" i="95" s="1"/>
  <c r="C3" i="95" s="1"/>
  <c r="E17" i="95"/>
  <c r="E16" i="95" s="1"/>
  <c r="M38" i="95" l="1"/>
  <c r="E3" i="127"/>
  <c r="W77" i="89"/>
  <c r="W87" i="89"/>
  <c r="W82" i="89"/>
  <c r="W73" i="89"/>
  <c r="W78" i="89"/>
  <c r="W79" i="89"/>
  <c r="W85" i="89"/>
  <c r="W76" i="89"/>
  <c r="W74" i="89"/>
  <c r="W86" i="89"/>
  <c r="W84" i="89"/>
  <c r="W75" i="89"/>
  <c r="L55" i="99"/>
  <c r="F3" i="127"/>
  <c r="U79" i="99"/>
  <c r="X61" i="55"/>
  <c r="U77" i="99"/>
  <c r="I10" i="55"/>
  <c r="H9" i="55"/>
  <c r="I11" i="55"/>
  <c r="I22" i="55"/>
  <c r="J23" i="55" s="1"/>
  <c r="J24" i="55"/>
  <c r="N86" i="95"/>
  <c r="N81" i="95"/>
  <c r="N84" i="95"/>
  <c r="N87" i="95"/>
  <c r="N82" i="95"/>
  <c r="N85" i="95"/>
  <c r="N83" i="95"/>
  <c r="N77" i="95"/>
  <c r="N92" i="95"/>
  <c r="N95" i="95"/>
  <c r="N90" i="95"/>
  <c r="N93" i="95"/>
  <c r="N91" i="95"/>
  <c r="N88" i="95"/>
  <c r="N94" i="95"/>
  <c r="N97" i="95"/>
  <c r="N79" i="95"/>
  <c r="N72" i="95"/>
  <c r="N78" i="95"/>
  <c r="D6" i="95"/>
  <c r="D3" i="95" s="1"/>
  <c r="D70" i="95"/>
  <c r="N70" i="95"/>
  <c r="N68" i="95"/>
  <c r="N66" i="95"/>
  <c r="N69" i="95"/>
  <c r="F6" i="95"/>
  <c r="F3" i="95" s="1"/>
  <c r="F70" i="95"/>
  <c r="E6" i="95"/>
  <c r="E3" i="95" s="1"/>
  <c r="E70" i="95"/>
  <c r="N62" i="95"/>
  <c r="N64" i="95"/>
  <c r="N61" i="95"/>
  <c r="N63" i="95"/>
  <c r="N38" i="95" l="1"/>
  <c r="X86" i="89"/>
  <c r="X82" i="89"/>
  <c r="X85" i="89"/>
  <c r="X74" i="89"/>
  <c r="X76" i="89"/>
  <c r="X79" i="89"/>
  <c r="X78" i="89"/>
  <c r="X84" i="89"/>
  <c r="X77" i="89"/>
  <c r="X87" i="89"/>
  <c r="X73" i="89"/>
  <c r="X75" i="89"/>
  <c r="M55" i="99"/>
  <c r="G3" i="127"/>
  <c r="V77" i="99"/>
  <c r="W77" i="99" s="1"/>
  <c r="X77" i="99" s="1"/>
  <c r="Y77" i="99" s="1"/>
  <c r="Z77" i="99" s="1"/>
  <c r="AA77" i="99" s="1"/>
  <c r="AB77" i="99" s="1"/>
  <c r="Y61" i="55"/>
  <c r="J10" i="55"/>
  <c r="I9" i="55"/>
  <c r="J11" i="55"/>
  <c r="K24" i="55"/>
  <c r="J22" i="55"/>
  <c r="K23" i="55" s="1"/>
  <c r="O83" i="95"/>
  <c r="O86" i="95"/>
  <c r="O81" i="95"/>
  <c r="O84" i="95"/>
  <c r="O87" i="95"/>
  <c r="O82" i="95"/>
  <c r="O85" i="95"/>
  <c r="O77" i="95"/>
  <c r="O97" i="95"/>
  <c r="O92" i="95"/>
  <c r="O95" i="95"/>
  <c r="O90" i="95"/>
  <c r="O88" i="95"/>
  <c r="O93" i="95"/>
  <c r="O91" i="95"/>
  <c r="O94" i="95"/>
  <c r="O63" i="95"/>
  <c r="O61" i="95"/>
  <c r="O79" i="95"/>
  <c r="O72" i="95"/>
  <c r="O78" i="95"/>
  <c r="O64" i="95"/>
  <c r="O62" i="95"/>
  <c r="O70" i="95"/>
  <c r="O66" i="95"/>
  <c r="O68" i="95"/>
  <c r="O69" i="95"/>
  <c r="O38" i="95" l="1"/>
  <c r="Y79" i="89"/>
  <c r="Y85" i="89"/>
  <c r="Y75" i="89"/>
  <c r="Y84" i="89"/>
  <c r="Y74" i="89"/>
  <c r="Y78" i="89"/>
  <c r="Y82" i="89"/>
  <c r="Y87" i="89"/>
  <c r="Y73" i="89"/>
  <c r="Y86" i="89"/>
  <c r="Y77" i="89"/>
  <c r="Y76" i="89"/>
  <c r="N55" i="99"/>
  <c r="H3" i="127"/>
  <c r="Z61" i="55"/>
  <c r="K11" i="55"/>
  <c r="K10" i="55"/>
  <c r="J9" i="55"/>
  <c r="L24" i="55"/>
  <c r="K22" i="55"/>
  <c r="L23" i="55" s="1"/>
  <c r="M24" i="55" s="1"/>
  <c r="P83" i="95"/>
  <c r="P85" i="95"/>
  <c r="P86" i="95"/>
  <c r="P81" i="95"/>
  <c r="P84" i="95"/>
  <c r="P87" i="95"/>
  <c r="P82" i="95"/>
  <c r="P77" i="95"/>
  <c r="P94" i="95"/>
  <c r="P97" i="95"/>
  <c r="P92" i="95"/>
  <c r="P95" i="95"/>
  <c r="P93" i="95"/>
  <c r="P90" i="95"/>
  <c r="P88" i="95"/>
  <c r="P91" i="95"/>
  <c r="P69" i="95"/>
  <c r="P62" i="95"/>
  <c r="P61" i="95"/>
  <c r="P78" i="95"/>
  <c r="P79" i="95"/>
  <c r="P72" i="95"/>
  <c r="P68" i="95"/>
  <c r="P66" i="95"/>
  <c r="P70" i="95"/>
  <c r="P63" i="95"/>
  <c r="P64" i="95"/>
  <c r="P38" i="95" l="1"/>
  <c r="Z77" i="89"/>
  <c r="Z73" i="89"/>
  <c r="Z86" i="89"/>
  <c r="Z76" i="89"/>
  <c r="Z75" i="89"/>
  <c r="Z79" i="89"/>
  <c r="Z84" i="89"/>
  <c r="Z87" i="89"/>
  <c r="Z74" i="89"/>
  <c r="Z85" i="89"/>
  <c r="Z82" i="89"/>
  <c r="Z78" i="89"/>
  <c r="O55" i="99"/>
  <c r="J3" i="127" s="1"/>
  <c r="I3" i="127"/>
  <c r="AA61" i="55"/>
  <c r="L10" i="55"/>
  <c r="K9" i="55"/>
  <c r="L11" i="55"/>
  <c r="M11" i="55" s="1"/>
  <c r="L22" i="55"/>
  <c r="M23" i="55" s="1"/>
  <c r="Q85" i="95"/>
  <c r="Q82" i="95"/>
  <c r="Q83" i="95"/>
  <c r="Q86" i="95"/>
  <c r="Q81" i="95"/>
  <c r="Q84" i="95"/>
  <c r="Q87" i="95"/>
  <c r="Q77" i="95"/>
  <c r="Q91" i="95"/>
  <c r="Q94" i="95"/>
  <c r="Q97" i="95"/>
  <c r="Q90" i="95"/>
  <c r="Q92" i="95"/>
  <c r="Q95" i="95"/>
  <c r="Q93" i="95"/>
  <c r="Q88" i="95"/>
  <c r="Q66" i="95"/>
  <c r="Q68" i="95"/>
  <c r="Q69" i="95"/>
  <c r="Q64" i="95"/>
  <c r="Q72" i="95"/>
  <c r="Q79" i="95"/>
  <c r="Q63" i="95"/>
  <c r="Q78" i="95"/>
  <c r="Q62" i="95"/>
  <c r="Q61" i="95"/>
  <c r="Q70" i="95"/>
  <c r="Q38" i="95" l="1"/>
  <c r="I77" i="99"/>
  <c r="J77" i="99" s="1"/>
  <c r="K77" i="99" s="1"/>
  <c r="L77" i="99" s="1"/>
  <c r="M77" i="99" s="1"/>
  <c r="I79" i="99"/>
  <c r="V79" i="99" s="1"/>
  <c r="I112" i="99"/>
  <c r="J112" i="99" s="1"/>
  <c r="I113" i="99"/>
  <c r="J113" i="99" s="1"/>
  <c r="I103" i="99"/>
  <c r="J103" i="99" s="1"/>
  <c r="AA86" i="89"/>
  <c r="AA77" i="89"/>
  <c r="AA76" i="89"/>
  <c r="AA73" i="89"/>
  <c r="AA85" i="89"/>
  <c r="AA82" i="89"/>
  <c r="AA84" i="89"/>
  <c r="AA79" i="89"/>
  <c r="AA74" i="89"/>
  <c r="AA75" i="89"/>
  <c r="AA78" i="89"/>
  <c r="AA87" i="89"/>
  <c r="AB61" i="55"/>
  <c r="M10" i="55"/>
  <c r="L9" i="55"/>
  <c r="N24" i="55"/>
  <c r="M22" i="55"/>
  <c r="N23" i="55" s="1"/>
  <c r="R82" i="95"/>
  <c r="R85" i="95"/>
  <c r="R83" i="95"/>
  <c r="R86" i="95"/>
  <c r="R81" i="95"/>
  <c r="R84" i="95"/>
  <c r="R87" i="95"/>
  <c r="R77" i="95"/>
  <c r="R88" i="95"/>
  <c r="R91" i="95"/>
  <c r="R94" i="95"/>
  <c r="R97" i="95"/>
  <c r="R95" i="95"/>
  <c r="R92" i="95"/>
  <c r="R90" i="95"/>
  <c r="R93" i="95"/>
  <c r="R69" i="95"/>
  <c r="R66" i="95"/>
  <c r="R64" i="95"/>
  <c r="R72" i="95"/>
  <c r="R63" i="95"/>
  <c r="R61" i="95"/>
  <c r="R62" i="95"/>
  <c r="R78" i="95"/>
  <c r="R79" i="95"/>
  <c r="R70" i="95"/>
  <c r="R68" i="95"/>
  <c r="R38" i="95" l="1"/>
  <c r="J79" i="99"/>
  <c r="W79" i="99" s="1"/>
  <c r="V112" i="99"/>
  <c r="V113" i="99"/>
  <c r="V103" i="99"/>
  <c r="AB73" i="89"/>
  <c r="AB85" i="89"/>
  <c r="AB82" i="89"/>
  <c r="AB79" i="89"/>
  <c r="AB77" i="89"/>
  <c r="AB76" i="89"/>
  <c r="AB87" i="89"/>
  <c r="AB86" i="89"/>
  <c r="AB74" i="89"/>
  <c r="AB84" i="89"/>
  <c r="AB78" i="89"/>
  <c r="AB75" i="89"/>
  <c r="W103" i="99"/>
  <c r="K103" i="99"/>
  <c r="W113" i="99"/>
  <c r="K113" i="99"/>
  <c r="K112" i="99"/>
  <c r="W112" i="99"/>
  <c r="N77" i="99"/>
  <c r="O24" i="55"/>
  <c r="N11" i="55"/>
  <c r="N10" i="55"/>
  <c r="M9" i="55"/>
  <c r="N22" i="55"/>
  <c r="O23" i="55" s="1"/>
  <c r="S87" i="95"/>
  <c r="S82" i="95"/>
  <c r="S38" i="95" s="1"/>
  <c r="S85" i="95"/>
  <c r="S83" i="95"/>
  <c r="S86" i="95"/>
  <c r="S81" i="95"/>
  <c r="S84" i="95"/>
  <c r="S77" i="95"/>
  <c r="S93" i="95"/>
  <c r="S88" i="95"/>
  <c r="S91" i="95"/>
  <c r="S94" i="95"/>
  <c r="S92" i="95"/>
  <c r="S97" i="95"/>
  <c r="S95" i="95"/>
  <c r="S90" i="95"/>
  <c r="S69" i="95"/>
  <c r="S79" i="95"/>
  <c r="S64" i="95"/>
  <c r="S62" i="95"/>
  <c r="S63" i="95"/>
  <c r="S78" i="95"/>
  <c r="S61" i="95"/>
  <c r="S70" i="95"/>
  <c r="S66" i="95"/>
  <c r="S68" i="95"/>
  <c r="S72" i="95"/>
  <c r="K79" i="99" l="1"/>
  <c r="L79" i="99" s="1"/>
  <c r="X113" i="99"/>
  <c r="L113" i="99"/>
  <c r="X103" i="99"/>
  <c r="L103" i="99"/>
  <c r="L112" i="99"/>
  <c r="X112" i="99"/>
  <c r="O77" i="99"/>
  <c r="O11" i="55"/>
  <c r="O10" i="55"/>
  <c r="N9" i="55"/>
  <c r="P24" i="55"/>
  <c r="O22" i="55"/>
  <c r="P23" i="55" s="1"/>
  <c r="T79" i="95"/>
  <c r="T84" i="95"/>
  <c r="T87" i="95"/>
  <c r="T82" i="95"/>
  <c r="T38" i="95" s="1"/>
  <c r="T81" i="95"/>
  <c r="T85" i="95"/>
  <c r="T83" i="95"/>
  <c r="T86" i="95"/>
  <c r="T64" i="95"/>
  <c r="T61" i="95"/>
  <c r="T63" i="95"/>
  <c r="T70" i="95"/>
  <c r="T69" i="95"/>
  <c r="U70" i="95"/>
  <c r="T78" i="95"/>
  <c r="T62" i="95"/>
  <c r="T72" i="95"/>
  <c r="T68" i="95"/>
  <c r="T77" i="95"/>
  <c r="T90" i="95"/>
  <c r="T93" i="95"/>
  <c r="T88" i="95"/>
  <c r="T97" i="95"/>
  <c r="T91" i="95"/>
  <c r="T94" i="95"/>
  <c r="T92" i="95"/>
  <c r="T95" i="95"/>
  <c r="T66" i="95"/>
  <c r="X79" i="99" l="1"/>
  <c r="U72" i="95"/>
  <c r="Y113" i="99"/>
  <c r="M113" i="99"/>
  <c r="M112" i="99"/>
  <c r="Y112" i="99"/>
  <c r="Y103" i="99"/>
  <c r="M103" i="99"/>
  <c r="M79" i="99"/>
  <c r="Y79" i="99"/>
  <c r="Y16" i="55"/>
  <c r="P77" i="99"/>
  <c r="Q77" i="99" s="1"/>
  <c r="R77" i="99" s="1"/>
  <c r="S77" i="99" s="1"/>
  <c r="T77" i="99" s="1"/>
  <c r="P11" i="55"/>
  <c r="O9" i="55"/>
  <c r="P10" i="55"/>
  <c r="Q24" i="55"/>
  <c r="P22" i="55"/>
  <c r="Q23" i="55" s="1"/>
  <c r="U64" i="95"/>
  <c r="U81" i="95"/>
  <c r="U84" i="95"/>
  <c r="U87" i="95"/>
  <c r="U82" i="95"/>
  <c r="U38" i="95" s="1"/>
  <c r="U85" i="95"/>
  <c r="U86" i="95"/>
  <c r="U83" i="95"/>
  <c r="U69" i="95"/>
  <c r="U79" i="95"/>
  <c r="U63" i="95"/>
  <c r="U77" i="95"/>
  <c r="U95" i="95"/>
  <c r="U90" i="95"/>
  <c r="U93" i="95"/>
  <c r="U88" i="95"/>
  <c r="U94" i="95"/>
  <c r="U91" i="95"/>
  <c r="U97" i="95"/>
  <c r="U92" i="95"/>
  <c r="U61" i="95"/>
  <c r="U62" i="95"/>
  <c r="U66" i="95"/>
  <c r="U68" i="95"/>
  <c r="U78" i="95"/>
  <c r="V91" i="95" l="1"/>
  <c r="V84" i="95"/>
  <c r="V79" i="95"/>
  <c r="V78" i="95"/>
  <c r="V66" i="95"/>
  <c r="V97" i="95"/>
  <c r="V83" i="95"/>
  <c r="V77" i="95"/>
  <c r="V64" i="95"/>
  <c r="V95" i="95"/>
  <c r="V90" i="95"/>
  <c r="V72" i="95"/>
  <c r="V63" i="95"/>
  <c r="V85" i="95"/>
  <c r="V94" i="95"/>
  <c r="V88" i="95"/>
  <c r="V70" i="95"/>
  <c r="V62" i="95"/>
  <c r="V81" i="95"/>
  <c r="V93" i="95"/>
  <c r="V87" i="95"/>
  <c r="V82" i="95"/>
  <c r="V38" i="95" s="1"/>
  <c r="V69" i="95"/>
  <c r="V61" i="95"/>
  <c r="V92" i="95"/>
  <c r="V86" i="95"/>
  <c r="V68" i="95"/>
  <c r="Z103" i="99"/>
  <c r="N103" i="99"/>
  <c r="N79" i="99"/>
  <c r="Z79" i="99"/>
  <c r="N112" i="99"/>
  <c r="Z112" i="99"/>
  <c r="Z113" i="99"/>
  <c r="N113" i="99"/>
  <c r="Z16" i="55"/>
  <c r="Q11" i="55"/>
  <c r="Q10" i="55"/>
  <c r="P9" i="55"/>
  <c r="R24" i="55"/>
  <c r="Q22" i="55"/>
  <c r="R23" i="55" s="1"/>
  <c r="W66" i="95" l="1"/>
  <c r="W97" i="95"/>
  <c r="W90" i="95"/>
  <c r="W82" i="95"/>
  <c r="W38" i="95" s="1"/>
  <c r="W81" i="95"/>
  <c r="W93" i="95"/>
  <c r="W70" i="95"/>
  <c r="W64" i="95"/>
  <c r="W85" i="95"/>
  <c r="W62" i="95"/>
  <c r="W91" i="95"/>
  <c r="W77" i="95"/>
  <c r="W95" i="95"/>
  <c r="W83" i="95"/>
  <c r="W69" i="95"/>
  <c r="W87" i="95"/>
  <c r="W92" i="95"/>
  <c r="W61" i="95"/>
  <c r="W79" i="95"/>
  <c r="W84" i="95"/>
  <c r="W78" i="95"/>
  <c r="W94" i="95"/>
  <c r="W63" i="95"/>
  <c r="W68" i="95"/>
  <c r="W86" i="95"/>
  <c r="W88" i="95"/>
  <c r="W72" i="95"/>
  <c r="AA113" i="99"/>
  <c r="O113" i="99"/>
  <c r="O79" i="99"/>
  <c r="AA79" i="99"/>
  <c r="AA112" i="99"/>
  <c r="O112" i="99"/>
  <c r="AA103" i="99"/>
  <c r="O103" i="99"/>
  <c r="AB16" i="55"/>
  <c r="AA16" i="55"/>
  <c r="R11" i="55"/>
  <c r="Q9" i="55"/>
  <c r="R10" i="55"/>
  <c r="S24" i="55"/>
  <c r="R22" i="55"/>
  <c r="S23" i="55" s="1"/>
  <c r="T24" i="55" s="1"/>
  <c r="X90" i="95" l="1"/>
  <c r="X83" i="95"/>
  <c r="X66" i="95"/>
  <c r="X82" i="95"/>
  <c r="X38" i="95" s="1"/>
  <c r="X91" i="95"/>
  <c r="X78" i="95"/>
  <c r="X72" i="95"/>
  <c r="X93" i="95"/>
  <c r="X86" i="95"/>
  <c r="X70" i="95"/>
  <c r="X64" i="95"/>
  <c r="X85" i="95"/>
  <c r="X88" i="95"/>
  <c r="X62" i="95"/>
  <c r="X77" i="95"/>
  <c r="X95" i="95"/>
  <c r="X97" i="95"/>
  <c r="X69" i="95"/>
  <c r="X68" i="95"/>
  <c r="X87" i="95"/>
  <c r="X81" i="95"/>
  <c r="X61" i="95"/>
  <c r="X79" i="95"/>
  <c r="X92" i="95"/>
  <c r="X94" i="95"/>
  <c r="X63" i="95"/>
  <c r="X84" i="95"/>
  <c r="AB112" i="99"/>
  <c r="P112" i="99"/>
  <c r="Q112" i="99" s="1"/>
  <c r="R112" i="99" s="1"/>
  <c r="S112" i="99" s="1"/>
  <c r="T112" i="99" s="1"/>
  <c r="AB113" i="99"/>
  <c r="P113" i="99"/>
  <c r="Q113" i="99" s="1"/>
  <c r="R113" i="99" s="1"/>
  <c r="S113" i="99" s="1"/>
  <c r="T113" i="99" s="1"/>
  <c r="AB79" i="99"/>
  <c r="P79" i="99"/>
  <c r="Q79" i="99" s="1"/>
  <c r="R79" i="99" s="1"/>
  <c r="S79" i="99" s="1"/>
  <c r="T79" i="99" s="1"/>
  <c r="AB103" i="99"/>
  <c r="P103" i="99"/>
  <c r="Q103" i="99" s="1"/>
  <c r="R103" i="99" s="1"/>
  <c r="S103" i="99" s="1"/>
  <c r="T103" i="99" s="1"/>
  <c r="S22" i="55"/>
  <c r="T23" i="55" s="1"/>
  <c r="S11" i="55"/>
  <c r="T11" i="55" s="1"/>
  <c r="S10" i="55"/>
  <c r="R9" i="55"/>
  <c r="T22" i="55"/>
  <c r="U23" i="55" s="1"/>
  <c r="U24" i="55"/>
  <c r="Y64" i="95" l="1"/>
  <c r="Y85" i="95"/>
  <c r="Y62" i="95"/>
  <c r="Y77" i="95"/>
  <c r="Y91" i="95"/>
  <c r="Y93" i="95"/>
  <c r="Y95" i="95"/>
  <c r="Y97" i="95"/>
  <c r="Y69" i="95"/>
  <c r="Y84" i="95"/>
  <c r="Y87" i="95"/>
  <c r="Y81" i="95"/>
  <c r="Y61" i="95"/>
  <c r="Y68" i="95"/>
  <c r="Y66" i="95"/>
  <c r="Y72" i="95"/>
  <c r="Y79" i="95"/>
  <c r="Y90" i="95"/>
  <c r="Y94" i="95"/>
  <c r="Y83" i="95"/>
  <c r="Y88" i="95"/>
  <c r="Y63" i="95"/>
  <c r="Y82" i="95"/>
  <c r="Y38" i="95" s="1"/>
  <c r="Y86" i="95"/>
  <c r="Y92" i="95"/>
  <c r="Y78" i="95"/>
  <c r="Y70" i="95"/>
  <c r="U11" i="55"/>
  <c r="V11" i="55" s="1"/>
  <c r="W11" i="55" s="1"/>
  <c r="X11" i="55" s="1"/>
  <c r="Y11" i="55" s="1"/>
  <c r="Z11" i="55" s="1"/>
  <c r="AA11" i="55" s="1"/>
  <c r="AB11" i="55" s="1"/>
  <c r="T10" i="55"/>
  <c r="S9" i="55"/>
  <c r="U22" i="55"/>
  <c r="Z64" i="95" l="1"/>
  <c r="Z83" i="95"/>
  <c r="Z79" i="95"/>
  <c r="Z77" i="95"/>
  <c r="Z68" i="95"/>
  <c r="Z94" i="95"/>
  <c r="Z63" i="95"/>
  <c r="Z61" i="95"/>
  <c r="Z66" i="95"/>
  <c r="Z87" i="95"/>
  <c r="Z97" i="95"/>
  <c r="Z86" i="95"/>
  <c r="Z85" i="95"/>
  <c r="Z95" i="95"/>
  <c r="Z81" i="95"/>
  <c r="Z78" i="95"/>
  <c r="Z69" i="95"/>
  <c r="Z92" i="95"/>
  <c r="Z90" i="95"/>
  <c r="Z70" i="95"/>
  <c r="Z93" i="95"/>
  <c r="Z88" i="95"/>
  <c r="Z91" i="95"/>
  <c r="Z82" i="95"/>
  <c r="Z38" i="95" s="1"/>
  <c r="Z62" i="95"/>
  <c r="Z84" i="95"/>
  <c r="Z72" i="95"/>
  <c r="U10" i="55"/>
  <c r="T9" i="55"/>
  <c r="AA82" i="95" l="1"/>
  <c r="AA38" i="95" s="1"/>
  <c r="AA87" i="95"/>
  <c r="AA62" i="95"/>
  <c r="AA68" i="95"/>
  <c r="AA78" i="95"/>
  <c r="AA66" i="95"/>
  <c r="AA79" i="95"/>
  <c r="AA86" i="95"/>
  <c r="AA85" i="95"/>
  <c r="AA91" i="95"/>
  <c r="AA63" i="95"/>
  <c r="AA93" i="95"/>
  <c r="AA94" i="95"/>
  <c r="AA95" i="95"/>
  <c r="AA83" i="95"/>
  <c r="AA88" i="95"/>
  <c r="AA77" i="95"/>
  <c r="AA92" i="95"/>
  <c r="AA72" i="95"/>
  <c r="AA61" i="95"/>
  <c r="AA90" i="95"/>
  <c r="AA97" i="95"/>
  <c r="AA84" i="95"/>
  <c r="AA64" i="95"/>
  <c r="AA70" i="95"/>
  <c r="AA81" i="95"/>
  <c r="AA69" i="95"/>
  <c r="U9" i="55"/>
  <c r="V10" i="55"/>
  <c r="J31" i="4"/>
  <c r="K31" i="4"/>
  <c r="I31" i="4"/>
  <c r="C35" i="89"/>
  <c r="D35" i="89"/>
  <c r="E35" i="89"/>
  <c r="F35" i="89"/>
  <c r="K36" i="89"/>
  <c r="L36" i="89" s="1"/>
  <c r="M36" i="89" s="1"/>
  <c r="N36" i="89" s="1"/>
  <c r="O36" i="89" s="1"/>
  <c r="P36" i="89" s="1"/>
  <c r="Q36" i="89" s="1"/>
  <c r="R36" i="89" s="1"/>
  <c r="S36" i="89" s="1"/>
  <c r="T36" i="89" s="1"/>
  <c r="U36" i="89" s="1"/>
  <c r="K30" i="89"/>
  <c r="L30" i="89" s="1"/>
  <c r="M30" i="89" s="1"/>
  <c r="N30" i="89" s="1"/>
  <c r="O30" i="89" s="1"/>
  <c r="P30" i="89" s="1"/>
  <c r="Q30" i="89" s="1"/>
  <c r="R30" i="89" s="1"/>
  <c r="K33" i="89"/>
  <c r="K34" i="89"/>
  <c r="K32" i="89"/>
  <c r="F54" i="89"/>
  <c r="G54" i="89"/>
  <c r="F55" i="89"/>
  <c r="G48" i="73" s="1"/>
  <c r="G55" i="89"/>
  <c r="H48" i="73" s="1"/>
  <c r="F50" i="89"/>
  <c r="G13" i="81" s="1"/>
  <c r="G14" i="81" s="1"/>
  <c r="G50" i="89"/>
  <c r="E50" i="89"/>
  <c r="F13" i="81" s="1"/>
  <c r="F14" i="81" s="1"/>
  <c r="E55" i="89"/>
  <c r="F48" i="73" s="1"/>
  <c r="E54" i="89"/>
  <c r="H27" i="4"/>
  <c r="H50" i="4"/>
  <c r="D10" i="94"/>
  <c r="E10" i="94" s="1"/>
  <c r="F10" i="94" s="1"/>
  <c r="G10" i="94" s="1"/>
  <c r="H10" i="94" s="1"/>
  <c r="I10" i="94" s="1"/>
  <c r="J10" i="94" s="1"/>
  <c r="K9" i="94"/>
  <c r="K34" i="94" s="1"/>
  <c r="AB83" i="95" l="1"/>
  <c r="AB61" i="95"/>
  <c r="AB62" i="95"/>
  <c r="AB93" i="95"/>
  <c r="AB94" i="95"/>
  <c r="AB91" i="95"/>
  <c r="AB92" i="95"/>
  <c r="AB88" i="95"/>
  <c r="AB86" i="95"/>
  <c r="AB84" i="95"/>
  <c r="AB72" i="95"/>
  <c r="AB87" i="95"/>
  <c r="AB64" i="95"/>
  <c r="AB70" i="95"/>
  <c r="AB97" i="95"/>
  <c r="AB66" i="95"/>
  <c r="AB69" i="95"/>
  <c r="AB68" i="95"/>
  <c r="AB90" i="95"/>
  <c r="AB95" i="95"/>
  <c r="AB77" i="95"/>
  <c r="AB78" i="95"/>
  <c r="AB82" i="95"/>
  <c r="AB38" i="95" s="1"/>
  <c r="AB85" i="95"/>
  <c r="AB81" i="95"/>
  <c r="AB79" i="95"/>
  <c r="AB63" i="95"/>
  <c r="K44" i="94"/>
  <c r="K35" i="94"/>
  <c r="V9" i="55"/>
  <c r="W10" i="55"/>
  <c r="K10" i="94"/>
  <c r="L9" i="94"/>
  <c r="K20" i="94"/>
  <c r="F107" i="123"/>
  <c r="H32" i="105"/>
  <c r="H25" i="105"/>
  <c r="H24" i="105" s="1"/>
  <c r="G25" i="102" s="1"/>
  <c r="H37" i="105"/>
  <c r="H20" i="4"/>
  <c r="H18" i="4"/>
  <c r="H18" i="105"/>
  <c r="H35" i="4"/>
  <c r="H36" i="105"/>
  <c r="H36" i="4"/>
  <c r="H41" i="4"/>
  <c r="H42" i="105"/>
  <c r="H22" i="4"/>
  <c r="H22" i="105"/>
  <c r="H32" i="4"/>
  <c r="H14" i="4"/>
  <c r="H14" i="105"/>
  <c r="H34" i="4"/>
  <c r="H34" i="105"/>
  <c r="H12" i="4"/>
  <c r="H12" i="105"/>
  <c r="H42" i="4"/>
  <c r="H43" i="105"/>
  <c r="H25" i="4"/>
  <c r="H24" i="4" s="1"/>
  <c r="H15" i="4"/>
  <c r="H15" i="105"/>
  <c r="H6" i="4"/>
  <c r="H6" i="105"/>
  <c r="H45" i="4"/>
  <c r="H44" i="4" s="1"/>
  <c r="H46" i="105"/>
  <c r="H45" i="105" s="1"/>
  <c r="G21" i="102" s="1"/>
  <c r="H23" i="4"/>
  <c r="H23" i="105"/>
  <c r="G9" i="102" s="1"/>
  <c r="H20" i="105"/>
  <c r="H7" i="4"/>
  <c r="H7" i="105"/>
  <c r="H31" i="4"/>
  <c r="H31" i="105"/>
  <c r="H10" i="4"/>
  <c r="H9" i="4" s="1"/>
  <c r="F67" i="123" s="1"/>
  <c r="H10" i="105"/>
  <c r="H48" i="4"/>
  <c r="H53" i="4" s="1"/>
  <c r="H49" i="105"/>
  <c r="H54" i="105" s="1"/>
  <c r="L32" i="89"/>
  <c r="K73" i="4"/>
  <c r="L34" i="89"/>
  <c r="K75" i="4"/>
  <c r="L33" i="89"/>
  <c r="K74" i="4"/>
  <c r="S30" i="89"/>
  <c r="S31" i="4"/>
  <c r="R31" i="4"/>
  <c r="P31" i="4"/>
  <c r="O31" i="4"/>
  <c r="Q31" i="4"/>
  <c r="N31" i="4"/>
  <c r="M31" i="4"/>
  <c r="L31" i="4"/>
  <c r="H25" i="73" l="1"/>
  <c r="K45" i="94"/>
  <c r="K43" i="94" s="1"/>
  <c r="K54" i="94"/>
  <c r="K55" i="94" s="1"/>
  <c r="L20" i="94"/>
  <c r="L34" i="94"/>
  <c r="L44" i="94" s="1"/>
  <c r="L54" i="94" s="1"/>
  <c r="K33" i="94"/>
  <c r="K32" i="94"/>
  <c r="K42" i="94"/>
  <c r="H30" i="105"/>
  <c r="X10" i="55"/>
  <c r="W9" i="55"/>
  <c r="L10" i="94"/>
  <c r="H33" i="4"/>
  <c r="H33" i="105"/>
  <c r="K21" i="94"/>
  <c r="G11" i="102"/>
  <c r="D25" i="46"/>
  <c r="D26" i="46" s="1"/>
  <c r="H17" i="4"/>
  <c r="H30" i="4"/>
  <c r="H8" i="4"/>
  <c r="H19" i="103"/>
  <c r="H18" i="103" s="1"/>
  <c r="H68" i="103"/>
  <c r="I68" i="103" s="1"/>
  <c r="J68" i="103" s="1"/>
  <c r="K68" i="103" s="1"/>
  <c r="L68" i="103" s="1"/>
  <c r="M68" i="103" s="1"/>
  <c r="N68" i="103" s="1"/>
  <c r="O68" i="103" s="1"/>
  <c r="P68" i="103" s="1"/>
  <c r="Q68" i="103" s="1"/>
  <c r="R68" i="103" s="1"/>
  <c r="S68" i="103" s="1"/>
  <c r="T68" i="103" s="1"/>
  <c r="U68" i="103" s="1"/>
  <c r="V68" i="103" s="1"/>
  <c r="W68" i="103" s="1"/>
  <c r="X68" i="103" s="1"/>
  <c r="Y68" i="103" s="1"/>
  <c r="Z68" i="103" s="1"/>
  <c r="AA68" i="103" s="1"/>
  <c r="AB68" i="103" s="1"/>
  <c r="AC68" i="103" s="1"/>
  <c r="H77" i="103"/>
  <c r="I77" i="103" s="1"/>
  <c r="J77" i="103" s="1"/>
  <c r="K77" i="103" s="1"/>
  <c r="L77" i="103" s="1"/>
  <c r="M77" i="103" s="1"/>
  <c r="N77" i="103" s="1"/>
  <c r="O77" i="103" s="1"/>
  <c r="P77" i="103" s="1"/>
  <c r="Q77" i="103" s="1"/>
  <c r="R77" i="103" s="1"/>
  <c r="S77" i="103" s="1"/>
  <c r="T77" i="103" s="1"/>
  <c r="U77" i="103" s="1"/>
  <c r="V77" i="103" s="1"/>
  <c r="W77" i="103" s="1"/>
  <c r="X77" i="103" s="1"/>
  <c r="Y77" i="103" s="1"/>
  <c r="Z77" i="103" s="1"/>
  <c r="AA77" i="103" s="1"/>
  <c r="AB77" i="103" s="1"/>
  <c r="AC77" i="103" s="1"/>
  <c r="H85" i="103"/>
  <c r="I85" i="103" s="1"/>
  <c r="J85" i="103" s="1"/>
  <c r="K85" i="103" s="1"/>
  <c r="L85" i="103" s="1"/>
  <c r="M85" i="103" s="1"/>
  <c r="N85" i="103" s="1"/>
  <c r="O85" i="103" s="1"/>
  <c r="P85" i="103" s="1"/>
  <c r="Q85" i="103" s="1"/>
  <c r="R85" i="103" s="1"/>
  <c r="S85" i="103" s="1"/>
  <c r="T85" i="103" s="1"/>
  <c r="U85" i="103" s="1"/>
  <c r="V85" i="103" s="1"/>
  <c r="W85" i="103" s="1"/>
  <c r="X85" i="103" s="1"/>
  <c r="Y85" i="103" s="1"/>
  <c r="Z85" i="103" s="1"/>
  <c r="AA85" i="103" s="1"/>
  <c r="AB85" i="103" s="1"/>
  <c r="AC85" i="103" s="1"/>
  <c r="H24" i="103"/>
  <c r="H23" i="103" s="1"/>
  <c r="G17" i="102" s="1"/>
  <c r="H38" i="103"/>
  <c r="I38" i="103" s="1"/>
  <c r="J38" i="103" s="1"/>
  <c r="K38" i="103" s="1"/>
  <c r="L38" i="103" s="1"/>
  <c r="M38" i="103" s="1"/>
  <c r="N38" i="103" s="1"/>
  <c r="O38" i="103" s="1"/>
  <c r="P38" i="103" s="1"/>
  <c r="Q38" i="103" s="1"/>
  <c r="R38" i="103" s="1"/>
  <c r="S38" i="103" s="1"/>
  <c r="T38" i="103" s="1"/>
  <c r="U38" i="103" s="1"/>
  <c r="V38" i="103" s="1"/>
  <c r="W38" i="103" s="1"/>
  <c r="X38" i="103" s="1"/>
  <c r="Y38" i="103" s="1"/>
  <c r="Z38" i="103" s="1"/>
  <c r="AA38" i="103" s="1"/>
  <c r="AB38" i="103" s="1"/>
  <c r="AC38" i="103" s="1"/>
  <c r="H72" i="103"/>
  <c r="G49" i="97" s="1"/>
  <c r="H67" i="103"/>
  <c r="F108" i="123"/>
  <c r="H58" i="103"/>
  <c r="G30" i="102" s="1"/>
  <c r="G28" i="102" s="1"/>
  <c r="H35" i="103"/>
  <c r="I35" i="103" s="1"/>
  <c r="H43" i="103"/>
  <c r="I43" i="103" s="1"/>
  <c r="H15" i="103"/>
  <c r="G8" i="97" s="1"/>
  <c r="G5" i="97" s="1"/>
  <c r="H64" i="103"/>
  <c r="I64" i="103" s="1"/>
  <c r="J64" i="103" s="1"/>
  <c r="K64" i="103" s="1"/>
  <c r="L64" i="103" s="1"/>
  <c r="M64" i="103" s="1"/>
  <c r="N64" i="103" s="1"/>
  <c r="O64" i="103" s="1"/>
  <c r="P64" i="103" s="1"/>
  <c r="Q64" i="103" s="1"/>
  <c r="R64" i="103" s="1"/>
  <c r="S64" i="103" s="1"/>
  <c r="T64" i="103" s="1"/>
  <c r="U64" i="103" s="1"/>
  <c r="V64" i="103" s="1"/>
  <c r="W64" i="103" s="1"/>
  <c r="X64" i="103" s="1"/>
  <c r="Y64" i="103" s="1"/>
  <c r="Z64" i="103" s="1"/>
  <c r="AA64" i="103" s="1"/>
  <c r="AB64" i="103" s="1"/>
  <c r="AC64" i="103" s="1"/>
  <c r="H81" i="103"/>
  <c r="G55" i="97" s="1"/>
  <c r="H55" i="97" s="1"/>
  <c r="I55" i="97" s="1"/>
  <c r="H41" i="103"/>
  <c r="D36" i="46" s="1"/>
  <c r="H34" i="103"/>
  <c r="G47" i="97" s="1"/>
  <c r="H9" i="103"/>
  <c r="I9" i="103" s="1"/>
  <c r="H25" i="100"/>
  <c r="H27" i="100" s="1"/>
  <c r="H76" i="103"/>
  <c r="H16" i="103"/>
  <c r="H44" i="103"/>
  <c r="I44" i="103" s="1"/>
  <c r="J44" i="103" s="1"/>
  <c r="K44" i="103" s="1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W44" i="103" s="1"/>
  <c r="X44" i="103" s="1"/>
  <c r="Y44" i="103" s="1"/>
  <c r="Z44" i="103" s="1"/>
  <c r="AA44" i="103" s="1"/>
  <c r="AB44" i="103" s="1"/>
  <c r="AC44" i="103" s="1"/>
  <c r="H62" i="103"/>
  <c r="H14" i="103"/>
  <c r="I14" i="103" s="1"/>
  <c r="J14" i="103" s="1"/>
  <c r="K14" i="103" s="1"/>
  <c r="L14" i="103" s="1"/>
  <c r="M14" i="103" s="1"/>
  <c r="H59" i="103"/>
  <c r="G7" i="102" s="1"/>
  <c r="F97" i="123"/>
  <c r="H84" i="103"/>
  <c r="I84" i="103" s="1"/>
  <c r="H44" i="105"/>
  <c r="G20" i="102"/>
  <c r="H9" i="105"/>
  <c r="F47" i="123" s="1"/>
  <c r="H43" i="4"/>
  <c r="G54" i="97"/>
  <c r="H54" i="97" s="1"/>
  <c r="H13" i="105"/>
  <c r="I62" i="103"/>
  <c r="H75" i="103"/>
  <c r="H8" i="105"/>
  <c r="D25" i="106"/>
  <c r="D26" i="106" s="1"/>
  <c r="G19" i="102"/>
  <c r="G13" i="102"/>
  <c r="H13" i="4"/>
  <c r="H16" i="4" s="1"/>
  <c r="H17" i="105"/>
  <c r="D28" i="46" s="1"/>
  <c r="G50" i="97"/>
  <c r="K7" i="94"/>
  <c r="M32" i="89"/>
  <c r="L73" i="4"/>
  <c r="T30" i="89"/>
  <c r="T31" i="4"/>
  <c r="M33" i="89"/>
  <c r="L74" i="4"/>
  <c r="M34" i="89"/>
  <c r="L75" i="4"/>
  <c r="H3" i="77"/>
  <c r="G29" i="89"/>
  <c r="H72" i="4" s="1"/>
  <c r="J909" i="88"/>
  <c r="C34" i="89"/>
  <c r="D75" i="4" s="1"/>
  <c r="C33" i="89"/>
  <c r="D74" i="4" s="1"/>
  <c r="C32" i="89"/>
  <c r="D73" i="4" s="1"/>
  <c r="C31" i="89"/>
  <c r="C30" i="89"/>
  <c r="C29" i="89"/>
  <c r="D72" i="4" s="1"/>
  <c r="D29" i="89"/>
  <c r="E72" i="4" s="1"/>
  <c r="E29" i="89"/>
  <c r="F72" i="4" s="1"/>
  <c r="F29" i="89"/>
  <c r="G72" i="4" s="1"/>
  <c r="D30" i="89"/>
  <c r="E30" i="89"/>
  <c r="F30" i="89"/>
  <c r="D31" i="89"/>
  <c r="E31" i="89"/>
  <c r="F31" i="89"/>
  <c r="D32" i="89"/>
  <c r="E73" i="4" s="1"/>
  <c r="E32" i="89"/>
  <c r="F73" i="4" s="1"/>
  <c r="F32" i="89"/>
  <c r="G73" i="4" s="1"/>
  <c r="D33" i="89"/>
  <c r="E74" i="4" s="1"/>
  <c r="E33" i="89"/>
  <c r="F74" i="4" s="1"/>
  <c r="F33" i="89"/>
  <c r="G74" i="4" s="1"/>
  <c r="D34" i="89"/>
  <c r="E75" i="4" s="1"/>
  <c r="E34" i="89"/>
  <c r="F75" i="4" s="1"/>
  <c r="F34" i="89"/>
  <c r="G75" i="4" s="1"/>
  <c r="H897" i="88"/>
  <c r="H860" i="88"/>
  <c r="H861" i="88"/>
  <c r="H841" i="88"/>
  <c r="H324" i="88"/>
  <c r="H316" i="88"/>
  <c r="H114" i="88"/>
  <c r="H115" i="88"/>
  <c r="H104" i="88"/>
  <c r="H93" i="88"/>
  <c r="H94" i="88"/>
  <c r="H95" i="88"/>
  <c r="H96" i="88"/>
  <c r="H91" i="88"/>
  <c r="H92" i="88"/>
  <c r="H48" i="88"/>
  <c r="H49" i="88"/>
  <c r="H50" i="88"/>
  <c r="E3" i="90"/>
  <c r="E4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9" i="90"/>
  <c r="E20" i="90"/>
  <c r="E21" i="90"/>
  <c r="E22" i="90"/>
  <c r="E23" i="90"/>
  <c r="E24" i="90"/>
  <c r="E26" i="90"/>
  <c r="E27" i="90"/>
  <c r="E28" i="90"/>
  <c r="E29" i="90"/>
  <c r="E30" i="90"/>
  <c r="E31" i="90"/>
  <c r="E32" i="90"/>
  <c r="E33" i="90"/>
  <c r="E35" i="90"/>
  <c r="E36" i="90"/>
  <c r="E37" i="90"/>
  <c r="E39" i="90"/>
  <c r="E40" i="90"/>
  <c r="E41" i="90"/>
  <c r="E43" i="90"/>
  <c r="E44" i="90"/>
  <c r="E45" i="90"/>
  <c r="E46" i="90"/>
  <c r="E47" i="90"/>
  <c r="E48" i="90"/>
  <c r="E49" i="90"/>
  <c r="E50" i="90"/>
  <c r="E51" i="90"/>
  <c r="E52" i="90"/>
  <c r="E53" i="90"/>
  <c r="E55" i="90"/>
  <c r="E56" i="90"/>
  <c r="E57" i="90"/>
  <c r="E59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E104" i="90"/>
  <c r="E105" i="90"/>
  <c r="E106" i="90"/>
  <c r="E107" i="90"/>
  <c r="E109" i="90"/>
  <c r="E110" i="90"/>
  <c r="E111" i="90"/>
  <c r="E112" i="90"/>
  <c r="E114" i="90"/>
  <c r="E117" i="90"/>
  <c r="E118" i="90"/>
  <c r="E119" i="90"/>
  <c r="E120" i="90"/>
  <c r="E121" i="90"/>
  <c r="E122" i="90"/>
  <c r="E123" i="90"/>
  <c r="E124" i="90"/>
  <c r="E125" i="90"/>
  <c r="E126" i="90"/>
  <c r="E127" i="90"/>
  <c r="E128" i="90"/>
  <c r="E129" i="90"/>
  <c r="E130" i="90"/>
  <c r="E131" i="90"/>
  <c r="E133" i="90"/>
  <c r="E134" i="90"/>
  <c r="E135" i="90"/>
  <c r="E136" i="90"/>
  <c r="E137" i="90"/>
  <c r="E138" i="90"/>
  <c r="E139" i="90"/>
  <c r="E140" i="90"/>
  <c r="E141" i="90"/>
  <c r="E142" i="90"/>
  <c r="E143" i="90"/>
  <c r="E145" i="90"/>
  <c r="E146" i="90"/>
  <c r="E147" i="90"/>
  <c r="E148" i="90"/>
  <c r="E149" i="90"/>
  <c r="E150" i="90"/>
  <c r="E151" i="90"/>
  <c r="E152" i="90"/>
  <c r="E153" i="90"/>
  <c r="E154" i="90"/>
  <c r="E155" i="90"/>
  <c r="E157" i="90"/>
  <c r="E158" i="90"/>
  <c r="E159" i="90"/>
  <c r="E161" i="90"/>
  <c r="E164" i="90"/>
  <c r="E165" i="90"/>
  <c r="E166" i="90"/>
  <c r="E167" i="90"/>
  <c r="E168" i="90"/>
  <c r="E169" i="90"/>
  <c r="E170" i="90"/>
  <c r="E171" i="90"/>
  <c r="E172" i="90"/>
  <c r="E173" i="90"/>
  <c r="E174" i="90"/>
  <c r="E175" i="90"/>
  <c r="E176" i="90"/>
  <c r="E177" i="90"/>
  <c r="E178" i="90"/>
  <c r="E179" i="90"/>
  <c r="E180" i="90"/>
  <c r="E181" i="90"/>
  <c r="E182" i="90"/>
  <c r="E183" i="90"/>
  <c r="E184" i="90"/>
  <c r="E185" i="90"/>
  <c r="E187" i="90"/>
  <c r="E188" i="90"/>
  <c r="E189" i="90"/>
  <c r="E190" i="90"/>
  <c r="E191" i="90"/>
  <c r="E192" i="90"/>
  <c r="E193" i="90"/>
  <c r="E194" i="90"/>
  <c r="E195" i="90"/>
  <c r="E196" i="90"/>
  <c r="E197" i="90"/>
  <c r="E198" i="90"/>
  <c r="E199" i="90"/>
  <c r="E200" i="90"/>
  <c r="E201" i="90"/>
  <c r="E202" i="90"/>
  <c r="E203" i="90"/>
  <c r="E204" i="90"/>
  <c r="E205" i="90"/>
  <c r="E206" i="90"/>
  <c r="E207" i="90"/>
  <c r="E208" i="90"/>
  <c r="E209" i="90"/>
  <c r="E210" i="90"/>
  <c r="E211" i="90"/>
  <c r="E212" i="90"/>
  <c r="E213" i="90"/>
  <c r="E215" i="90"/>
  <c r="E216" i="90"/>
  <c r="E217" i="90"/>
  <c r="E218" i="90"/>
  <c r="E219" i="90"/>
  <c r="E220" i="90"/>
  <c r="E221" i="90"/>
  <c r="E222" i="90"/>
  <c r="E223" i="90"/>
  <c r="E224" i="90"/>
  <c r="E225" i="90"/>
  <c r="E226" i="90"/>
  <c r="E227" i="90"/>
  <c r="E228" i="90"/>
  <c r="E229" i="90"/>
  <c r="E230" i="90"/>
  <c r="E231" i="90"/>
  <c r="E232" i="90"/>
  <c r="E233" i="90"/>
  <c r="E234" i="90"/>
  <c r="E235" i="90"/>
  <c r="E236" i="90"/>
  <c r="E237" i="90"/>
  <c r="E238" i="90"/>
  <c r="E239" i="90"/>
  <c r="E240" i="90"/>
  <c r="E241" i="90"/>
  <c r="E242" i="90"/>
  <c r="E243" i="90"/>
  <c r="E244" i="90"/>
  <c r="E245" i="90"/>
  <c r="E246" i="90"/>
  <c r="E247" i="90"/>
  <c r="E248" i="90"/>
  <c r="E249" i="90"/>
  <c r="E250" i="90"/>
  <c r="E252" i="90"/>
  <c r="E253" i="90"/>
  <c r="E254" i="90"/>
  <c r="E255" i="90"/>
  <c r="E256" i="90"/>
  <c r="E257" i="90"/>
  <c r="E258" i="90"/>
  <c r="E259" i="90"/>
  <c r="E260" i="90"/>
  <c r="E261" i="90"/>
  <c r="E262" i="90"/>
  <c r="E263" i="90"/>
  <c r="E264" i="90"/>
  <c r="E265" i="90"/>
  <c r="E266" i="90"/>
  <c r="E267" i="90"/>
  <c r="E268" i="90"/>
  <c r="E269" i="90"/>
  <c r="E270" i="90"/>
  <c r="E271" i="90"/>
  <c r="E272" i="90"/>
  <c r="E273" i="90"/>
  <c r="E274" i="90"/>
  <c r="E275" i="90"/>
  <c r="E277" i="90"/>
  <c r="E278" i="90"/>
  <c r="E279" i="90"/>
  <c r="E280" i="90"/>
  <c r="E281" i="90"/>
  <c r="E282" i="90"/>
  <c r="E283" i="90"/>
  <c r="E284" i="90"/>
  <c r="E285" i="90"/>
  <c r="E286" i="90"/>
  <c r="E287" i="90"/>
  <c r="E288" i="90"/>
  <c r="E290" i="90"/>
  <c r="E291" i="90"/>
  <c r="E292" i="90"/>
  <c r="E293" i="90"/>
  <c r="E294" i="90"/>
  <c r="E295" i="90"/>
  <c r="E296" i="90"/>
  <c r="E297" i="90"/>
  <c r="E298" i="90"/>
  <c r="E299" i="90"/>
  <c r="E300" i="90"/>
  <c r="E301" i="90"/>
  <c r="E302" i="90"/>
  <c r="E303" i="90"/>
  <c r="E304" i="90"/>
  <c r="E305" i="90"/>
  <c r="E306" i="90"/>
  <c r="E307" i="90"/>
  <c r="E308" i="90"/>
  <c r="E309" i="90"/>
  <c r="E310" i="90"/>
  <c r="E313" i="90"/>
  <c r="E314" i="90"/>
  <c r="E315" i="90"/>
  <c r="E316" i="90"/>
  <c r="E317" i="90"/>
  <c r="E318" i="90"/>
  <c r="E319" i="90"/>
  <c r="E320" i="90"/>
  <c r="E321" i="90"/>
  <c r="E322" i="90"/>
  <c r="E323" i="90"/>
  <c r="E324" i="90"/>
  <c r="E325" i="90"/>
  <c r="E327" i="90"/>
  <c r="E328" i="90"/>
  <c r="E329" i="90"/>
  <c r="E330" i="90"/>
  <c r="E331" i="90"/>
  <c r="E332" i="90"/>
  <c r="E333" i="90"/>
  <c r="E334" i="90"/>
  <c r="E335" i="90"/>
  <c r="E336" i="90"/>
  <c r="E337" i="90"/>
  <c r="E338" i="90"/>
  <c r="E339" i="90"/>
  <c r="E340" i="90"/>
  <c r="E342" i="90"/>
  <c r="E345" i="90"/>
  <c r="E346" i="90"/>
  <c r="E347" i="90"/>
  <c r="E349" i="90"/>
  <c r="E350" i="90"/>
  <c r="E351" i="90"/>
  <c r="E353" i="90"/>
  <c r="E354" i="90"/>
  <c r="E355" i="90"/>
  <c r="E356" i="90"/>
  <c r="E357" i="90"/>
  <c r="E358" i="90"/>
  <c r="E359" i="90"/>
  <c r="E360" i="90"/>
  <c r="E361" i="90"/>
  <c r="E362" i="90"/>
  <c r="E364" i="90"/>
  <c r="E367" i="90"/>
  <c r="E368" i="90"/>
  <c r="E369" i="90"/>
  <c r="E370" i="90"/>
  <c r="E371" i="90"/>
  <c r="E372" i="90"/>
  <c r="E373" i="90"/>
  <c r="E374" i="90"/>
  <c r="E375" i="90"/>
  <c r="E376" i="90"/>
  <c r="E377" i="90"/>
  <c r="E378" i="90"/>
  <c r="E379" i="90"/>
  <c r="E380" i="90"/>
  <c r="E381" i="90"/>
  <c r="E382" i="90"/>
  <c r="E383" i="90"/>
  <c r="E384" i="90"/>
  <c r="E385" i="90"/>
  <c r="E386" i="90"/>
  <c r="E387" i="90"/>
  <c r="E388" i="90"/>
  <c r="E389" i="90"/>
  <c r="E390" i="90"/>
  <c r="E391" i="90"/>
  <c r="E392" i="90"/>
  <c r="E393" i="90"/>
  <c r="E394" i="90"/>
  <c r="E395" i="90"/>
  <c r="E396" i="90"/>
  <c r="E397" i="90"/>
  <c r="E398" i="90"/>
  <c r="E399" i="90"/>
  <c r="E400" i="90"/>
  <c r="E401" i="90"/>
  <c r="E402" i="90"/>
  <c r="E403" i="90"/>
  <c r="E404" i="90"/>
  <c r="E405" i="90"/>
  <c r="E406" i="90"/>
  <c r="E407" i="90"/>
  <c r="E408" i="90"/>
  <c r="E409" i="90"/>
  <c r="E410" i="90"/>
  <c r="E411" i="90"/>
  <c r="E412" i="90"/>
  <c r="E413" i="90"/>
  <c r="E414" i="90"/>
  <c r="E415" i="90"/>
  <c r="E416" i="90"/>
  <c r="E417" i="90"/>
  <c r="E418" i="90"/>
  <c r="E419" i="90"/>
  <c r="E420" i="90"/>
  <c r="E421" i="90"/>
  <c r="E422" i="90"/>
  <c r="E423" i="90"/>
  <c r="E424" i="90"/>
  <c r="E425" i="90"/>
  <c r="E426" i="90"/>
  <c r="E427" i="90"/>
  <c r="E428" i="90"/>
  <c r="E429" i="90"/>
  <c r="E430" i="90"/>
  <c r="E431" i="90"/>
  <c r="E432" i="90"/>
  <c r="E433" i="90"/>
  <c r="E434" i="90"/>
  <c r="E435" i="90"/>
  <c r="E436" i="90"/>
  <c r="E437" i="90"/>
  <c r="E438" i="90"/>
  <c r="E439" i="90"/>
  <c r="E440" i="90"/>
  <c r="E441" i="90"/>
  <c r="E442" i="90"/>
  <c r="E443" i="90"/>
  <c r="E444" i="90"/>
  <c r="E445" i="90"/>
  <c r="E446" i="90"/>
  <c r="E447" i="90"/>
  <c r="E448" i="90"/>
  <c r="E449" i="90"/>
  <c r="E450" i="90"/>
  <c r="E451" i="90"/>
  <c r="E452" i="90"/>
  <c r="E453" i="90"/>
  <c r="E454" i="90"/>
  <c r="E455" i="90"/>
  <c r="E456" i="90"/>
  <c r="E457" i="90"/>
  <c r="E458" i="90"/>
  <c r="E459" i="90"/>
  <c r="E460" i="90"/>
  <c r="E462" i="90"/>
  <c r="E463" i="90"/>
  <c r="E464" i="90"/>
  <c r="E465" i="90"/>
  <c r="E466" i="90"/>
  <c r="E467" i="90"/>
  <c r="E468" i="90"/>
  <c r="E469" i="90"/>
  <c r="E470" i="90"/>
  <c r="E471" i="90"/>
  <c r="E472" i="90"/>
  <c r="E473" i="90"/>
  <c r="E474" i="90"/>
  <c r="E475" i="90"/>
  <c r="E476" i="90"/>
  <c r="E477" i="90"/>
  <c r="E478" i="90"/>
  <c r="E479" i="90"/>
  <c r="E480" i="90"/>
  <c r="E481" i="90"/>
  <c r="E482" i="90"/>
  <c r="E483" i="90"/>
  <c r="E484" i="90"/>
  <c r="E485" i="90"/>
  <c r="E486" i="90"/>
  <c r="E487" i="90"/>
  <c r="E488" i="90"/>
  <c r="E489" i="90"/>
  <c r="E490" i="90"/>
  <c r="E491" i="90"/>
  <c r="E492" i="90"/>
  <c r="E493" i="90"/>
  <c r="E494" i="90"/>
  <c r="E495" i="90"/>
  <c r="E496" i="90"/>
  <c r="E497" i="90"/>
  <c r="E498" i="90"/>
  <c r="E499" i="90"/>
  <c r="E500" i="90"/>
  <c r="E501" i="90"/>
  <c r="E502" i="90"/>
  <c r="E503" i="90"/>
  <c r="E504" i="90"/>
  <c r="E505" i="90"/>
  <c r="E506" i="90"/>
  <c r="E507" i="90"/>
  <c r="E508" i="90"/>
  <c r="E509" i="90"/>
  <c r="E510" i="90"/>
  <c r="E511" i="90"/>
  <c r="E512" i="90"/>
  <c r="E513" i="90"/>
  <c r="E514" i="90"/>
  <c r="E515" i="90"/>
  <c r="E517" i="90"/>
  <c r="E518" i="90"/>
  <c r="E519" i="90"/>
  <c r="E520" i="90"/>
  <c r="E521" i="90"/>
  <c r="E522" i="90"/>
  <c r="E523" i="90"/>
  <c r="E524" i="90"/>
  <c r="E525" i="90"/>
  <c r="E526" i="90"/>
  <c r="E527" i="90"/>
  <c r="E528" i="90"/>
  <c r="E529" i="90"/>
  <c r="E530" i="90"/>
  <c r="E531" i="90"/>
  <c r="E532" i="90"/>
  <c r="E533" i="90"/>
  <c r="E534" i="90"/>
  <c r="E535" i="90"/>
  <c r="E536" i="90"/>
  <c r="E537" i="90"/>
  <c r="E538" i="90"/>
  <c r="E539" i="90"/>
  <c r="E540" i="90"/>
  <c r="E541" i="90"/>
  <c r="E542" i="90"/>
  <c r="E543" i="90"/>
  <c r="E544" i="90"/>
  <c r="E545" i="90"/>
  <c r="E546" i="90"/>
  <c r="E547" i="90"/>
  <c r="E548" i="90"/>
  <c r="E549" i="90"/>
  <c r="E550" i="90"/>
  <c r="E551" i="90"/>
  <c r="E552" i="90"/>
  <c r="E553" i="90"/>
  <c r="E554" i="90"/>
  <c r="E555" i="90"/>
  <c r="E556" i="90"/>
  <c r="E557" i="90"/>
  <c r="E558" i="90"/>
  <c r="E559" i="90"/>
  <c r="E560" i="90"/>
  <c r="E561" i="90"/>
  <c r="E562" i="90"/>
  <c r="E563" i="90"/>
  <c r="E564" i="90"/>
  <c r="E565" i="90"/>
  <c r="E566" i="90"/>
  <c r="E567" i="90"/>
  <c r="E568" i="90"/>
  <c r="E569" i="90"/>
  <c r="E570" i="90"/>
  <c r="E571" i="90"/>
  <c r="E572" i="90"/>
  <c r="E573" i="90"/>
  <c r="E574" i="90"/>
  <c r="E575" i="90"/>
  <c r="E576" i="90"/>
  <c r="E577" i="90"/>
  <c r="E578" i="90"/>
  <c r="E579" i="90"/>
  <c r="E580" i="90"/>
  <c r="E581" i="90"/>
  <c r="E582" i="90"/>
  <c r="E583" i="90"/>
  <c r="E584" i="90"/>
  <c r="E585" i="90"/>
  <c r="E586" i="90"/>
  <c r="E587" i="90"/>
  <c r="E588" i="90"/>
  <c r="E589" i="90"/>
  <c r="E590" i="90"/>
  <c r="E591" i="90"/>
  <c r="E592" i="90"/>
  <c r="E593" i="90"/>
  <c r="E594" i="90"/>
  <c r="E595" i="90"/>
  <c r="E596" i="90"/>
  <c r="E597" i="90"/>
  <c r="E598" i="90"/>
  <c r="E599" i="90"/>
  <c r="E600" i="90"/>
  <c r="E601" i="90"/>
  <c r="E602" i="90"/>
  <c r="E603" i="90"/>
  <c r="E604" i="90"/>
  <c r="E605" i="90"/>
  <c r="E606" i="90"/>
  <c r="E607" i="90"/>
  <c r="E608" i="90"/>
  <c r="E609" i="90"/>
  <c r="E610" i="90"/>
  <c r="E611" i="90"/>
  <c r="E612" i="90"/>
  <c r="E613" i="90"/>
  <c r="E614" i="90"/>
  <c r="E615" i="90"/>
  <c r="E616" i="90"/>
  <c r="E617" i="90"/>
  <c r="E619" i="90"/>
  <c r="E620" i="90"/>
  <c r="E621" i="90"/>
  <c r="E622" i="90"/>
  <c r="E623" i="90"/>
  <c r="E624" i="90"/>
  <c r="E625" i="90"/>
  <c r="E627" i="90"/>
  <c r="E628" i="90"/>
  <c r="E629" i="90"/>
  <c r="E630" i="90"/>
  <c r="E631" i="90"/>
  <c r="E632" i="90"/>
  <c r="E633" i="90"/>
  <c r="E634" i="90"/>
  <c r="E635" i="90"/>
  <c r="E636" i="90"/>
  <c r="E637" i="90"/>
  <c r="E638" i="90"/>
  <c r="E639" i="90"/>
  <c r="E640" i="90"/>
  <c r="E641" i="90"/>
  <c r="E642" i="90"/>
  <c r="E643" i="90"/>
  <c r="E644" i="90"/>
  <c r="E645" i="90"/>
  <c r="E646" i="90"/>
  <c r="E647" i="90"/>
  <c r="E648" i="90"/>
  <c r="E650" i="90"/>
  <c r="E651" i="90"/>
  <c r="E652" i="90"/>
  <c r="E653" i="90"/>
  <c r="E654" i="90"/>
  <c r="E655" i="90"/>
  <c r="E656" i="90"/>
  <c r="E657" i="90"/>
  <c r="E658" i="90"/>
  <c r="E659" i="90"/>
  <c r="E660" i="90"/>
  <c r="E661" i="90"/>
  <c r="E662" i="90"/>
  <c r="E663" i="90"/>
  <c r="E665" i="90"/>
  <c r="E666" i="90"/>
  <c r="E667" i="90"/>
  <c r="E668" i="90"/>
  <c r="E669" i="90"/>
  <c r="E670" i="90"/>
  <c r="E671" i="90"/>
  <c r="E672" i="90"/>
  <c r="E673" i="90"/>
  <c r="E674" i="90"/>
  <c r="E675" i="90"/>
  <c r="E676" i="90"/>
  <c r="E677" i="90"/>
  <c r="E679" i="90"/>
  <c r="E680" i="90"/>
  <c r="E681" i="90"/>
  <c r="E683" i="90"/>
  <c r="E684" i="90"/>
  <c r="E685" i="90"/>
  <c r="E687" i="90"/>
  <c r="E690" i="90"/>
  <c r="E691" i="90"/>
  <c r="E692" i="90"/>
  <c r="E693" i="90"/>
  <c r="E694" i="90"/>
  <c r="E695" i="90"/>
  <c r="E696" i="90"/>
  <c r="E697" i="90"/>
  <c r="E698" i="90"/>
  <c r="E699" i="90"/>
  <c r="E700" i="90"/>
  <c r="E701" i="90"/>
  <c r="E702" i="90"/>
  <c r="E703" i="90"/>
  <c r="E704" i="90"/>
  <c r="E705" i="90"/>
  <c r="E706" i="90"/>
  <c r="E707" i="90"/>
  <c r="E708" i="90"/>
  <c r="E709" i="90"/>
  <c r="E710" i="90"/>
  <c r="E711" i="90"/>
  <c r="E712" i="90"/>
  <c r="E713" i="90"/>
  <c r="E714" i="90"/>
  <c r="E715" i="90"/>
  <c r="E716" i="90"/>
  <c r="E717" i="90"/>
  <c r="E718" i="90"/>
  <c r="E719" i="90"/>
  <c r="E720" i="90"/>
  <c r="E721" i="90"/>
  <c r="E722" i="90"/>
  <c r="E723" i="90"/>
  <c r="E724" i="90"/>
  <c r="E725" i="90"/>
  <c r="E726" i="90"/>
  <c r="E727" i="90"/>
  <c r="E728" i="90"/>
  <c r="E729" i="90"/>
  <c r="E730" i="90"/>
  <c r="E731" i="90"/>
  <c r="E732" i="90"/>
  <c r="E733" i="90"/>
  <c r="E734" i="90"/>
  <c r="E735" i="90"/>
  <c r="E736" i="90"/>
  <c r="E737" i="90"/>
  <c r="E738" i="90"/>
  <c r="E739" i="90"/>
  <c r="E740" i="90"/>
  <c r="E741" i="90"/>
  <c r="E742" i="90"/>
  <c r="E743" i="90"/>
  <c r="E744" i="90"/>
  <c r="E745" i="90"/>
  <c r="E746" i="90"/>
  <c r="E747" i="90"/>
  <c r="E748" i="90"/>
  <c r="E749" i="90"/>
  <c r="E750" i="90"/>
  <c r="E751" i="90"/>
  <c r="E752" i="90"/>
  <c r="E753" i="90"/>
  <c r="E754" i="90"/>
  <c r="E755" i="90"/>
  <c r="E756" i="90"/>
  <c r="E757" i="90"/>
  <c r="E758" i="90"/>
  <c r="E759" i="90"/>
  <c r="E760" i="90"/>
  <c r="E761" i="90"/>
  <c r="E762" i="90"/>
  <c r="E763" i="90"/>
  <c r="E764" i="90"/>
  <c r="E765" i="90"/>
  <c r="E766" i="90"/>
  <c r="E767" i="90"/>
  <c r="E768" i="90"/>
  <c r="E769" i="90"/>
  <c r="E770" i="90"/>
  <c r="E771" i="90"/>
  <c r="E772" i="90"/>
  <c r="E773" i="90"/>
  <c r="E774" i="90"/>
  <c r="E775" i="90"/>
  <c r="E776" i="90"/>
  <c r="E777" i="90"/>
  <c r="E778" i="90"/>
  <c r="E779" i="90"/>
  <c r="E780" i="90"/>
  <c r="E781" i="90"/>
  <c r="E782" i="90"/>
  <c r="E783" i="90"/>
  <c r="E784" i="90"/>
  <c r="E785" i="90"/>
  <c r="E786" i="90"/>
  <c r="E787" i="90"/>
  <c r="E788" i="90"/>
  <c r="E789" i="90"/>
  <c r="E790" i="90"/>
  <c r="E791" i="90"/>
  <c r="E792" i="90"/>
  <c r="E793" i="90"/>
  <c r="E794" i="90"/>
  <c r="E795" i="90"/>
  <c r="E796" i="90"/>
  <c r="E798" i="90"/>
  <c r="E799" i="90"/>
  <c r="E800" i="90"/>
  <c r="E801" i="90"/>
  <c r="E802" i="90"/>
  <c r="E804" i="90"/>
  <c r="E805" i="90"/>
  <c r="E806" i="90"/>
  <c r="E807" i="90"/>
  <c r="E808" i="90"/>
  <c r="E809" i="90"/>
  <c r="E810" i="90"/>
  <c r="E811" i="90"/>
  <c r="E812" i="90"/>
  <c r="E813" i="90"/>
  <c r="E814" i="90"/>
  <c r="E815" i="90"/>
  <c r="E816" i="90"/>
  <c r="E817" i="90"/>
  <c r="E818" i="90"/>
  <c r="E819" i="90"/>
  <c r="E820" i="90"/>
  <c r="E821" i="90"/>
  <c r="E822" i="90"/>
  <c r="E823" i="90"/>
  <c r="E825" i="90"/>
  <c r="E826" i="90"/>
  <c r="E827" i="90"/>
  <c r="E828" i="90"/>
  <c r="E829" i="90"/>
  <c r="E830" i="90"/>
  <c r="E831" i="90"/>
  <c r="E832" i="90"/>
  <c r="E835" i="90"/>
  <c r="E836" i="90"/>
  <c r="E837" i="90"/>
  <c r="E838" i="90"/>
  <c r="E839" i="90"/>
  <c r="E840" i="90"/>
  <c r="E842" i="90"/>
  <c r="E843" i="90"/>
  <c r="E844" i="90"/>
  <c r="E846" i="90"/>
  <c r="E847" i="90"/>
  <c r="E848" i="90"/>
  <c r="E849" i="90"/>
  <c r="E850" i="90"/>
  <c r="E851" i="90"/>
  <c r="E852" i="90"/>
  <c r="E853" i="90"/>
  <c r="E854" i="90"/>
  <c r="E855" i="90"/>
  <c r="E856" i="90"/>
  <c r="E857" i="90"/>
  <c r="E858" i="90"/>
  <c r="E859" i="90"/>
  <c r="E860" i="90"/>
  <c r="E861" i="90"/>
  <c r="E862" i="90"/>
  <c r="E863" i="90"/>
  <c r="E864" i="90"/>
  <c r="E866" i="90"/>
  <c r="E869" i="90"/>
  <c r="E870" i="90"/>
  <c r="E871" i="90"/>
  <c r="E872" i="90"/>
  <c r="E873" i="90"/>
  <c r="E874" i="90"/>
  <c r="E875" i="90"/>
  <c r="E876" i="90"/>
  <c r="E877" i="90"/>
  <c r="E878" i="90"/>
  <c r="E879" i="90"/>
  <c r="E880" i="90"/>
  <c r="E881" i="90"/>
  <c r="E882" i="90"/>
  <c r="E883" i="90"/>
  <c r="E884" i="90"/>
  <c r="E885" i="90"/>
  <c r="E886" i="90"/>
  <c r="E888" i="90"/>
  <c r="E889" i="90"/>
  <c r="E890" i="90"/>
  <c r="E891" i="90"/>
  <c r="E892" i="90"/>
  <c r="E894" i="90"/>
  <c r="E895" i="90"/>
  <c r="E896" i="90"/>
  <c r="E897" i="90"/>
  <c r="E899" i="90"/>
  <c r="E900" i="90"/>
  <c r="E901" i="90"/>
  <c r="E903" i="90"/>
  <c r="E906" i="90"/>
  <c r="E907" i="90"/>
  <c r="E908" i="90"/>
  <c r="E909" i="90"/>
  <c r="E910" i="90"/>
  <c r="E911" i="90"/>
  <c r="E912" i="90"/>
  <c r="E913" i="90"/>
  <c r="E914" i="90"/>
  <c r="E915" i="90"/>
  <c r="E916" i="90"/>
  <c r="E917" i="90"/>
  <c r="E919" i="90"/>
  <c r="E922" i="90"/>
  <c r="E923" i="90"/>
  <c r="E924" i="90"/>
  <c r="E925" i="90"/>
  <c r="E926" i="90"/>
  <c r="E927" i="90"/>
  <c r="E929" i="90"/>
  <c r="E2" i="90"/>
  <c r="H3" i="88"/>
  <c r="E3" i="87" s="1"/>
  <c r="H4" i="88"/>
  <c r="H5" i="88"/>
  <c r="E6" i="87" s="1"/>
  <c r="H6" i="88"/>
  <c r="E7" i="87" s="1"/>
  <c r="H7" i="88"/>
  <c r="E8" i="87" s="1"/>
  <c r="H8" i="88"/>
  <c r="E9" i="87" s="1"/>
  <c r="H9" i="88"/>
  <c r="E10" i="87" s="1"/>
  <c r="H10" i="88"/>
  <c r="E11" i="87" s="1"/>
  <c r="H11" i="88"/>
  <c r="E12" i="87" s="1"/>
  <c r="H12" i="88"/>
  <c r="H13" i="88"/>
  <c r="E14" i="87" s="1"/>
  <c r="H14" i="88"/>
  <c r="E15" i="87" s="1"/>
  <c r="H15" i="88"/>
  <c r="E16" i="87" s="1"/>
  <c r="H16" i="88"/>
  <c r="E17" i="87" s="1"/>
  <c r="H17" i="88"/>
  <c r="H18" i="88"/>
  <c r="E20" i="87" s="1"/>
  <c r="H19" i="88"/>
  <c r="E21" i="87" s="1"/>
  <c r="H20" i="88"/>
  <c r="H21" i="88"/>
  <c r="E23" i="87" s="1"/>
  <c r="H22" i="88"/>
  <c r="E24" i="87" s="1"/>
  <c r="H23" i="88"/>
  <c r="E26" i="87" s="1"/>
  <c r="H24" i="88"/>
  <c r="E27" i="87" s="1"/>
  <c r="H25" i="88"/>
  <c r="H26" i="88"/>
  <c r="E29" i="87" s="1"/>
  <c r="H27" i="88"/>
  <c r="E30" i="87" s="1"/>
  <c r="H28" i="88"/>
  <c r="H29" i="88"/>
  <c r="E32" i="87" s="1"/>
  <c r="H30" i="88"/>
  <c r="E33" i="87" s="1"/>
  <c r="H31" i="88"/>
  <c r="E35" i="87" s="1"/>
  <c r="H32" i="88"/>
  <c r="E36" i="87" s="1"/>
  <c r="H33" i="88"/>
  <c r="E37" i="87" s="1"/>
  <c r="H34" i="88"/>
  <c r="E39" i="87" s="1"/>
  <c r="H35" i="88"/>
  <c r="E40" i="87" s="1"/>
  <c r="H36" i="88"/>
  <c r="H37" i="88"/>
  <c r="E43" i="87" s="1"/>
  <c r="H38" i="88"/>
  <c r="E44" i="87" s="1"/>
  <c r="H39" i="88"/>
  <c r="E45" i="87" s="1"/>
  <c r="H40" i="88"/>
  <c r="E46" i="87" s="1"/>
  <c r="H41" i="88"/>
  <c r="E47" i="87" s="1"/>
  <c r="H42" i="88"/>
  <c r="E48" i="87" s="1"/>
  <c r="H43" i="88"/>
  <c r="E49" i="87" s="1"/>
  <c r="H44" i="88"/>
  <c r="H45" i="88"/>
  <c r="E51" i="87" s="1"/>
  <c r="H46" i="88"/>
  <c r="E52" i="87" s="1"/>
  <c r="H47" i="88"/>
  <c r="E53" i="87" s="1"/>
  <c r="H51" i="88"/>
  <c r="E55" i="87" s="1"/>
  <c r="H53" i="88"/>
  <c r="E58" i="87" s="1"/>
  <c r="H54" i="88"/>
  <c r="E59" i="87" s="1"/>
  <c r="H55" i="88"/>
  <c r="H56" i="88"/>
  <c r="E61" i="87" s="1"/>
  <c r="H57" i="88"/>
  <c r="E62" i="87" s="1"/>
  <c r="H60" i="88"/>
  <c r="H62" i="88"/>
  <c r="E64" i="87" s="1"/>
  <c r="H63" i="88"/>
  <c r="H64" i="88"/>
  <c r="E66" i="87" s="1"/>
  <c r="H66" i="88"/>
  <c r="E67" i="87" s="1"/>
  <c r="H67" i="88"/>
  <c r="E68" i="87" s="1"/>
  <c r="H68" i="88"/>
  <c r="H69" i="88"/>
  <c r="E70" i="87" s="1"/>
  <c r="H70" i="88"/>
  <c r="E71" i="87" s="1"/>
  <c r="H71" i="88"/>
  <c r="H72" i="88"/>
  <c r="E73" i="87" s="1"/>
  <c r="H73" i="88"/>
  <c r="E74" i="87" s="1"/>
  <c r="H74" i="88"/>
  <c r="E75" i="87" s="1"/>
  <c r="H75" i="88"/>
  <c r="E76" i="87" s="1"/>
  <c r="H76" i="88"/>
  <c r="H77" i="88"/>
  <c r="E78" i="87" s="1"/>
  <c r="H78" i="88"/>
  <c r="E79" i="87" s="1"/>
  <c r="H79" i="88"/>
  <c r="H80" i="88"/>
  <c r="E81" i="87" s="1"/>
  <c r="H81" i="88"/>
  <c r="E82" i="87" s="1"/>
  <c r="H82" i="88"/>
  <c r="H83" i="88"/>
  <c r="E84" i="87" s="1"/>
  <c r="H84" i="88"/>
  <c r="E85" i="87" s="1"/>
  <c r="H85" i="88"/>
  <c r="E86" i="87" s="1"/>
  <c r="H86" i="88"/>
  <c r="E87" i="87" s="1"/>
  <c r="H87" i="88"/>
  <c r="H88" i="88"/>
  <c r="E89" i="87" s="1"/>
  <c r="H89" i="88"/>
  <c r="E90" i="87" s="1"/>
  <c r="H90" i="88"/>
  <c r="E91" i="87" s="1"/>
  <c r="E92" i="87"/>
  <c r="H97" i="88"/>
  <c r="E94" i="87" s="1"/>
  <c r="H98" i="88"/>
  <c r="E95" i="87" s="1"/>
  <c r="H99" i="88"/>
  <c r="H101" i="88"/>
  <c r="E96" i="87" s="1"/>
  <c r="H102" i="88"/>
  <c r="E97" i="87" s="1"/>
  <c r="H103" i="88"/>
  <c r="E99" i="87" s="1"/>
  <c r="H105" i="88"/>
  <c r="E100" i="87" s="1"/>
  <c r="H106" i="88"/>
  <c r="E101" i="87" s="1"/>
  <c r="H107" i="88"/>
  <c r="E103" i="87" s="1"/>
  <c r="H109" i="88"/>
  <c r="H110" i="88"/>
  <c r="H111" i="88"/>
  <c r="E108" i="87" s="1"/>
  <c r="H112" i="88"/>
  <c r="E109" i="87" s="1"/>
  <c r="H113" i="88"/>
  <c r="E110" i="87" s="1"/>
  <c r="H116" i="88"/>
  <c r="E113" i="87" s="1"/>
  <c r="H117" i="88"/>
  <c r="E114" i="87" s="1"/>
  <c r="H118" i="88"/>
  <c r="E115" i="87" s="1"/>
  <c r="H119" i="88"/>
  <c r="E116" i="87" s="1"/>
  <c r="H120" i="88"/>
  <c r="E117" i="87" s="1"/>
  <c r="H121" i="88"/>
  <c r="E118" i="87" s="1"/>
  <c r="H122" i="88"/>
  <c r="E119" i="87" s="1"/>
  <c r="H123" i="88"/>
  <c r="E120" i="87" s="1"/>
  <c r="H125" i="88"/>
  <c r="H126" i="88"/>
  <c r="E123" i="87" s="1"/>
  <c r="H127" i="88"/>
  <c r="E124" i="87" s="1"/>
  <c r="H128" i="88"/>
  <c r="H129" i="88"/>
  <c r="E126" i="87" s="1"/>
  <c r="H130" i="88"/>
  <c r="E127" i="87" s="1"/>
  <c r="H131" i="88"/>
  <c r="E128" i="87" s="1"/>
  <c r="H132" i="88"/>
  <c r="E129" i="87" s="1"/>
  <c r="H133" i="88"/>
  <c r="H134" i="88"/>
  <c r="E131" i="87" s="1"/>
  <c r="H135" i="88"/>
  <c r="E132" i="87" s="1"/>
  <c r="H136" i="88"/>
  <c r="E134" i="87" s="1"/>
  <c r="H137" i="88"/>
  <c r="E135" i="87" s="1"/>
  <c r="H138" i="88"/>
  <c r="E136" i="87" s="1"/>
  <c r="H139" i="88"/>
  <c r="E137" i="87" s="1"/>
  <c r="H140" i="88"/>
  <c r="E138" i="87" s="1"/>
  <c r="H141" i="88"/>
  <c r="E139" i="87" s="1"/>
  <c r="H142" i="88"/>
  <c r="E140" i="87" s="1"/>
  <c r="H143" i="88"/>
  <c r="E141" i="87" s="1"/>
  <c r="H144" i="88"/>
  <c r="H145" i="88"/>
  <c r="E143" i="87" s="1"/>
  <c r="H146" i="88"/>
  <c r="E144" i="87" s="1"/>
  <c r="H147" i="88"/>
  <c r="E146" i="87" s="1"/>
  <c r="H148" i="88"/>
  <c r="E147" i="87" s="1"/>
  <c r="H149" i="88"/>
  <c r="H150" i="88"/>
  <c r="E150" i="87" s="1"/>
  <c r="H152" i="88"/>
  <c r="E153" i="87" s="1"/>
  <c r="H153" i="88"/>
  <c r="H154" i="88"/>
  <c r="E155" i="87" s="1"/>
  <c r="H155" i="88"/>
  <c r="E156" i="87" s="1"/>
  <c r="H156" i="88"/>
  <c r="E157" i="87" s="1"/>
  <c r="H157" i="88"/>
  <c r="E158" i="87" s="1"/>
  <c r="H158" i="88"/>
  <c r="E159" i="87" s="1"/>
  <c r="H159" i="88"/>
  <c r="E160" i="87" s="1"/>
  <c r="H160" i="88"/>
  <c r="E161" i="87" s="1"/>
  <c r="H161" i="88"/>
  <c r="E162" i="87" s="1"/>
  <c r="H162" i="88"/>
  <c r="E163" i="87" s="1"/>
  <c r="H163" i="88"/>
  <c r="E164" i="87" s="1"/>
  <c r="H164" i="88"/>
  <c r="E165" i="87" s="1"/>
  <c r="H165" i="88"/>
  <c r="E166" i="87" s="1"/>
  <c r="H166" i="88"/>
  <c r="E167" i="87" s="1"/>
  <c r="H167" i="88"/>
  <c r="E168" i="87" s="1"/>
  <c r="H168" i="88"/>
  <c r="E169" i="87" s="1"/>
  <c r="H169" i="88"/>
  <c r="H170" i="88"/>
  <c r="E171" i="87" s="1"/>
  <c r="H171" i="88"/>
  <c r="H172" i="88"/>
  <c r="E173" i="87" s="1"/>
  <c r="H173" i="88"/>
  <c r="E174" i="87" s="1"/>
  <c r="H174" i="88"/>
  <c r="E176" i="87" s="1"/>
  <c r="H175" i="88"/>
  <c r="E177" i="87" s="1"/>
  <c r="H176" i="88"/>
  <c r="E178" i="87" s="1"/>
  <c r="H177" i="88"/>
  <c r="E179" i="87" s="1"/>
  <c r="H178" i="88"/>
  <c r="E180" i="87" s="1"/>
  <c r="H179" i="88"/>
  <c r="E181" i="87" s="1"/>
  <c r="H180" i="88"/>
  <c r="E182" i="87" s="1"/>
  <c r="H181" i="88"/>
  <c r="E183" i="87" s="1"/>
  <c r="H182" i="88"/>
  <c r="E184" i="87" s="1"/>
  <c r="H183" i="88"/>
  <c r="E185" i="87" s="1"/>
  <c r="H184" i="88"/>
  <c r="E187" i="87" s="1"/>
  <c r="H186" i="88"/>
  <c r="E186" i="87" s="1"/>
  <c r="H188" i="88"/>
  <c r="E188" i="87" s="1"/>
  <c r="H189" i="88"/>
  <c r="E189" i="87" s="1"/>
  <c r="H191" i="88"/>
  <c r="E190" i="87" s="1"/>
  <c r="H192" i="88"/>
  <c r="E191" i="87" s="1"/>
  <c r="H193" i="88"/>
  <c r="E192" i="87" s="1"/>
  <c r="H194" i="88"/>
  <c r="E193" i="87" s="1"/>
  <c r="H195" i="88"/>
  <c r="E194" i="87" s="1"/>
  <c r="H196" i="88"/>
  <c r="E195" i="87" s="1"/>
  <c r="H197" i="88"/>
  <c r="E196" i="87" s="1"/>
  <c r="H198" i="88"/>
  <c r="E197" i="87" s="1"/>
  <c r="H199" i="88"/>
  <c r="E198" i="87" s="1"/>
  <c r="H202" i="88"/>
  <c r="E199" i="87" s="1"/>
  <c r="H203" i="88"/>
  <c r="E200" i="87" s="1"/>
  <c r="H206" i="88"/>
  <c r="E201" i="87" s="1"/>
  <c r="H209" i="88"/>
  <c r="E202" i="87" s="1"/>
  <c r="H210" i="88"/>
  <c r="E204" i="87" s="1"/>
  <c r="H211" i="88"/>
  <c r="E205" i="87" s="1"/>
  <c r="H212" i="88"/>
  <c r="E206" i="87" s="1"/>
  <c r="H213" i="88"/>
  <c r="E207" i="87" s="1"/>
  <c r="H214" i="88"/>
  <c r="E208" i="87" s="1"/>
  <c r="H215" i="88"/>
  <c r="E209" i="87" s="1"/>
  <c r="H216" i="88"/>
  <c r="E210" i="87" s="1"/>
  <c r="H217" i="88"/>
  <c r="E211" i="87" s="1"/>
  <c r="H218" i="88"/>
  <c r="E212" i="87" s="1"/>
  <c r="H219" i="88"/>
  <c r="E213" i="87" s="1"/>
  <c r="H220" i="88"/>
  <c r="E214" i="87" s="1"/>
  <c r="H221" i="88"/>
  <c r="E215" i="87" s="1"/>
  <c r="H222" i="88"/>
  <c r="E216" i="87" s="1"/>
  <c r="H223" i="88"/>
  <c r="H224" i="88"/>
  <c r="E217" i="87" s="1"/>
  <c r="H225" i="88"/>
  <c r="E218" i="87" s="1"/>
  <c r="H226" i="88"/>
  <c r="E219" i="87" s="1"/>
  <c r="H227" i="88"/>
  <c r="E220" i="87" s="1"/>
  <c r="H228" i="88"/>
  <c r="E221" i="87" s="1"/>
  <c r="H229" i="88"/>
  <c r="E222" i="87" s="1"/>
  <c r="H230" i="88"/>
  <c r="E223" i="87" s="1"/>
  <c r="H231" i="88"/>
  <c r="H232" i="88"/>
  <c r="E225" i="87" s="1"/>
  <c r="H233" i="88"/>
  <c r="E226" i="87" s="1"/>
  <c r="H234" i="88"/>
  <c r="E227" i="87" s="1"/>
  <c r="H235" i="88"/>
  <c r="E228" i="87" s="1"/>
  <c r="H236" i="88"/>
  <c r="E229" i="87" s="1"/>
  <c r="H237" i="88"/>
  <c r="E230" i="87" s="1"/>
  <c r="H238" i="88"/>
  <c r="E231" i="87" s="1"/>
  <c r="H239" i="88"/>
  <c r="E232" i="87" s="1"/>
  <c r="H240" i="88"/>
  <c r="E233" i="87" s="1"/>
  <c r="H241" i="88"/>
  <c r="E234" i="87" s="1"/>
  <c r="H242" i="88"/>
  <c r="E235" i="87" s="1"/>
  <c r="H243" i="88"/>
  <c r="E236" i="87" s="1"/>
  <c r="H245" i="88"/>
  <c r="E237" i="87" s="1"/>
  <c r="H246" i="88"/>
  <c r="H247" i="88"/>
  <c r="E240" i="87" s="1"/>
  <c r="H248" i="88"/>
  <c r="E241" i="87" s="1"/>
  <c r="H250" i="88"/>
  <c r="E242" i="87" s="1"/>
  <c r="H251" i="88"/>
  <c r="E243" i="87" s="1"/>
  <c r="H252" i="88"/>
  <c r="E244" i="87" s="1"/>
  <c r="H253" i="88"/>
  <c r="E245" i="87" s="1"/>
  <c r="H254" i="88"/>
  <c r="E246" i="87" s="1"/>
  <c r="H255" i="88"/>
  <c r="E247" i="87" s="1"/>
  <c r="H256" i="88"/>
  <c r="E248" i="87" s="1"/>
  <c r="H257" i="88"/>
  <c r="E249" i="87" s="1"/>
  <c r="H258" i="88"/>
  <c r="E250" i="87" s="1"/>
  <c r="H259" i="88"/>
  <c r="E251" i="87" s="1"/>
  <c r="H260" i="88"/>
  <c r="E252" i="87" s="1"/>
  <c r="H261" i="88"/>
  <c r="E253" i="87" s="1"/>
  <c r="H262" i="88"/>
  <c r="E254" i="87" s="1"/>
  <c r="H263" i="88"/>
  <c r="E255" i="87" s="1"/>
  <c r="H264" i="88"/>
  <c r="E256" i="87" s="1"/>
  <c r="H265" i="88"/>
  <c r="E257" i="87" s="1"/>
  <c r="H266" i="88"/>
  <c r="E258" i="87" s="1"/>
  <c r="H267" i="88"/>
  <c r="E259" i="87" s="1"/>
  <c r="H268" i="88"/>
  <c r="E260" i="87" s="1"/>
  <c r="H269" i="88"/>
  <c r="E261" i="87" s="1"/>
  <c r="H270" i="88"/>
  <c r="E262" i="87" s="1"/>
  <c r="H271" i="88"/>
  <c r="E263" i="87" s="1"/>
  <c r="H272" i="88"/>
  <c r="E265" i="87" s="1"/>
  <c r="H273" i="88"/>
  <c r="E266" i="87" s="1"/>
  <c r="H274" i="88"/>
  <c r="E267" i="87" s="1"/>
  <c r="H275" i="88"/>
  <c r="E268" i="87" s="1"/>
  <c r="H276" i="88"/>
  <c r="E269" i="87" s="1"/>
  <c r="H277" i="88"/>
  <c r="E270" i="87" s="1"/>
  <c r="H278" i="88"/>
  <c r="H279" i="88"/>
  <c r="E272" i="87" s="1"/>
  <c r="H280" i="88"/>
  <c r="E273" i="87" s="1"/>
  <c r="H281" i="88"/>
  <c r="E274" i="87" s="1"/>
  <c r="H282" i="88"/>
  <c r="E275" i="87" s="1"/>
  <c r="H283" i="88"/>
  <c r="E276" i="87" s="1"/>
  <c r="H284" i="88"/>
  <c r="E278" i="87" s="1"/>
  <c r="H285" i="88"/>
  <c r="E279" i="87" s="1"/>
  <c r="H288" i="88"/>
  <c r="E280" i="87" s="1"/>
  <c r="H290" i="88"/>
  <c r="E281" i="87" s="1"/>
  <c r="H291" i="88"/>
  <c r="E282" i="87" s="1"/>
  <c r="H292" i="88"/>
  <c r="E283" i="87" s="1"/>
  <c r="H293" i="88"/>
  <c r="E284" i="87" s="1"/>
  <c r="H294" i="88"/>
  <c r="E285" i="87" s="1"/>
  <c r="H295" i="88"/>
  <c r="E286" i="87" s="1"/>
  <c r="H296" i="88"/>
  <c r="E287" i="87" s="1"/>
  <c r="H297" i="88"/>
  <c r="E288" i="87" s="1"/>
  <c r="H298" i="88"/>
  <c r="E289" i="87" s="1"/>
  <c r="H299" i="88"/>
  <c r="E290" i="87" s="1"/>
  <c r="H300" i="88"/>
  <c r="E291" i="87" s="1"/>
  <c r="H301" i="88"/>
  <c r="E292" i="87" s="1"/>
  <c r="H302" i="88"/>
  <c r="E293" i="87" s="1"/>
  <c r="H303" i="88"/>
  <c r="E294" i="87" s="1"/>
  <c r="H304" i="88"/>
  <c r="E295" i="87" s="1"/>
  <c r="H305" i="88"/>
  <c r="E296" i="87" s="1"/>
  <c r="H306" i="88"/>
  <c r="E297" i="87" s="1"/>
  <c r="H307" i="88"/>
  <c r="E298" i="87" s="1"/>
  <c r="H308" i="88"/>
  <c r="E301" i="87" s="1"/>
  <c r="H309" i="88"/>
  <c r="E302" i="87" s="1"/>
  <c r="H310" i="88"/>
  <c r="H311" i="88"/>
  <c r="H312" i="88"/>
  <c r="E303" i="87" s="1"/>
  <c r="H313" i="88"/>
  <c r="E304" i="87" s="1"/>
  <c r="H314" i="88"/>
  <c r="E305" i="87" s="1"/>
  <c r="H315" i="88"/>
  <c r="E306" i="87" s="1"/>
  <c r="H317" i="88"/>
  <c r="E307" i="87" s="1"/>
  <c r="H318" i="88"/>
  <c r="E308" i="87" s="1"/>
  <c r="H319" i="88"/>
  <c r="E309" i="87" s="1"/>
  <c r="H320" i="88"/>
  <c r="E310" i="87" s="1"/>
  <c r="H321" i="88"/>
  <c r="H322" i="88"/>
  <c r="E312" i="87" s="1"/>
  <c r="H323" i="88"/>
  <c r="E313" i="87" s="1"/>
  <c r="H325" i="88"/>
  <c r="E314" i="87" s="1"/>
  <c r="H326" i="88"/>
  <c r="E315" i="87" s="1"/>
  <c r="H327" i="88"/>
  <c r="E316" i="87" s="1"/>
  <c r="H328" i="88"/>
  <c r="E317" i="87" s="1"/>
  <c r="H329" i="88"/>
  <c r="E318" i="87" s="1"/>
  <c r="H331" i="88"/>
  <c r="E319" i="87" s="1"/>
  <c r="H332" i="88"/>
  <c r="E320" i="87" s="1"/>
  <c r="H333" i="88"/>
  <c r="E321" i="87" s="1"/>
  <c r="H334" i="88"/>
  <c r="E323" i="87" s="1"/>
  <c r="H336" i="88"/>
  <c r="E326" i="87" s="1"/>
  <c r="H337" i="88"/>
  <c r="E327" i="87" s="1"/>
  <c r="H338" i="88"/>
  <c r="E328" i="87" s="1"/>
  <c r="H339" i="88"/>
  <c r="E330" i="87" s="1"/>
  <c r="H340" i="88"/>
  <c r="E331" i="87" s="1"/>
  <c r="H341" i="88"/>
  <c r="E332" i="87" s="1"/>
  <c r="H342" i="88"/>
  <c r="E334" i="87" s="1"/>
  <c r="H343" i="88"/>
  <c r="E335" i="87" s="1"/>
  <c r="H344" i="88"/>
  <c r="E336" i="87" s="1"/>
  <c r="H345" i="88"/>
  <c r="E337" i="87" s="1"/>
  <c r="H346" i="88"/>
  <c r="E338" i="87" s="1"/>
  <c r="H347" i="88"/>
  <c r="E339" i="87" s="1"/>
  <c r="H348" i="88"/>
  <c r="E340" i="87" s="1"/>
  <c r="H349" i="88"/>
  <c r="E341" i="87" s="1"/>
  <c r="H350" i="88"/>
  <c r="E342" i="87" s="1"/>
  <c r="H351" i="88"/>
  <c r="E343" i="87" s="1"/>
  <c r="H352" i="88"/>
  <c r="E345" i="87" s="1"/>
  <c r="H354" i="88"/>
  <c r="H355" i="88"/>
  <c r="H356" i="88"/>
  <c r="E350" i="87" s="1"/>
  <c r="H357" i="88"/>
  <c r="E351" i="87" s="1"/>
  <c r="H358" i="88"/>
  <c r="E352" i="87" s="1"/>
  <c r="H359" i="88"/>
  <c r="E353" i="87" s="1"/>
  <c r="H360" i="88"/>
  <c r="H361" i="88"/>
  <c r="H362" i="88"/>
  <c r="E356" i="87" s="1"/>
  <c r="H363" i="88"/>
  <c r="E357" i="87" s="1"/>
  <c r="H364" i="88"/>
  <c r="E358" i="87" s="1"/>
  <c r="H365" i="88"/>
  <c r="E359" i="87" s="1"/>
  <c r="H366" i="88"/>
  <c r="H367" i="88"/>
  <c r="E360" i="87" s="1"/>
  <c r="H368" i="88"/>
  <c r="E362" i="87" s="1"/>
  <c r="H369" i="88"/>
  <c r="H370" i="88"/>
  <c r="H371" i="88"/>
  <c r="E365" i="87" s="1"/>
  <c r="H373" i="88"/>
  <c r="E366" i="87" s="1"/>
  <c r="H374" i="88"/>
  <c r="E367" i="87" s="1"/>
  <c r="H375" i="88"/>
  <c r="H376" i="88"/>
  <c r="H377" i="88"/>
  <c r="H379" i="88"/>
  <c r="E371" i="87" s="1"/>
  <c r="H380" i="88"/>
  <c r="E372" i="87" s="1"/>
  <c r="H381" i="88"/>
  <c r="H382" i="88"/>
  <c r="H383" i="88"/>
  <c r="E374" i="87" s="1"/>
  <c r="H384" i="88"/>
  <c r="E375" i="87" s="1"/>
  <c r="H385" i="88"/>
  <c r="E376" i="87" s="1"/>
  <c r="H386" i="88"/>
  <c r="E377" i="87" s="1"/>
  <c r="H387" i="88"/>
  <c r="E378" i="87" s="1"/>
  <c r="H388" i="88"/>
  <c r="E379" i="87" s="1"/>
  <c r="H389" i="88"/>
  <c r="E380" i="87" s="1"/>
  <c r="H390" i="88"/>
  <c r="E381" i="87" s="1"/>
  <c r="H391" i="88"/>
  <c r="H392" i="88"/>
  <c r="E383" i="87" s="1"/>
  <c r="H393" i="88"/>
  <c r="E384" i="87" s="1"/>
  <c r="H394" i="88"/>
  <c r="E385" i="87" s="1"/>
  <c r="H395" i="88"/>
  <c r="E386" i="87" s="1"/>
  <c r="H396" i="88"/>
  <c r="H397" i="88"/>
  <c r="E388" i="87" s="1"/>
  <c r="H398" i="88"/>
  <c r="H399" i="88"/>
  <c r="E390" i="87" s="1"/>
  <c r="H400" i="88"/>
  <c r="E391" i="87" s="1"/>
  <c r="H401" i="88"/>
  <c r="E392" i="87" s="1"/>
  <c r="H402" i="88"/>
  <c r="E393" i="87" s="1"/>
  <c r="H403" i="88"/>
  <c r="H404" i="88"/>
  <c r="E395" i="87" s="1"/>
  <c r="H405" i="88"/>
  <c r="E396" i="87" s="1"/>
  <c r="H406" i="88"/>
  <c r="E397" i="87" s="1"/>
  <c r="H407" i="88"/>
  <c r="E398" i="87" s="1"/>
  <c r="H408" i="88"/>
  <c r="E399" i="87" s="1"/>
  <c r="H409" i="88"/>
  <c r="E400" i="87" s="1"/>
  <c r="H410" i="88"/>
  <c r="E401" i="87" s="1"/>
  <c r="H411" i="88"/>
  <c r="E402" i="87" s="1"/>
  <c r="H412" i="88"/>
  <c r="E403" i="87" s="1"/>
  <c r="H413" i="88"/>
  <c r="E404" i="87" s="1"/>
  <c r="H414" i="88"/>
  <c r="E405" i="87" s="1"/>
  <c r="H415" i="88"/>
  <c r="H416" i="88"/>
  <c r="H417" i="88"/>
  <c r="E408" i="87" s="1"/>
  <c r="H418" i="88"/>
  <c r="E409" i="87" s="1"/>
  <c r="H419" i="88"/>
  <c r="E410" i="87" s="1"/>
  <c r="H420" i="88"/>
  <c r="E411" i="87" s="1"/>
  <c r="H421" i="88"/>
  <c r="E412" i="87" s="1"/>
  <c r="H422" i="88"/>
  <c r="E413" i="87" s="1"/>
  <c r="H423" i="88"/>
  <c r="E414" i="87" s="1"/>
  <c r="H424" i="88"/>
  <c r="E415" i="87" s="1"/>
  <c r="H426" i="88"/>
  <c r="E416" i="87" s="1"/>
  <c r="H427" i="88"/>
  <c r="E417" i="87" s="1"/>
  <c r="H428" i="88"/>
  <c r="E418" i="87" s="1"/>
  <c r="H429" i="88"/>
  <c r="E419" i="87" s="1"/>
  <c r="H430" i="88"/>
  <c r="H431" i="88"/>
  <c r="E421" i="87" s="1"/>
  <c r="H432" i="88"/>
  <c r="E422" i="87" s="1"/>
  <c r="H433" i="88"/>
  <c r="E423" i="87" s="1"/>
  <c r="H434" i="88"/>
  <c r="E424" i="87" s="1"/>
  <c r="H435" i="88"/>
  <c r="E425" i="87" s="1"/>
  <c r="H437" i="88"/>
  <c r="E426" i="87" s="1"/>
  <c r="H438" i="88"/>
  <c r="H439" i="88"/>
  <c r="H440" i="88"/>
  <c r="H441" i="88"/>
  <c r="H442" i="88"/>
  <c r="E431" i="87" s="1"/>
  <c r="H443" i="88"/>
  <c r="E432" i="87" s="1"/>
  <c r="H444" i="88"/>
  <c r="E433" i="87" s="1"/>
  <c r="H445" i="88"/>
  <c r="E434" i="87" s="1"/>
  <c r="H446" i="88"/>
  <c r="E435" i="87" s="1"/>
  <c r="H448" i="88"/>
  <c r="E436" i="87" s="1"/>
  <c r="H449" i="88"/>
  <c r="E437" i="87" s="1"/>
  <c r="H450" i="88"/>
  <c r="E438" i="87" s="1"/>
  <c r="H451" i="88"/>
  <c r="H452" i="88"/>
  <c r="E440" i="87" s="1"/>
  <c r="H453" i="88"/>
  <c r="H454" i="88"/>
  <c r="H455" i="88"/>
  <c r="E444" i="87" s="1"/>
  <c r="H456" i="88"/>
  <c r="E445" i="87" s="1"/>
  <c r="H457" i="88"/>
  <c r="E446" i="87" s="1"/>
  <c r="H458" i="88"/>
  <c r="E447" i="87" s="1"/>
  <c r="H459" i="88"/>
  <c r="E448" i="87" s="1"/>
  <c r="H460" i="88"/>
  <c r="E449" i="87" s="1"/>
  <c r="H461" i="88"/>
  <c r="E450" i="87" s="1"/>
  <c r="H462" i="88"/>
  <c r="E451" i="87" s="1"/>
  <c r="H465" i="88"/>
  <c r="E452" i="87" s="1"/>
  <c r="H466" i="88"/>
  <c r="H467" i="88"/>
  <c r="E454" i="87" s="1"/>
  <c r="H468" i="88"/>
  <c r="E455" i="87" s="1"/>
  <c r="H469" i="88"/>
  <c r="E456" i="87" s="1"/>
  <c r="H470" i="88"/>
  <c r="E457" i="87" s="1"/>
  <c r="H471" i="88"/>
  <c r="E458" i="87" s="1"/>
  <c r="H472" i="88"/>
  <c r="E459" i="87" s="1"/>
  <c r="H473" i="88"/>
  <c r="E460" i="87" s="1"/>
  <c r="H474" i="88"/>
  <c r="E461" i="87" s="1"/>
  <c r="H476" i="88"/>
  <c r="E462" i="87" s="1"/>
  <c r="H477" i="88"/>
  <c r="H478" i="88"/>
  <c r="E463" i="87" s="1"/>
  <c r="H479" i="88"/>
  <c r="H480" i="88"/>
  <c r="E465" i="87" s="1"/>
  <c r="H481" i="88"/>
  <c r="H482" i="88"/>
  <c r="E467" i="87" s="1"/>
  <c r="H483" i="88"/>
  <c r="E468" i="87" s="1"/>
  <c r="H484" i="88"/>
  <c r="E469" i="87" s="1"/>
  <c r="H485" i="88"/>
  <c r="E470" i="87" s="1"/>
  <c r="H486" i="88"/>
  <c r="E471" i="87" s="1"/>
  <c r="H487" i="88"/>
  <c r="E472" i="87" s="1"/>
  <c r="H488" i="88"/>
  <c r="E473" i="87" s="1"/>
  <c r="H489" i="88"/>
  <c r="E474" i="87" s="1"/>
  <c r="H490" i="88"/>
  <c r="E475" i="87" s="1"/>
  <c r="H493" i="88"/>
  <c r="H494" i="88"/>
  <c r="E477" i="87" s="1"/>
  <c r="H495" i="88"/>
  <c r="H496" i="88"/>
  <c r="E479" i="87" s="1"/>
  <c r="H497" i="88"/>
  <c r="E480" i="87" s="1"/>
  <c r="H498" i="88"/>
  <c r="E481" i="87" s="1"/>
  <c r="H499" i="88"/>
  <c r="E482" i="87" s="1"/>
  <c r="H500" i="88"/>
  <c r="E483" i="87" s="1"/>
  <c r="H501" i="88"/>
  <c r="E484" i="87" s="1"/>
  <c r="H502" i="88"/>
  <c r="E485" i="87" s="1"/>
  <c r="H503" i="88"/>
  <c r="E486" i="87" s="1"/>
  <c r="H504" i="88"/>
  <c r="E487" i="87" s="1"/>
  <c r="H506" i="88"/>
  <c r="E488" i="87" s="1"/>
  <c r="H507" i="88"/>
  <c r="H509" i="88"/>
  <c r="E489" i="87" s="1"/>
  <c r="H510" i="88"/>
  <c r="E490" i="87" s="1"/>
  <c r="H511" i="88"/>
  <c r="E491" i="87" s="1"/>
  <c r="H512" i="88"/>
  <c r="E492" i="87" s="1"/>
  <c r="H513" i="88"/>
  <c r="E493" i="87" s="1"/>
  <c r="H514" i="88"/>
  <c r="E495" i="87" s="1"/>
  <c r="H515" i="88"/>
  <c r="E496" i="87" s="1"/>
  <c r="H516" i="88"/>
  <c r="E497" i="87" s="1"/>
  <c r="H517" i="88"/>
  <c r="E498" i="87" s="1"/>
  <c r="H518" i="88"/>
  <c r="E499" i="87" s="1"/>
  <c r="H519" i="88"/>
  <c r="E500" i="87" s="1"/>
  <c r="H520" i="88"/>
  <c r="E501" i="87" s="1"/>
  <c r="H521" i="88"/>
  <c r="E502" i="87" s="1"/>
  <c r="H522" i="88"/>
  <c r="E503" i="87" s="1"/>
  <c r="H523" i="88"/>
  <c r="E504" i="87" s="1"/>
  <c r="H524" i="88"/>
  <c r="E505" i="87" s="1"/>
  <c r="H525" i="88"/>
  <c r="E506" i="87" s="1"/>
  <c r="H526" i="88"/>
  <c r="E507" i="87" s="1"/>
  <c r="H527" i="88"/>
  <c r="E508" i="87" s="1"/>
  <c r="H528" i="88"/>
  <c r="H529" i="88"/>
  <c r="E510" i="87" s="1"/>
  <c r="H530" i="88"/>
  <c r="E511" i="87" s="1"/>
  <c r="H531" i="88"/>
  <c r="E512" i="87" s="1"/>
  <c r="H532" i="88"/>
  <c r="E513" i="87" s="1"/>
  <c r="H533" i="88"/>
  <c r="E514" i="87" s="1"/>
  <c r="H534" i="88"/>
  <c r="E515" i="87" s="1"/>
  <c r="H535" i="88"/>
  <c r="E516" i="87" s="1"/>
  <c r="H536" i="88"/>
  <c r="E517" i="87" s="1"/>
  <c r="H537" i="88"/>
  <c r="E518" i="87" s="1"/>
  <c r="H538" i="88"/>
  <c r="E519" i="87" s="1"/>
  <c r="H539" i="88"/>
  <c r="E520" i="87" s="1"/>
  <c r="H540" i="88"/>
  <c r="E521" i="87" s="1"/>
  <c r="H541" i="88"/>
  <c r="E522" i="87" s="1"/>
  <c r="H542" i="88"/>
  <c r="E523" i="87" s="1"/>
  <c r="H543" i="88"/>
  <c r="E524" i="87" s="1"/>
  <c r="H544" i="88"/>
  <c r="E525" i="87" s="1"/>
  <c r="H545" i="88"/>
  <c r="E526" i="87" s="1"/>
  <c r="H546" i="88"/>
  <c r="E527" i="87" s="1"/>
  <c r="H547" i="88"/>
  <c r="E528" i="87" s="1"/>
  <c r="H548" i="88"/>
  <c r="E529" i="87" s="1"/>
  <c r="H549" i="88"/>
  <c r="E530" i="87" s="1"/>
  <c r="H550" i="88"/>
  <c r="E531" i="87" s="1"/>
  <c r="H551" i="88"/>
  <c r="E532" i="87" s="1"/>
  <c r="H552" i="88"/>
  <c r="E533" i="87" s="1"/>
  <c r="H553" i="88"/>
  <c r="E534" i="87" s="1"/>
  <c r="H554" i="88"/>
  <c r="E535" i="87" s="1"/>
  <c r="H555" i="88"/>
  <c r="E536" i="87" s="1"/>
  <c r="H556" i="88"/>
  <c r="E537" i="87" s="1"/>
  <c r="H557" i="88"/>
  <c r="E538" i="87" s="1"/>
  <c r="H558" i="88"/>
  <c r="E539" i="87" s="1"/>
  <c r="H559" i="88"/>
  <c r="E540" i="87" s="1"/>
  <c r="H560" i="88"/>
  <c r="E541" i="87" s="1"/>
  <c r="H561" i="88"/>
  <c r="E542" i="87" s="1"/>
  <c r="H562" i="88"/>
  <c r="E543" i="87" s="1"/>
  <c r="H563" i="88"/>
  <c r="E544" i="87" s="1"/>
  <c r="H564" i="88"/>
  <c r="E545" i="87" s="1"/>
  <c r="H565" i="88"/>
  <c r="E546" i="87" s="1"/>
  <c r="H566" i="88"/>
  <c r="E547" i="87" s="1"/>
  <c r="H567" i="88"/>
  <c r="E548" i="87" s="1"/>
  <c r="H568" i="88"/>
  <c r="E549" i="87" s="1"/>
  <c r="H569" i="88"/>
  <c r="E550" i="87" s="1"/>
  <c r="H570" i="88"/>
  <c r="E551" i="87" s="1"/>
  <c r="H571" i="88"/>
  <c r="E552" i="87" s="1"/>
  <c r="H572" i="88"/>
  <c r="E553" i="87" s="1"/>
  <c r="H573" i="88"/>
  <c r="E554" i="87" s="1"/>
  <c r="H574" i="88"/>
  <c r="E555" i="87" s="1"/>
  <c r="H575" i="88"/>
  <c r="E556" i="87" s="1"/>
  <c r="H576" i="88"/>
  <c r="H577" i="88"/>
  <c r="E558" i="87" s="1"/>
  <c r="H578" i="88"/>
  <c r="E559" i="87" s="1"/>
  <c r="H579" i="88"/>
  <c r="E560" i="87" s="1"/>
  <c r="H580" i="88"/>
  <c r="E561" i="87" s="1"/>
  <c r="H581" i="88"/>
  <c r="E562" i="87" s="1"/>
  <c r="H582" i="88"/>
  <c r="E563" i="87" s="1"/>
  <c r="H583" i="88"/>
  <c r="E564" i="87" s="1"/>
  <c r="H584" i="88"/>
  <c r="E565" i="87" s="1"/>
  <c r="H585" i="88"/>
  <c r="E566" i="87" s="1"/>
  <c r="H586" i="88"/>
  <c r="E567" i="87" s="1"/>
  <c r="H587" i="88"/>
  <c r="E568" i="87" s="1"/>
  <c r="H589" i="88"/>
  <c r="E569" i="87" s="1"/>
  <c r="H590" i="88"/>
  <c r="E570" i="87" s="1"/>
  <c r="H591" i="88"/>
  <c r="E571" i="87" s="1"/>
  <c r="H592" i="88"/>
  <c r="E572" i="87" s="1"/>
  <c r="H593" i="88"/>
  <c r="E573" i="87" s="1"/>
  <c r="H594" i="88"/>
  <c r="E574" i="87" s="1"/>
  <c r="H595" i="88"/>
  <c r="E575" i="87" s="1"/>
  <c r="H596" i="88"/>
  <c r="E576" i="87" s="1"/>
  <c r="H597" i="88"/>
  <c r="E577" i="87" s="1"/>
  <c r="H598" i="88"/>
  <c r="E578" i="87" s="1"/>
  <c r="H599" i="88"/>
  <c r="E579" i="87" s="1"/>
  <c r="H600" i="88"/>
  <c r="E580" i="87" s="1"/>
  <c r="H601" i="88"/>
  <c r="E581" i="87" s="1"/>
  <c r="H602" i="88"/>
  <c r="E582" i="87" s="1"/>
  <c r="H603" i="88"/>
  <c r="E583" i="87" s="1"/>
  <c r="H604" i="88"/>
  <c r="E584" i="87" s="1"/>
  <c r="H605" i="88"/>
  <c r="E585" i="87" s="1"/>
  <c r="H606" i="88"/>
  <c r="E586" i="87" s="1"/>
  <c r="H607" i="88"/>
  <c r="E587" i="87" s="1"/>
  <c r="H608" i="88"/>
  <c r="E588" i="87" s="1"/>
  <c r="H609" i="88"/>
  <c r="E589" i="87" s="1"/>
  <c r="H611" i="88"/>
  <c r="E590" i="87" s="1"/>
  <c r="H612" i="88"/>
  <c r="E591" i="87" s="1"/>
  <c r="H613" i="88"/>
  <c r="E592" i="87" s="1"/>
  <c r="H614" i="88"/>
  <c r="E593" i="87" s="1"/>
  <c r="H615" i="88"/>
  <c r="E594" i="87" s="1"/>
  <c r="H616" i="88"/>
  <c r="E595" i="87" s="1"/>
  <c r="H617" i="88"/>
  <c r="E597" i="87" s="1"/>
  <c r="H618" i="88"/>
  <c r="E598" i="87" s="1"/>
  <c r="H619" i="88"/>
  <c r="E599" i="87" s="1"/>
  <c r="H621" i="88"/>
  <c r="E600" i="87" s="1"/>
  <c r="H622" i="88"/>
  <c r="E601" i="87" s="1"/>
  <c r="H623" i="88"/>
  <c r="E602" i="87" s="1"/>
  <c r="H624" i="88"/>
  <c r="H627" i="88"/>
  <c r="E605" i="87" s="1"/>
  <c r="H628" i="88"/>
  <c r="E606" i="87" s="1"/>
  <c r="H629" i="88"/>
  <c r="E607" i="87" s="1"/>
  <c r="H630" i="88"/>
  <c r="E608" i="87" s="1"/>
  <c r="H631" i="88"/>
  <c r="E609" i="87" s="1"/>
  <c r="H633" i="88"/>
  <c r="H634" i="88"/>
  <c r="H636" i="88"/>
  <c r="E612" i="87" s="1"/>
  <c r="H637" i="88"/>
  <c r="E613" i="87" s="1"/>
  <c r="H638" i="88"/>
  <c r="E614" i="87" s="1"/>
  <c r="H641" i="88"/>
  <c r="H642" i="88"/>
  <c r="E616" i="87" s="1"/>
  <c r="H644" i="88"/>
  <c r="E617" i="87" s="1"/>
  <c r="H645" i="88"/>
  <c r="H646" i="88"/>
  <c r="E619" i="87" s="1"/>
  <c r="H647" i="88"/>
  <c r="E620" i="87" s="1"/>
  <c r="H649" i="88"/>
  <c r="E621" i="87" s="1"/>
  <c r="H650" i="88"/>
  <c r="E622" i="87" s="1"/>
  <c r="H651" i="88"/>
  <c r="E623" i="87" s="1"/>
  <c r="H652" i="88"/>
  <c r="H653" i="88"/>
  <c r="E624" i="87" s="1"/>
  <c r="H654" i="88"/>
  <c r="E625" i="87" s="1"/>
  <c r="H655" i="88"/>
  <c r="E627" i="87" s="1"/>
  <c r="H656" i="88"/>
  <c r="E628" i="87" s="1"/>
  <c r="H657" i="88"/>
  <c r="E629" i="87" s="1"/>
  <c r="H658" i="88"/>
  <c r="E630" i="87" s="1"/>
  <c r="H659" i="88"/>
  <c r="H660" i="88"/>
  <c r="H661" i="88"/>
  <c r="E632" i="87" s="1"/>
  <c r="H662" i="88"/>
  <c r="H663" i="88"/>
  <c r="H664" i="88"/>
  <c r="H665" i="88"/>
  <c r="H666" i="88"/>
  <c r="H667" i="88"/>
  <c r="H668" i="88"/>
  <c r="E633" i="87" s="1"/>
  <c r="H669" i="88"/>
  <c r="H670" i="88"/>
  <c r="H671" i="88"/>
  <c r="E635" i="87" s="1"/>
  <c r="H672" i="88"/>
  <c r="H673" i="88"/>
  <c r="E636" i="87" s="1"/>
  <c r="H674" i="88"/>
  <c r="E637" i="87" s="1"/>
  <c r="H675" i="88"/>
  <c r="E638" i="87" s="1"/>
  <c r="H676" i="88"/>
  <c r="E639" i="87" s="1"/>
  <c r="H677" i="88"/>
  <c r="E640" i="87" s="1"/>
  <c r="H678" i="88"/>
  <c r="E641" i="87" s="1"/>
  <c r="H679" i="88"/>
  <c r="E642" i="87" s="1"/>
  <c r="H680" i="88"/>
  <c r="H681" i="88"/>
  <c r="E644" i="87" s="1"/>
  <c r="H682" i="88"/>
  <c r="E646" i="87" s="1"/>
  <c r="H683" i="88"/>
  <c r="H684" i="88"/>
  <c r="E648" i="87" s="1"/>
  <c r="H685" i="88"/>
  <c r="E650" i="87" s="1"/>
  <c r="H688" i="88"/>
  <c r="E651" i="87" s="1"/>
  <c r="H689" i="88"/>
  <c r="E652" i="87" s="1"/>
  <c r="H690" i="88"/>
  <c r="E654" i="87" s="1"/>
  <c r="H692" i="88"/>
  <c r="H696" i="88"/>
  <c r="G6" i="89" s="1"/>
  <c r="G69" i="89" s="1"/>
  <c r="H697" i="88"/>
  <c r="H698" i="88"/>
  <c r="E660" i="87" s="1"/>
  <c r="H699" i="88"/>
  <c r="H700" i="88"/>
  <c r="H703" i="88"/>
  <c r="G10" i="89" s="1"/>
  <c r="H704" i="88"/>
  <c r="E664" i="87" s="1"/>
  <c r="H705" i="88"/>
  <c r="H707" i="88"/>
  <c r="E666" i="87" s="1"/>
  <c r="H708" i="88"/>
  <c r="G11" i="89" s="1"/>
  <c r="H709" i="88"/>
  <c r="E668" i="87" s="1"/>
  <c r="H710" i="88"/>
  <c r="E669" i="87" s="1"/>
  <c r="H711" i="88"/>
  <c r="E670" i="87" s="1"/>
  <c r="H712" i="88"/>
  <c r="G13" i="89" s="1"/>
  <c r="H714" i="88"/>
  <c r="E672" i="87" s="1"/>
  <c r="H715" i="88"/>
  <c r="E673" i="87" s="1"/>
  <c r="H716" i="88"/>
  <c r="G14" i="89" s="1"/>
  <c r="H717" i="88"/>
  <c r="E675" i="87" s="1"/>
  <c r="H718" i="88"/>
  <c r="E676" i="87" s="1"/>
  <c r="H720" i="88"/>
  <c r="E677" i="87" s="1"/>
  <c r="H721" i="88"/>
  <c r="E678" i="87" s="1"/>
  <c r="H723" i="88"/>
  <c r="E679" i="87" s="1"/>
  <c r="H724" i="88"/>
  <c r="E680" i="87" s="1"/>
  <c r="H725" i="88"/>
  <c r="E681" i="87" s="1"/>
  <c r="H726" i="88"/>
  <c r="E682" i="87" s="1"/>
  <c r="H729" i="88"/>
  <c r="E683" i="87" s="1"/>
  <c r="H730" i="88"/>
  <c r="E684" i="87" s="1"/>
  <c r="H731" i="88"/>
  <c r="E685" i="87" s="1"/>
  <c r="H733" i="88"/>
  <c r="E686" i="87" s="1"/>
  <c r="H734" i="88"/>
  <c r="E687" i="87" s="1"/>
  <c r="H735" i="88"/>
  <c r="E688" i="87" s="1"/>
  <c r="H736" i="88"/>
  <c r="E689" i="87" s="1"/>
  <c r="H737" i="88"/>
  <c r="E690" i="87" s="1"/>
  <c r="H738" i="88"/>
  <c r="E691" i="87" s="1"/>
  <c r="H740" i="88"/>
  <c r="E692" i="87" s="1"/>
  <c r="H741" i="88"/>
  <c r="E693" i="87" s="1"/>
  <c r="H742" i="88"/>
  <c r="E694" i="87" s="1"/>
  <c r="H743" i="88"/>
  <c r="E695" i="87" s="1"/>
  <c r="H748" i="88"/>
  <c r="E696" i="87" s="1"/>
  <c r="H749" i="88"/>
  <c r="E697" i="87" s="1"/>
  <c r="H750" i="88"/>
  <c r="E698" i="87" s="1"/>
  <c r="H751" i="88"/>
  <c r="E699" i="87" s="1"/>
  <c r="H752" i="88"/>
  <c r="E700" i="87" s="1"/>
  <c r="H755" i="88"/>
  <c r="E701" i="87" s="1"/>
  <c r="H756" i="88"/>
  <c r="E702" i="87" s="1"/>
  <c r="H757" i="88"/>
  <c r="E703" i="87" s="1"/>
  <c r="H759" i="88"/>
  <c r="E704" i="87" s="1"/>
  <c r="H760" i="88"/>
  <c r="E705" i="87" s="1"/>
  <c r="H762" i="88"/>
  <c r="E706" i="87" s="1"/>
  <c r="H763" i="88"/>
  <c r="E707" i="87" s="1"/>
  <c r="H764" i="88"/>
  <c r="E708" i="87" s="1"/>
  <c r="H766" i="88"/>
  <c r="E709" i="87" s="1"/>
  <c r="H767" i="88"/>
  <c r="E710" i="87" s="1"/>
  <c r="H768" i="88"/>
  <c r="E711" i="87" s="1"/>
  <c r="H769" i="88"/>
  <c r="E712" i="87" s="1"/>
  <c r="H770" i="88"/>
  <c r="H771" i="88"/>
  <c r="E714" i="87" s="1"/>
  <c r="H772" i="88"/>
  <c r="E715" i="87" s="1"/>
  <c r="H773" i="88"/>
  <c r="E716" i="87" s="1"/>
  <c r="H774" i="88"/>
  <c r="E717" i="87" s="1"/>
  <c r="H775" i="88"/>
  <c r="E718" i="87" s="1"/>
  <c r="H776" i="88"/>
  <c r="E719" i="87" s="1"/>
  <c r="H777" i="88"/>
  <c r="E720" i="87" s="1"/>
  <c r="H778" i="88"/>
  <c r="E721" i="87" s="1"/>
  <c r="H779" i="88"/>
  <c r="E722" i="87" s="1"/>
  <c r="H780" i="88"/>
  <c r="E723" i="87" s="1"/>
  <c r="H784" i="88"/>
  <c r="H785" i="88"/>
  <c r="E725" i="87" s="1"/>
  <c r="H786" i="88"/>
  <c r="E726" i="87" s="1"/>
  <c r="H787" i="88"/>
  <c r="E727" i="87" s="1"/>
  <c r="H788" i="88"/>
  <c r="E728" i="87" s="1"/>
  <c r="H789" i="88"/>
  <c r="E729" i="87" s="1"/>
  <c r="H790" i="88"/>
  <c r="E730" i="87" s="1"/>
  <c r="H791" i="88"/>
  <c r="E731" i="87" s="1"/>
  <c r="H792" i="88"/>
  <c r="E732" i="87" s="1"/>
  <c r="H793" i="88"/>
  <c r="H794" i="88"/>
  <c r="E734" i="87" s="1"/>
  <c r="H795" i="88"/>
  <c r="E735" i="87" s="1"/>
  <c r="H796" i="88"/>
  <c r="E736" i="87" s="1"/>
  <c r="H797" i="88"/>
  <c r="E737" i="87" s="1"/>
  <c r="H798" i="88"/>
  <c r="E738" i="87" s="1"/>
  <c r="H799" i="88"/>
  <c r="E739" i="87" s="1"/>
  <c r="H800" i="88"/>
  <c r="G20" i="89" s="1"/>
  <c r="H801" i="88"/>
  <c r="G23" i="89" s="1"/>
  <c r="H802" i="88"/>
  <c r="E742" i="87" s="1"/>
  <c r="H803" i="88"/>
  <c r="E743" i="87" s="1"/>
  <c r="H804" i="88"/>
  <c r="E744" i="87" s="1"/>
  <c r="H805" i="88"/>
  <c r="H806" i="88"/>
  <c r="E746" i="87" s="1"/>
  <c r="H807" i="88"/>
  <c r="G24" i="89" s="1"/>
  <c r="H808" i="88"/>
  <c r="E748" i="87" s="1"/>
  <c r="H809" i="88"/>
  <c r="E749" i="87" s="1"/>
  <c r="H810" i="88"/>
  <c r="E750" i="87" s="1"/>
  <c r="H811" i="88"/>
  <c r="E751" i="87" s="1"/>
  <c r="H812" i="88"/>
  <c r="G27" i="89" s="1"/>
  <c r="H813" i="88"/>
  <c r="E753" i="87" s="1"/>
  <c r="H814" i="88"/>
  <c r="E754" i="87" s="1"/>
  <c r="H816" i="88"/>
  <c r="E755" i="87" s="1"/>
  <c r="H817" i="88"/>
  <c r="E756" i="87" s="1"/>
  <c r="H818" i="88"/>
  <c r="E757" i="87" s="1"/>
  <c r="H819" i="88"/>
  <c r="E758" i="87" s="1"/>
  <c r="H820" i="88"/>
  <c r="E759" i="87" s="1"/>
  <c r="H821" i="88"/>
  <c r="E760" i="87" s="1"/>
  <c r="H822" i="88"/>
  <c r="E761" i="87" s="1"/>
  <c r="H823" i="88"/>
  <c r="E762" i="87" s="1"/>
  <c r="H824" i="88"/>
  <c r="E763" i="87" s="1"/>
  <c r="H825" i="88"/>
  <c r="E765" i="87" s="1"/>
  <c r="H826" i="88"/>
  <c r="E766" i="87" s="1"/>
  <c r="H827" i="88"/>
  <c r="E767" i="87" s="1"/>
  <c r="H828" i="88"/>
  <c r="E768" i="87" s="1"/>
  <c r="H829" i="88"/>
  <c r="H830" i="88"/>
  <c r="H831" i="88"/>
  <c r="H832" i="88"/>
  <c r="H833" i="88"/>
  <c r="H834" i="88"/>
  <c r="H837" i="88"/>
  <c r="E771" i="87" s="1"/>
  <c r="H839" i="88"/>
  <c r="E772" i="87" s="1"/>
  <c r="H840" i="88"/>
  <c r="E773" i="87" s="1"/>
  <c r="H842" i="88"/>
  <c r="E774" i="87" s="1"/>
  <c r="H843" i="88"/>
  <c r="E775" i="87" s="1"/>
  <c r="H844" i="88"/>
  <c r="E776" i="87" s="1"/>
  <c r="H845" i="88"/>
  <c r="E777" i="87" s="1"/>
  <c r="H846" i="88"/>
  <c r="E778" i="87" s="1"/>
  <c r="H847" i="88"/>
  <c r="E779" i="87" s="1"/>
  <c r="H852" i="88"/>
  <c r="E780" i="87" s="1"/>
  <c r="H853" i="88"/>
  <c r="E781" i="87" s="1"/>
  <c r="H854" i="88"/>
  <c r="E782" i="87" s="1"/>
  <c r="H855" i="88"/>
  <c r="E783" i="87" s="1"/>
  <c r="H856" i="88"/>
  <c r="E784" i="87" s="1"/>
  <c r="H857" i="88"/>
  <c r="H858" i="88"/>
  <c r="H859" i="88"/>
  <c r="H862" i="88"/>
  <c r="E786" i="87" s="1"/>
  <c r="H864" i="88"/>
  <c r="H867" i="88"/>
  <c r="E788" i="87" s="1"/>
  <c r="H868" i="88"/>
  <c r="E791" i="87" s="1"/>
  <c r="H869" i="88"/>
  <c r="E792" i="87" s="1"/>
  <c r="H873" i="88"/>
  <c r="E793" i="87" s="1"/>
  <c r="H874" i="88"/>
  <c r="E794" i="87" s="1"/>
  <c r="H875" i="88"/>
  <c r="E795" i="87" s="1"/>
  <c r="H876" i="88"/>
  <c r="E796" i="87" s="1"/>
  <c r="H879" i="88"/>
  <c r="E798" i="87" s="1"/>
  <c r="H880" i="88"/>
  <c r="E799" i="87" s="1"/>
  <c r="H881" i="88"/>
  <c r="E800" i="87" s="1"/>
  <c r="H883" i="88"/>
  <c r="E802" i="87" s="1"/>
  <c r="H885" i="88"/>
  <c r="G32" i="89" s="1"/>
  <c r="H73" i="4" s="1"/>
  <c r="H886" i="88"/>
  <c r="J913" i="88" s="1"/>
  <c r="H887" i="88"/>
  <c r="E805" i="87" s="1"/>
  <c r="H888" i="88"/>
  <c r="E806" i="87" s="1"/>
  <c r="H889" i="88"/>
  <c r="E807" i="87" s="1"/>
  <c r="H890" i="88"/>
  <c r="E808" i="87" s="1"/>
  <c r="H891" i="88"/>
  <c r="H892" i="88"/>
  <c r="E810" i="87" s="1"/>
  <c r="H893" i="88"/>
  <c r="G31" i="89" s="1"/>
  <c r="H895" i="88"/>
  <c r="J914" i="88" s="1"/>
  <c r="H896" i="88"/>
  <c r="E813" i="87" s="1"/>
  <c r="H898" i="88"/>
  <c r="E814" i="87" s="1"/>
  <c r="H899" i="88"/>
  <c r="E815" i="87" s="1"/>
  <c r="H900" i="88"/>
  <c r="E816" i="87" s="1"/>
  <c r="H901" i="88"/>
  <c r="E817" i="87" s="1"/>
  <c r="H902" i="88"/>
  <c r="E818" i="87" s="1"/>
  <c r="H903" i="88"/>
  <c r="E819" i="87" s="1"/>
  <c r="H904" i="88"/>
  <c r="E821" i="87" s="1"/>
  <c r="H905" i="88"/>
  <c r="E824" i="87" s="1"/>
  <c r="H906" i="88"/>
  <c r="E825" i="87" s="1"/>
  <c r="H907" i="88"/>
  <c r="E826" i="87" s="1"/>
  <c r="H908" i="88"/>
  <c r="E827" i="87" s="1"/>
  <c r="H909" i="88"/>
  <c r="E828" i="87" s="1"/>
  <c r="H910" i="88"/>
  <c r="E829" i="87" s="1"/>
  <c r="H911" i="88"/>
  <c r="E830" i="87" s="1"/>
  <c r="H912" i="88"/>
  <c r="E831" i="87" s="1"/>
  <c r="H913" i="88"/>
  <c r="E832" i="87" s="1"/>
  <c r="H914" i="88"/>
  <c r="E833" i="87" s="1"/>
  <c r="H915" i="88"/>
  <c r="E834" i="87" s="1"/>
  <c r="H916" i="88"/>
  <c r="E835" i="87" s="1"/>
  <c r="H917" i="88"/>
  <c r="E836" i="87" s="1"/>
  <c r="H918" i="88"/>
  <c r="E837" i="87" s="1"/>
  <c r="H919" i="88"/>
  <c r="E838" i="87" s="1"/>
  <c r="H920" i="88"/>
  <c r="H921" i="88"/>
  <c r="E839" i="87" s="1"/>
  <c r="H922" i="88"/>
  <c r="E840" i="87" s="1"/>
  <c r="H923" i="88"/>
  <c r="E841" i="87" s="1"/>
  <c r="H924" i="88"/>
  <c r="H925" i="88"/>
  <c r="E843" i="87" s="1"/>
  <c r="H926" i="88"/>
  <c r="E844" i="87" s="1"/>
  <c r="H927" i="88"/>
  <c r="H928" i="88"/>
  <c r="H929" i="88"/>
  <c r="E845" i="87" s="1"/>
  <c r="H930" i="88"/>
  <c r="E846" i="87" s="1"/>
  <c r="H931" i="88"/>
  <c r="E847" i="87" s="1"/>
  <c r="H932" i="88"/>
  <c r="E849" i="87" s="1"/>
  <c r="H933" i="88"/>
  <c r="E850" i="87" s="1"/>
  <c r="H934" i="88"/>
  <c r="E851" i="87" s="1"/>
  <c r="H935" i="88"/>
  <c r="E852" i="87" s="1"/>
  <c r="H936" i="88"/>
  <c r="E854" i="87" s="1"/>
  <c r="H937" i="88"/>
  <c r="E855" i="87" s="1"/>
  <c r="H938" i="88"/>
  <c r="E856" i="87" s="1"/>
  <c r="H939" i="88"/>
  <c r="E858" i="87" s="1"/>
  <c r="H940" i="88"/>
  <c r="H941" i="88"/>
  <c r="E861" i="87" s="1"/>
  <c r="H942" i="88"/>
  <c r="E862" i="87" s="1"/>
  <c r="H943" i="88"/>
  <c r="E863" i="87" s="1"/>
  <c r="H944" i="88"/>
  <c r="E864" i="87" s="1"/>
  <c r="H945" i="88"/>
  <c r="H946" i="88"/>
  <c r="H947" i="88"/>
  <c r="E865" i="87" s="1"/>
  <c r="H948" i="88"/>
  <c r="E866" i="87" s="1"/>
  <c r="H949" i="88"/>
  <c r="E867" i="87" s="1"/>
  <c r="H950" i="88"/>
  <c r="E868" i="87" s="1"/>
  <c r="H951" i="88"/>
  <c r="E869" i="87" s="1"/>
  <c r="H952" i="88"/>
  <c r="E870" i="87" s="1"/>
  <c r="H953" i="88"/>
  <c r="E871" i="87" s="1"/>
  <c r="H954" i="88"/>
  <c r="E872" i="87" s="1"/>
  <c r="H955" i="88"/>
  <c r="E874" i="87" s="1"/>
  <c r="H956" i="88"/>
  <c r="E877" i="87" s="1"/>
  <c r="H957" i="88"/>
  <c r="E878" i="87" s="1"/>
  <c r="H958" i="88"/>
  <c r="H959" i="88"/>
  <c r="E879" i="87" s="1"/>
  <c r="H960" i="88"/>
  <c r="E880" i="87" s="1"/>
  <c r="H961" i="88"/>
  <c r="E881" i="87" s="1"/>
  <c r="H962" i="88"/>
  <c r="E882" i="87" s="1"/>
  <c r="H963" i="88"/>
  <c r="E884" i="87" s="1"/>
  <c r="H2" i="88"/>
  <c r="E2" i="87" s="1"/>
  <c r="D27" i="89"/>
  <c r="E27" i="89"/>
  <c r="E80" i="95" s="1"/>
  <c r="F27" i="89"/>
  <c r="F80" i="95" s="1"/>
  <c r="C27" i="89"/>
  <c r="D13" i="89"/>
  <c r="D74" i="95" s="1"/>
  <c r="E13" i="89"/>
  <c r="E74" i="95" s="1"/>
  <c r="F13" i="89"/>
  <c r="F74" i="95" s="1"/>
  <c r="D14" i="89"/>
  <c r="E14" i="89"/>
  <c r="F14" i="89"/>
  <c r="C14" i="89"/>
  <c r="C13" i="89"/>
  <c r="C74" i="95" s="1"/>
  <c r="D12" i="89"/>
  <c r="E12" i="89"/>
  <c r="F12" i="89"/>
  <c r="C12" i="89"/>
  <c r="D5" i="89"/>
  <c r="E5" i="89"/>
  <c r="F5" i="89"/>
  <c r="C5" i="89"/>
  <c r="D23" i="89"/>
  <c r="E23" i="89"/>
  <c r="F23" i="89"/>
  <c r="D24" i="89"/>
  <c r="E24" i="89"/>
  <c r="E85" i="89" s="1"/>
  <c r="F24" i="89"/>
  <c r="F85" i="89" s="1"/>
  <c r="D25" i="89"/>
  <c r="E25" i="89"/>
  <c r="F25" i="89"/>
  <c r="D20" i="89"/>
  <c r="E20" i="89"/>
  <c r="F20" i="89"/>
  <c r="C20" i="89"/>
  <c r="C19" i="89"/>
  <c r="D19" i="89"/>
  <c r="E19" i="89"/>
  <c r="F19" i="89"/>
  <c r="D17" i="89"/>
  <c r="E17" i="89"/>
  <c r="F17" i="89"/>
  <c r="C17" i="89"/>
  <c r="D16" i="89"/>
  <c r="E16" i="89"/>
  <c r="F16" i="89"/>
  <c r="C16" i="89"/>
  <c r="D4" i="89"/>
  <c r="E6" i="77" s="1"/>
  <c r="E4" i="89"/>
  <c r="F6" i="77" s="1"/>
  <c r="F4" i="89"/>
  <c r="G6" i="77" s="1"/>
  <c r="C4" i="89"/>
  <c r="D6" i="89"/>
  <c r="E6" i="89"/>
  <c r="E69" i="89" s="1"/>
  <c r="F6" i="89"/>
  <c r="F69" i="89" s="1"/>
  <c r="D7" i="89"/>
  <c r="E7" i="89"/>
  <c r="E71" i="89" s="1"/>
  <c r="F7" i="89"/>
  <c r="F71" i="89" s="1"/>
  <c r="D8" i="89"/>
  <c r="E8" i="89"/>
  <c r="F8" i="89"/>
  <c r="D9" i="89"/>
  <c r="E9" i="89"/>
  <c r="F9" i="89"/>
  <c r="D10" i="89"/>
  <c r="D73" i="95" s="1"/>
  <c r="E10" i="89"/>
  <c r="F10" i="89"/>
  <c r="D11" i="89"/>
  <c r="E11" i="89"/>
  <c r="F11" i="89"/>
  <c r="C25" i="89"/>
  <c r="C24" i="89"/>
  <c r="C23" i="89"/>
  <c r="C11" i="89"/>
  <c r="C10" i="89"/>
  <c r="C9" i="89"/>
  <c r="C8" i="89"/>
  <c r="C7" i="89"/>
  <c r="C6" i="89"/>
  <c r="D2" i="89"/>
  <c r="E2" i="89" s="1"/>
  <c r="F2" i="89" s="1"/>
  <c r="G2" i="89" s="1"/>
  <c r="H2" i="89" s="1"/>
  <c r="I2" i="89" s="1"/>
  <c r="J2" i="89" s="1"/>
  <c r="K2" i="89" s="1"/>
  <c r="L2" i="89" s="1"/>
  <c r="M2" i="89" s="1"/>
  <c r="N2" i="89" s="1"/>
  <c r="O2" i="89" s="1"/>
  <c r="P2" i="89" s="1"/>
  <c r="Q2" i="89" s="1"/>
  <c r="R2" i="89" s="1"/>
  <c r="S2" i="89" s="1"/>
  <c r="T2" i="89" s="1"/>
  <c r="U2" i="89" s="1"/>
  <c r="E130" i="87"/>
  <c r="E142" i="87"/>
  <c r="E170" i="87"/>
  <c r="E860" i="85"/>
  <c r="E825" i="85"/>
  <c r="E814" i="85"/>
  <c r="E811" i="85"/>
  <c r="E813" i="85"/>
  <c r="E786" i="85"/>
  <c r="E761" i="85"/>
  <c r="E762" i="85"/>
  <c r="E722" i="85"/>
  <c r="E723" i="85"/>
  <c r="E724" i="85"/>
  <c r="E725" i="85"/>
  <c r="E726" i="85"/>
  <c r="E727" i="85"/>
  <c r="E728" i="85"/>
  <c r="E729" i="85"/>
  <c r="E730" i="85"/>
  <c r="E731" i="85"/>
  <c r="E655" i="85"/>
  <c r="E656" i="85"/>
  <c r="E657" i="85"/>
  <c r="E642" i="85"/>
  <c r="E643" i="85"/>
  <c r="E624" i="85"/>
  <c r="E621" i="85"/>
  <c r="E596" i="85"/>
  <c r="E472" i="85"/>
  <c r="E471" i="85"/>
  <c r="E436" i="85"/>
  <c r="E437" i="85"/>
  <c r="E438" i="85"/>
  <c r="E420" i="85"/>
  <c r="E399" i="85"/>
  <c r="E316" i="85"/>
  <c r="E317" i="85"/>
  <c r="E296" i="85"/>
  <c r="E274" i="85"/>
  <c r="E275" i="85"/>
  <c r="E241" i="85"/>
  <c r="E236" i="85"/>
  <c r="E218" i="85"/>
  <c r="E194" i="85"/>
  <c r="E190" i="85"/>
  <c r="E169" i="85"/>
  <c r="E172" i="87"/>
  <c r="E119" i="85"/>
  <c r="E63" i="85"/>
  <c r="E102" i="85"/>
  <c r="E103" i="85"/>
  <c r="E104" i="85"/>
  <c r="E4" i="87"/>
  <c r="E13" i="87"/>
  <c r="E19" i="87"/>
  <c r="E22" i="87"/>
  <c r="E28" i="87"/>
  <c r="E31" i="87"/>
  <c r="E41" i="87"/>
  <c r="E50" i="87"/>
  <c r="E60" i="87"/>
  <c r="E63" i="87"/>
  <c r="E65" i="87"/>
  <c r="E69" i="87"/>
  <c r="E72" i="87"/>
  <c r="E77" i="87"/>
  <c r="E80" i="87"/>
  <c r="E83" i="87"/>
  <c r="E88" i="87"/>
  <c r="E93" i="87"/>
  <c r="E106" i="87"/>
  <c r="E107" i="87"/>
  <c r="E122" i="87"/>
  <c r="E125" i="87"/>
  <c r="E148" i="87"/>
  <c r="E154" i="87"/>
  <c r="E224" i="87"/>
  <c r="E238" i="87"/>
  <c r="E271" i="87"/>
  <c r="E509" i="87"/>
  <c r="E557" i="87"/>
  <c r="E809" i="87"/>
  <c r="E2" i="85"/>
  <c r="E607" i="85"/>
  <c r="E651" i="85"/>
  <c r="E732" i="85"/>
  <c r="E763" i="85"/>
  <c r="E812" i="85"/>
  <c r="E834" i="85"/>
  <c r="E890" i="85"/>
  <c r="E907" i="85"/>
  <c r="E3" i="85"/>
  <c r="E4" i="85"/>
  <c r="E6" i="85"/>
  <c r="E7" i="85"/>
  <c r="E8" i="85"/>
  <c r="E9" i="85"/>
  <c r="E10" i="85"/>
  <c r="E11" i="85"/>
  <c r="E12" i="85"/>
  <c r="E13" i="85"/>
  <c r="E14" i="85"/>
  <c r="E15" i="85"/>
  <c r="E16" i="85"/>
  <c r="E17" i="85"/>
  <c r="E19" i="85"/>
  <c r="E20" i="85"/>
  <c r="E21" i="85"/>
  <c r="E22" i="85"/>
  <c r="E23" i="85"/>
  <c r="E24" i="85"/>
  <c r="E26" i="85"/>
  <c r="E27" i="85"/>
  <c r="E28" i="85"/>
  <c r="E29" i="85"/>
  <c r="E30" i="85"/>
  <c r="E31" i="85"/>
  <c r="E32" i="85"/>
  <c r="E34" i="85"/>
  <c r="E35" i="85"/>
  <c r="E36" i="85"/>
  <c r="E38" i="85"/>
  <c r="E39" i="85"/>
  <c r="E40" i="85"/>
  <c r="E42" i="85"/>
  <c r="E43" i="85"/>
  <c r="E44" i="85"/>
  <c r="E45" i="85"/>
  <c r="E46" i="85"/>
  <c r="E47" i="85"/>
  <c r="E48" i="85"/>
  <c r="E49" i="85"/>
  <c r="E50" i="85"/>
  <c r="E51" i="85"/>
  <c r="E52" i="85"/>
  <c r="E54" i="85"/>
  <c r="E57" i="85"/>
  <c r="E58" i="85"/>
  <c r="E59" i="85"/>
  <c r="E60" i="85"/>
  <c r="E61" i="85"/>
  <c r="E62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6" i="85"/>
  <c r="E109" i="85"/>
  <c r="E110" i="85"/>
  <c r="E111" i="85"/>
  <c r="E112" i="85"/>
  <c r="E113" i="85"/>
  <c r="E114" i="85"/>
  <c r="E115" i="85"/>
  <c r="E116" i="85"/>
  <c r="E117" i="85"/>
  <c r="E118" i="85"/>
  <c r="E121" i="85"/>
  <c r="E123" i="85"/>
  <c r="E124" i="85"/>
  <c r="E125" i="85"/>
  <c r="E126" i="85"/>
  <c r="E127" i="85"/>
  <c r="E128" i="85"/>
  <c r="E129" i="85"/>
  <c r="E130" i="85"/>
  <c r="E131" i="85"/>
  <c r="E132" i="85"/>
  <c r="E134" i="85"/>
  <c r="E135" i="85"/>
  <c r="E136" i="85"/>
  <c r="E137" i="85"/>
  <c r="E138" i="85"/>
  <c r="E139" i="85"/>
  <c r="E140" i="85"/>
  <c r="E141" i="85"/>
  <c r="E142" i="85"/>
  <c r="E144" i="85"/>
  <c r="E145" i="85"/>
  <c r="E146" i="85"/>
  <c r="E148" i="85"/>
  <c r="E151" i="85"/>
  <c r="E152" i="85"/>
  <c r="E153" i="85"/>
  <c r="E154" i="85"/>
  <c r="E155" i="85"/>
  <c r="E156" i="85"/>
  <c r="E157" i="85"/>
  <c r="E158" i="85"/>
  <c r="E159" i="85"/>
  <c r="E160" i="85"/>
  <c r="E161" i="85"/>
  <c r="E162" i="85"/>
  <c r="E163" i="85"/>
  <c r="E164" i="85"/>
  <c r="E165" i="85"/>
  <c r="E166" i="85"/>
  <c r="E167" i="85"/>
  <c r="E168" i="85"/>
  <c r="E170" i="85"/>
  <c r="E171" i="85"/>
  <c r="E173" i="85"/>
  <c r="E174" i="85"/>
  <c r="E175" i="85"/>
  <c r="E176" i="85"/>
  <c r="E177" i="85"/>
  <c r="E178" i="85"/>
  <c r="E179" i="85"/>
  <c r="E180" i="85"/>
  <c r="E181" i="85"/>
  <c r="E182" i="85"/>
  <c r="E183" i="85"/>
  <c r="E184" i="85"/>
  <c r="E185" i="85"/>
  <c r="E186" i="85"/>
  <c r="E187" i="85"/>
  <c r="E188" i="85"/>
  <c r="E189" i="85"/>
  <c r="E191" i="85"/>
  <c r="E192" i="85"/>
  <c r="E193" i="85"/>
  <c r="E195" i="85"/>
  <c r="E196" i="85"/>
  <c r="E197" i="85"/>
  <c r="E198" i="85"/>
  <c r="E199" i="85"/>
  <c r="E200" i="85"/>
  <c r="E202" i="85"/>
  <c r="E203" i="85"/>
  <c r="E204" i="85"/>
  <c r="E205" i="85"/>
  <c r="E206" i="85"/>
  <c r="E207" i="85"/>
  <c r="E208" i="85"/>
  <c r="E209" i="85"/>
  <c r="E210" i="85"/>
  <c r="E211" i="85"/>
  <c r="E212" i="85"/>
  <c r="E213" i="85"/>
  <c r="E214" i="85"/>
  <c r="E215" i="85"/>
  <c r="E216" i="85"/>
  <c r="E217" i="85"/>
  <c r="E219" i="85"/>
  <c r="E220" i="85"/>
  <c r="E221" i="85"/>
  <c r="E222" i="85"/>
  <c r="E223" i="85"/>
  <c r="E224" i="85"/>
  <c r="E225" i="85"/>
  <c r="E226" i="85"/>
  <c r="E227" i="85"/>
  <c r="E228" i="85"/>
  <c r="E229" i="85"/>
  <c r="E230" i="85"/>
  <c r="E231" i="85"/>
  <c r="E232" i="85"/>
  <c r="E233" i="85"/>
  <c r="E234" i="85"/>
  <c r="E235" i="85"/>
  <c r="E237" i="85"/>
  <c r="E238" i="85"/>
  <c r="E240" i="85"/>
  <c r="E242" i="85"/>
  <c r="E243" i="85"/>
  <c r="E244" i="85"/>
  <c r="E245" i="85"/>
  <c r="E246" i="85"/>
  <c r="E247" i="85"/>
  <c r="E248" i="85"/>
  <c r="E249" i="85"/>
  <c r="E250" i="85"/>
  <c r="E251" i="85"/>
  <c r="E252" i="85"/>
  <c r="E253" i="85"/>
  <c r="E254" i="85"/>
  <c r="E255" i="85"/>
  <c r="E256" i="85"/>
  <c r="E257" i="85"/>
  <c r="E258" i="85"/>
  <c r="E259" i="85"/>
  <c r="E260" i="85"/>
  <c r="E261" i="85"/>
  <c r="E262" i="85"/>
  <c r="E263" i="85"/>
  <c r="E265" i="85"/>
  <c r="E266" i="85"/>
  <c r="E267" i="85"/>
  <c r="E268" i="85"/>
  <c r="E269" i="85"/>
  <c r="E270" i="85"/>
  <c r="E271" i="85"/>
  <c r="E272" i="85"/>
  <c r="E273" i="85"/>
  <c r="E276" i="85"/>
  <c r="E278" i="85"/>
  <c r="E279" i="85"/>
  <c r="E280" i="85"/>
  <c r="E281" i="85"/>
  <c r="E282" i="85"/>
  <c r="E283" i="85"/>
  <c r="E284" i="85"/>
  <c r="E285" i="85"/>
  <c r="E286" i="85"/>
  <c r="E287" i="85"/>
  <c r="E288" i="85"/>
  <c r="E289" i="85"/>
  <c r="E290" i="85"/>
  <c r="E291" i="85"/>
  <c r="E292" i="85"/>
  <c r="E293" i="85"/>
  <c r="E294" i="85"/>
  <c r="E295" i="85"/>
  <c r="E297" i="85"/>
  <c r="E298" i="85"/>
  <c r="E300" i="85"/>
  <c r="E301" i="85"/>
  <c r="E302" i="85"/>
  <c r="E303" i="85"/>
  <c r="E304" i="85"/>
  <c r="E305" i="85"/>
  <c r="E306" i="85"/>
  <c r="E307" i="85"/>
  <c r="E309" i="85"/>
  <c r="E310" i="85"/>
  <c r="E311" i="85"/>
  <c r="E312" i="85"/>
  <c r="E313" i="85"/>
  <c r="E314" i="85"/>
  <c r="E315" i="85"/>
  <c r="E318" i="85"/>
  <c r="E319" i="85"/>
  <c r="E320" i="85"/>
  <c r="E322" i="85"/>
  <c r="E325" i="85"/>
  <c r="E326" i="85"/>
  <c r="E327" i="85"/>
  <c r="E329" i="85"/>
  <c r="E330" i="85"/>
  <c r="E331" i="85"/>
  <c r="E333" i="85"/>
  <c r="E334" i="85"/>
  <c r="E335" i="85"/>
  <c r="E336" i="85"/>
  <c r="E337" i="85"/>
  <c r="E338" i="85"/>
  <c r="E339" i="85"/>
  <c r="E340" i="85"/>
  <c r="E341" i="85"/>
  <c r="E342" i="85"/>
  <c r="E344" i="85"/>
  <c r="E347" i="85"/>
  <c r="E348" i="85"/>
  <c r="E349" i="85"/>
  <c r="E350" i="85"/>
  <c r="E351" i="85"/>
  <c r="E352" i="85"/>
  <c r="E353" i="85"/>
  <c r="E354" i="85"/>
  <c r="E355" i="85"/>
  <c r="E356" i="85"/>
  <c r="E357" i="85"/>
  <c r="E358" i="85"/>
  <c r="E360" i="85"/>
  <c r="E359" i="85"/>
  <c r="E361" i="85"/>
  <c r="E362" i="85"/>
  <c r="E363" i="85"/>
  <c r="E364" i="85"/>
  <c r="E365" i="85"/>
  <c r="E366" i="85"/>
  <c r="E367" i="85"/>
  <c r="E368" i="85"/>
  <c r="E369" i="85"/>
  <c r="E370" i="85"/>
  <c r="E371" i="85"/>
  <c r="E372" i="85"/>
  <c r="E373" i="85"/>
  <c r="E374" i="85"/>
  <c r="E375" i="85"/>
  <c r="E376" i="85"/>
  <c r="E377" i="85"/>
  <c r="E378" i="85"/>
  <c r="E379" i="85"/>
  <c r="E380" i="85"/>
  <c r="E381" i="85"/>
  <c r="E382" i="85"/>
  <c r="E383" i="85"/>
  <c r="E384" i="85"/>
  <c r="E385" i="85"/>
  <c r="E386" i="85"/>
  <c r="E387" i="85"/>
  <c r="E388" i="85"/>
  <c r="E389" i="85"/>
  <c r="E390" i="85"/>
  <c r="E391" i="85"/>
  <c r="E392" i="85"/>
  <c r="E393" i="85"/>
  <c r="E394" i="85"/>
  <c r="E395" i="85"/>
  <c r="E396" i="85"/>
  <c r="E397" i="85"/>
  <c r="E398" i="85"/>
  <c r="E400" i="85"/>
  <c r="E401" i="85"/>
  <c r="E402" i="85"/>
  <c r="E403" i="85"/>
  <c r="E404" i="85"/>
  <c r="E405" i="85"/>
  <c r="E406" i="85"/>
  <c r="E407" i="85"/>
  <c r="E408" i="85"/>
  <c r="E409" i="85"/>
  <c r="E410" i="85"/>
  <c r="E411" i="85"/>
  <c r="E412" i="85"/>
  <c r="E413" i="85"/>
  <c r="E414" i="85"/>
  <c r="E415" i="85"/>
  <c r="E416" i="85"/>
  <c r="E417" i="85"/>
  <c r="E418" i="85"/>
  <c r="E419" i="85"/>
  <c r="E421" i="85"/>
  <c r="E422" i="85"/>
  <c r="E423" i="85"/>
  <c r="E424" i="85"/>
  <c r="E425" i="85"/>
  <c r="E426" i="85"/>
  <c r="E427" i="85"/>
  <c r="E428" i="85"/>
  <c r="E429" i="85"/>
  <c r="E430" i="85"/>
  <c r="E431" i="85"/>
  <c r="E432" i="85"/>
  <c r="E433" i="85"/>
  <c r="E434" i="85"/>
  <c r="E435" i="85"/>
  <c r="E439" i="85"/>
  <c r="E440" i="85"/>
  <c r="E442" i="85"/>
  <c r="E443" i="85"/>
  <c r="E444" i="85"/>
  <c r="E445" i="85"/>
  <c r="E446" i="85"/>
  <c r="E447" i="85"/>
  <c r="E448" i="85"/>
  <c r="E449" i="85"/>
  <c r="E450" i="85"/>
  <c r="E451" i="85"/>
  <c r="E452" i="85"/>
  <c r="E453" i="85"/>
  <c r="E454" i="85"/>
  <c r="E455" i="85"/>
  <c r="E456" i="85"/>
  <c r="E457" i="85"/>
  <c r="E458" i="85"/>
  <c r="E459" i="85"/>
  <c r="E460" i="85"/>
  <c r="E461" i="85"/>
  <c r="E462" i="85"/>
  <c r="E463" i="85"/>
  <c r="E464" i="85"/>
  <c r="E465" i="85"/>
  <c r="E466" i="85"/>
  <c r="E467" i="85"/>
  <c r="E468" i="85"/>
  <c r="E469" i="85"/>
  <c r="E470" i="85"/>
  <c r="E473" i="85"/>
  <c r="E474" i="85"/>
  <c r="E475" i="85"/>
  <c r="E476" i="85"/>
  <c r="E477" i="85"/>
  <c r="E478" i="85"/>
  <c r="E479" i="85"/>
  <c r="E480" i="85"/>
  <c r="E481" i="85"/>
  <c r="E482" i="85"/>
  <c r="E483" i="85"/>
  <c r="E484" i="85"/>
  <c r="E485" i="85"/>
  <c r="E486" i="85"/>
  <c r="E487" i="85"/>
  <c r="E488" i="85"/>
  <c r="E489" i="85"/>
  <c r="E490" i="85"/>
  <c r="E491" i="85"/>
  <c r="E493" i="85"/>
  <c r="E494" i="85"/>
  <c r="E495" i="85"/>
  <c r="E496" i="85"/>
  <c r="E497" i="85"/>
  <c r="E498" i="85"/>
  <c r="E499" i="85"/>
  <c r="E500" i="85"/>
  <c r="E501" i="85"/>
  <c r="E502" i="85"/>
  <c r="E503" i="85"/>
  <c r="E504" i="85"/>
  <c r="E505" i="85"/>
  <c r="E506" i="85"/>
  <c r="E507" i="85"/>
  <c r="E508" i="85"/>
  <c r="E509" i="85"/>
  <c r="E510" i="85"/>
  <c r="E511" i="85"/>
  <c r="E512" i="85"/>
  <c r="E513" i="85"/>
  <c r="E514" i="85"/>
  <c r="E515" i="85"/>
  <c r="E516" i="85"/>
  <c r="E517" i="85"/>
  <c r="E518" i="85"/>
  <c r="E519" i="85"/>
  <c r="E520" i="85"/>
  <c r="E521" i="85"/>
  <c r="E522" i="85"/>
  <c r="E523" i="85"/>
  <c r="E524" i="85"/>
  <c r="E525" i="85"/>
  <c r="E526" i="85"/>
  <c r="E527" i="85"/>
  <c r="E528" i="85"/>
  <c r="E529" i="85"/>
  <c r="E530" i="85"/>
  <c r="E531" i="85"/>
  <c r="E532" i="85"/>
  <c r="E533" i="85"/>
  <c r="E534" i="85"/>
  <c r="E535" i="85"/>
  <c r="E536" i="85"/>
  <c r="E537" i="85"/>
  <c r="E538" i="85"/>
  <c r="E539" i="85"/>
  <c r="E540" i="85"/>
  <c r="E541" i="85"/>
  <c r="E542" i="85"/>
  <c r="E543" i="85"/>
  <c r="E544" i="85"/>
  <c r="E545" i="85"/>
  <c r="E546" i="85"/>
  <c r="E547" i="85"/>
  <c r="E548" i="85"/>
  <c r="E549" i="85"/>
  <c r="E550" i="85"/>
  <c r="E551" i="85"/>
  <c r="E552" i="85"/>
  <c r="E553" i="85"/>
  <c r="E554" i="85"/>
  <c r="E555" i="85"/>
  <c r="E556" i="85"/>
  <c r="E557" i="85"/>
  <c r="E558" i="85"/>
  <c r="E559" i="85"/>
  <c r="E560" i="85"/>
  <c r="E561" i="85"/>
  <c r="E562" i="85"/>
  <c r="E563" i="85"/>
  <c r="E564" i="85"/>
  <c r="E565" i="85"/>
  <c r="E566" i="85"/>
  <c r="E567" i="85"/>
  <c r="E568" i="85"/>
  <c r="E569" i="85"/>
  <c r="E570" i="85"/>
  <c r="E571" i="85"/>
  <c r="E572" i="85"/>
  <c r="E573" i="85"/>
  <c r="E574" i="85"/>
  <c r="E575" i="85"/>
  <c r="E576" i="85"/>
  <c r="E577" i="85"/>
  <c r="E578" i="85"/>
  <c r="E579" i="85"/>
  <c r="E580" i="85"/>
  <c r="E581" i="85"/>
  <c r="E582" i="85"/>
  <c r="E583" i="85"/>
  <c r="E584" i="85"/>
  <c r="E585" i="85"/>
  <c r="E586" i="85"/>
  <c r="E587" i="85"/>
  <c r="E588" i="85"/>
  <c r="E589" i="85"/>
  <c r="E590" i="85"/>
  <c r="E591" i="85"/>
  <c r="E593" i="85"/>
  <c r="E594" i="85"/>
  <c r="E595" i="85"/>
  <c r="E597" i="85"/>
  <c r="E598" i="85"/>
  <c r="E599" i="85"/>
  <c r="E600" i="85"/>
  <c r="E602" i="85"/>
  <c r="E603" i="85"/>
  <c r="E604" i="85"/>
  <c r="E605" i="85"/>
  <c r="E606" i="85"/>
  <c r="E608" i="85"/>
  <c r="E609" i="85"/>
  <c r="E610" i="85"/>
  <c r="E611" i="85"/>
  <c r="E612" i="85"/>
  <c r="E613" i="85"/>
  <c r="E614" i="85"/>
  <c r="E615" i="85"/>
  <c r="E616" i="85"/>
  <c r="E617" i="85"/>
  <c r="E618" i="85"/>
  <c r="E619" i="85"/>
  <c r="E620" i="85"/>
  <c r="E622" i="85"/>
  <c r="E623" i="85"/>
  <c r="E625" i="85"/>
  <c r="E626" i="85"/>
  <c r="E628" i="85"/>
  <c r="E629" i="85"/>
  <c r="E630" i="85"/>
  <c r="E631" i="85"/>
  <c r="E632" i="85"/>
  <c r="E633" i="85"/>
  <c r="E634" i="85"/>
  <c r="E635" i="85"/>
  <c r="E636" i="85"/>
  <c r="E637" i="85"/>
  <c r="E638" i="85"/>
  <c r="E639" i="85"/>
  <c r="E640" i="85"/>
  <c r="E644" i="85"/>
  <c r="E645" i="85"/>
  <c r="E646" i="85"/>
  <c r="E647" i="85"/>
  <c r="E648" i="85"/>
  <c r="E649" i="85"/>
  <c r="E650" i="85"/>
  <c r="E652" i="85"/>
  <c r="E653" i="85"/>
  <c r="E659" i="85"/>
  <c r="E660" i="85"/>
  <c r="E661" i="85"/>
  <c r="E662" i="85"/>
  <c r="E664" i="85"/>
  <c r="E667" i="85"/>
  <c r="E668" i="85"/>
  <c r="E669" i="85"/>
  <c r="E670" i="85"/>
  <c r="E671" i="85"/>
  <c r="E672" i="85"/>
  <c r="E673" i="85"/>
  <c r="E674" i="85"/>
  <c r="E675" i="85"/>
  <c r="E676" i="85"/>
  <c r="E677" i="85"/>
  <c r="E678" i="85"/>
  <c r="E679" i="85"/>
  <c r="E680" i="85"/>
  <c r="E681" i="85"/>
  <c r="E682" i="85"/>
  <c r="E683" i="85"/>
  <c r="E684" i="85"/>
  <c r="E685" i="85"/>
  <c r="E686" i="85"/>
  <c r="E687" i="85"/>
  <c r="E688" i="85"/>
  <c r="E689" i="85"/>
  <c r="E690" i="85"/>
  <c r="E691" i="85"/>
  <c r="E692" i="85"/>
  <c r="E693" i="85"/>
  <c r="E694" i="85"/>
  <c r="E695" i="85"/>
  <c r="E696" i="85"/>
  <c r="E697" i="85"/>
  <c r="E698" i="85"/>
  <c r="E699" i="85"/>
  <c r="E700" i="85"/>
  <c r="E701" i="85"/>
  <c r="E702" i="85"/>
  <c r="E703" i="85"/>
  <c r="E704" i="85"/>
  <c r="E705" i="85"/>
  <c r="E706" i="85"/>
  <c r="E707" i="85"/>
  <c r="E708" i="85"/>
  <c r="E709" i="85"/>
  <c r="E710" i="85"/>
  <c r="E711" i="85"/>
  <c r="E712" i="85"/>
  <c r="E713" i="85"/>
  <c r="E714" i="85"/>
  <c r="E715" i="85"/>
  <c r="E716" i="85"/>
  <c r="E717" i="85"/>
  <c r="E718" i="85"/>
  <c r="E719" i="85"/>
  <c r="E720" i="85"/>
  <c r="E721" i="85"/>
  <c r="E733" i="85"/>
  <c r="E734" i="85"/>
  <c r="E735" i="85"/>
  <c r="E736" i="85"/>
  <c r="E737" i="85"/>
  <c r="E738" i="85"/>
  <c r="E739" i="85"/>
  <c r="E740" i="85"/>
  <c r="E741" i="85"/>
  <c r="E742" i="85"/>
  <c r="E743" i="85"/>
  <c r="E744" i="85"/>
  <c r="E745" i="85"/>
  <c r="E746" i="85"/>
  <c r="E747" i="85"/>
  <c r="E748" i="85"/>
  <c r="E749" i="85"/>
  <c r="E750" i="85"/>
  <c r="E751" i="85"/>
  <c r="E752" i="85"/>
  <c r="E753" i="85"/>
  <c r="E754" i="85"/>
  <c r="E755" i="85"/>
  <c r="E756" i="85"/>
  <c r="E757" i="85"/>
  <c r="E758" i="85"/>
  <c r="E759" i="85"/>
  <c r="E760" i="85"/>
  <c r="E764" i="85"/>
  <c r="E765" i="85"/>
  <c r="E766" i="85"/>
  <c r="E767" i="85"/>
  <c r="E768" i="85"/>
  <c r="E769" i="85"/>
  <c r="E770" i="85"/>
  <c r="E771" i="85"/>
  <c r="E773" i="85"/>
  <c r="E774" i="85"/>
  <c r="E775" i="85"/>
  <c r="E777" i="85"/>
  <c r="E778" i="85"/>
  <c r="E779" i="85"/>
  <c r="E780" i="85"/>
  <c r="E781" i="85"/>
  <c r="E782" i="85"/>
  <c r="E783" i="85"/>
  <c r="E784" i="85"/>
  <c r="E785" i="85"/>
  <c r="E787" i="85"/>
  <c r="E788" i="85"/>
  <c r="E789" i="85"/>
  <c r="E790" i="85"/>
  <c r="E791" i="85"/>
  <c r="E792" i="85"/>
  <c r="E793" i="85"/>
  <c r="E794" i="85"/>
  <c r="E795" i="85"/>
  <c r="E796" i="85"/>
  <c r="E797" i="85"/>
  <c r="E799" i="85"/>
  <c r="E800" i="85"/>
  <c r="E801" i="85"/>
  <c r="E802" i="85"/>
  <c r="E803" i="85"/>
  <c r="E804" i="85"/>
  <c r="E805" i="85"/>
  <c r="E806" i="85"/>
  <c r="E807" i="85"/>
  <c r="E809" i="85"/>
  <c r="E810" i="85"/>
  <c r="E815" i="85"/>
  <c r="E816" i="85"/>
  <c r="E817" i="85"/>
  <c r="E819" i="85"/>
  <c r="E820" i="85"/>
  <c r="E821" i="85"/>
  <c r="E823" i="85"/>
  <c r="E824" i="85"/>
  <c r="E826" i="85"/>
  <c r="E827" i="85"/>
  <c r="E828" i="85"/>
  <c r="E829" i="85"/>
  <c r="E830" i="85"/>
  <c r="E831" i="85"/>
  <c r="E832" i="85"/>
  <c r="E833" i="85"/>
  <c r="E835" i="85"/>
  <c r="E836" i="85"/>
  <c r="E837" i="85"/>
  <c r="E838" i="85"/>
  <c r="E839" i="85"/>
  <c r="E840" i="85"/>
  <c r="E842" i="85"/>
  <c r="E845" i="85"/>
  <c r="E846" i="85"/>
  <c r="E847" i="85"/>
  <c r="E848" i="85"/>
  <c r="E849" i="85"/>
  <c r="E850" i="85"/>
  <c r="E851" i="85"/>
  <c r="E852" i="85"/>
  <c r="E853" i="85"/>
  <c r="E854" i="85"/>
  <c r="E855" i="85"/>
  <c r="E856" i="85"/>
  <c r="E857" i="85"/>
  <c r="E858" i="85"/>
  <c r="E859" i="85"/>
  <c r="E861" i="85"/>
  <c r="E862" i="85"/>
  <c r="E864" i="85"/>
  <c r="E865" i="85"/>
  <c r="E866" i="85"/>
  <c r="E867" i="85"/>
  <c r="E868" i="85"/>
  <c r="E870" i="85"/>
  <c r="E871" i="85"/>
  <c r="E872" i="85"/>
  <c r="E873" i="85"/>
  <c r="E875" i="85"/>
  <c r="E876" i="85"/>
  <c r="E877" i="85"/>
  <c r="E879" i="85"/>
  <c r="E882" i="85"/>
  <c r="E883" i="85"/>
  <c r="E884" i="85"/>
  <c r="E885" i="85"/>
  <c r="E886" i="85"/>
  <c r="E887" i="85"/>
  <c r="E888" i="85"/>
  <c r="E889" i="85"/>
  <c r="E891" i="85"/>
  <c r="E892" i="85"/>
  <c r="E893" i="85"/>
  <c r="E894" i="85"/>
  <c r="E896" i="85"/>
  <c r="E899" i="85"/>
  <c r="E900" i="85"/>
  <c r="E901" i="85"/>
  <c r="E902" i="85"/>
  <c r="E903" i="85"/>
  <c r="E904" i="85"/>
  <c r="E906" i="85"/>
  <c r="E3" i="83"/>
  <c r="E4" i="83"/>
  <c r="E5" i="83"/>
  <c r="E6" i="83"/>
  <c r="E7" i="83"/>
  <c r="E8" i="83"/>
  <c r="E9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E103" i="83"/>
  <c r="E104" i="83"/>
  <c r="E105" i="83"/>
  <c r="E106" i="83"/>
  <c r="E107" i="83"/>
  <c r="E108" i="83"/>
  <c r="E109" i="83"/>
  <c r="E110" i="83"/>
  <c r="E111" i="83"/>
  <c r="E112" i="83"/>
  <c r="E113" i="83"/>
  <c r="E114" i="83"/>
  <c r="E115" i="83"/>
  <c r="E116" i="83"/>
  <c r="E117" i="83"/>
  <c r="E118" i="83"/>
  <c r="E119" i="83"/>
  <c r="E120" i="83"/>
  <c r="E121" i="83"/>
  <c r="E122" i="83"/>
  <c r="E123" i="83"/>
  <c r="E124" i="83"/>
  <c r="E125" i="83"/>
  <c r="E126" i="83"/>
  <c r="E127" i="83"/>
  <c r="E128" i="83"/>
  <c r="E129" i="83"/>
  <c r="E130" i="83"/>
  <c r="E131" i="83"/>
  <c r="E132" i="83"/>
  <c r="E133" i="83"/>
  <c r="E134" i="83"/>
  <c r="E135" i="83"/>
  <c r="E136" i="83"/>
  <c r="E137" i="83"/>
  <c r="E138" i="83"/>
  <c r="E139" i="83"/>
  <c r="E140" i="83"/>
  <c r="E141" i="83"/>
  <c r="E142" i="83"/>
  <c r="E143" i="83"/>
  <c r="E144" i="83"/>
  <c r="E145" i="83"/>
  <c r="E146" i="83"/>
  <c r="E147" i="83"/>
  <c r="E148" i="83"/>
  <c r="E149" i="83"/>
  <c r="E150" i="83"/>
  <c r="E151" i="83"/>
  <c r="E152" i="83"/>
  <c r="E153" i="83"/>
  <c r="E154" i="83"/>
  <c r="E155" i="83"/>
  <c r="E156" i="83"/>
  <c r="E157" i="83"/>
  <c r="E158" i="83"/>
  <c r="E159" i="83"/>
  <c r="E160" i="83"/>
  <c r="E161" i="83"/>
  <c r="E162" i="83"/>
  <c r="E163" i="83"/>
  <c r="E164" i="83"/>
  <c r="E165" i="83"/>
  <c r="E166" i="83"/>
  <c r="E167" i="83"/>
  <c r="E168" i="83"/>
  <c r="E169" i="83"/>
  <c r="E170" i="83"/>
  <c r="E171" i="83"/>
  <c r="E172" i="83"/>
  <c r="E173" i="83"/>
  <c r="E174" i="83"/>
  <c r="E175" i="83"/>
  <c r="E176" i="83"/>
  <c r="E177" i="83"/>
  <c r="E178" i="83"/>
  <c r="E179" i="83"/>
  <c r="E180" i="83"/>
  <c r="E181" i="83"/>
  <c r="E182" i="83"/>
  <c r="E183" i="83"/>
  <c r="E184" i="83"/>
  <c r="E185" i="83"/>
  <c r="E186" i="83"/>
  <c r="E187" i="83"/>
  <c r="E188" i="83"/>
  <c r="E189" i="83"/>
  <c r="E190" i="83"/>
  <c r="E191" i="83"/>
  <c r="E192" i="83"/>
  <c r="E193" i="83"/>
  <c r="E194" i="83"/>
  <c r="E195" i="83"/>
  <c r="E196" i="83"/>
  <c r="E197" i="83"/>
  <c r="E198" i="83"/>
  <c r="E199" i="83"/>
  <c r="E200" i="83"/>
  <c r="E201" i="83"/>
  <c r="E202" i="83"/>
  <c r="E203" i="83"/>
  <c r="E204" i="83"/>
  <c r="E205" i="83"/>
  <c r="E206" i="83"/>
  <c r="E207" i="83"/>
  <c r="E208" i="83"/>
  <c r="E209" i="83"/>
  <c r="E210" i="83"/>
  <c r="E211" i="83"/>
  <c r="E212" i="83"/>
  <c r="E213" i="83"/>
  <c r="E214" i="83"/>
  <c r="E215" i="83"/>
  <c r="E216" i="83"/>
  <c r="E217" i="83"/>
  <c r="E218" i="83"/>
  <c r="E219" i="83"/>
  <c r="E220" i="83"/>
  <c r="E221" i="83"/>
  <c r="E222" i="83"/>
  <c r="E223" i="83"/>
  <c r="E224" i="83"/>
  <c r="E225" i="83"/>
  <c r="E226" i="83"/>
  <c r="E227" i="83"/>
  <c r="E228" i="83"/>
  <c r="E229" i="83"/>
  <c r="E230" i="83"/>
  <c r="E231" i="83"/>
  <c r="E232" i="83"/>
  <c r="E233" i="83"/>
  <c r="E234" i="83"/>
  <c r="E235" i="83"/>
  <c r="E236" i="83"/>
  <c r="E237" i="83"/>
  <c r="E238" i="83"/>
  <c r="E239" i="83"/>
  <c r="E240" i="83"/>
  <c r="E241" i="83"/>
  <c r="E242" i="83"/>
  <c r="E243" i="83"/>
  <c r="E244" i="83"/>
  <c r="E245" i="83"/>
  <c r="E246" i="83"/>
  <c r="E247" i="83"/>
  <c r="E248" i="83"/>
  <c r="E249" i="83"/>
  <c r="E250" i="83"/>
  <c r="E251" i="83"/>
  <c r="E252" i="83"/>
  <c r="E253" i="83"/>
  <c r="E254" i="83"/>
  <c r="E255" i="83"/>
  <c r="E256" i="83"/>
  <c r="E257" i="83"/>
  <c r="E258" i="83"/>
  <c r="E259" i="83"/>
  <c r="E260" i="83"/>
  <c r="E261" i="83"/>
  <c r="E262" i="83"/>
  <c r="E263" i="83"/>
  <c r="E264" i="83"/>
  <c r="E265" i="83"/>
  <c r="E266" i="83"/>
  <c r="E267" i="83"/>
  <c r="E268" i="83"/>
  <c r="E269" i="83"/>
  <c r="E270" i="83"/>
  <c r="E271" i="83"/>
  <c r="E272" i="83"/>
  <c r="E273" i="83"/>
  <c r="E274" i="83"/>
  <c r="E275" i="83"/>
  <c r="E276" i="83"/>
  <c r="E277" i="83"/>
  <c r="E278" i="83"/>
  <c r="E279" i="83"/>
  <c r="E280" i="83"/>
  <c r="E281" i="83"/>
  <c r="E282" i="83"/>
  <c r="E283" i="83"/>
  <c r="E284" i="83"/>
  <c r="E285" i="83"/>
  <c r="E286" i="83"/>
  <c r="E287" i="83"/>
  <c r="E288" i="83"/>
  <c r="E289" i="83"/>
  <c r="E290" i="83"/>
  <c r="E291" i="83"/>
  <c r="E292" i="83"/>
  <c r="E293" i="83"/>
  <c r="E294" i="83"/>
  <c r="E295" i="83"/>
  <c r="E296" i="83"/>
  <c r="E297" i="83"/>
  <c r="E298" i="83"/>
  <c r="E299" i="83"/>
  <c r="E300" i="83"/>
  <c r="E301" i="83"/>
  <c r="E302" i="83"/>
  <c r="E303" i="83"/>
  <c r="E304" i="83"/>
  <c r="E305" i="83"/>
  <c r="E306" i="83"/>
  <c r="E307" i="83"/>
  <c r="E308" i="83"/>
  <c r="E309" i="83"/>
  <c r="E310" i="83"/>
  <c r="E311" i="83"/>
  <c r="E312" i="83"/>
  <c r="E313" i="83"/>
  <c r="E314" i="83"/>
  <c r="E315" i="83"/>
  <c r="E316" i="83"/>
  <c r="E317" i="83"/>
  <c r="E318" i="83"/>
  <c r="E319" i="83"/>
  <c r="E320" i="83"/>
  <c r="E321" i="83"/>
  <c r="E322" i="83"/>
  <c r="E323" i="83"/>
  <c r="E324" i="83"/>
  <c r="E325" i="83"/>
  <c r="E326" i="83"/>
  <c r="E327" i="83"/>
  <c r="E328" i="83"/>
  <c r="E329" i="83"/>
  <c r="E330" i="83"/>
  <c r="E331" i="83"/>
  <c r="E332" i="83"/>
  <c r="E333" i="83"/>
  <c r="E334" i="83"/>
  <c r="E335" i="83"/>
  <c r="E336" i="83"/>
  <c r="E337" i="83"/>
  <c r="E338" i="83"/>
  <c r="E339" i="83"/>
  <c r="E340" i="83"/>
  <c r="E341" i="83"/>
  <c r="E342" i="83"/>
  <c r="E343" i="83"/>
  <c r="E344" i="83"/>
  <c r="E345" i="83"/>
  <c r="E346" i="83"/>
  <c r="E347" i="83"/>
  <c r="E348" i="83"/>
  <c r="E349" i="83"/>
  <c r="E350" i="83"/>
  <c r="E351" i="83"/>
  <c r="E352" i="83"/>
  <c r="E353" i="83"/>
  <c r="E354" i="83"/>
  <c r="E355" i="83"/>
  <c r="E356" i="83"/>
  <c r="E357" i="83"/>
  <c r="E358" i="83"/>
  <c r="E359" i="83"/>
  <c r="E360" i="83"/>
  <c r="E361" i="83"/>
  <c r="E362" i="83"/>
  <c r="E363" i="83"/>
  <c r="E364" i="83"/>
  <c r="E365" i="83"/>
  <c r="E366" i="83"/>
  <c r="E367" i="83"/>
  <c r="E368" i="83"/>
  <c r="E369" i="83"/>
  <c r="E370" i="83"/>
  <c r="E371" i="83"/>
  <c r="E372" i="83"/>
  <c r="E373" i="83"/>
  <c r="E374" i="83"/>
  <c r="E375" i="83"/>
  <c r="E376" i="83"/>
  <c r="E377" i="83"/>
  <c r="E378" i="83"/>
  <c r="E379" i="83"/>
  <c r="E380" i="83"/>
  <c r="E381" i="83"/>
  <c r="E382" i="83"/>
  <c r="E383" i="83"/>
  <c r="E384" i="83"/>
  <c r="E385" i="83"/>
  <c r="E386" i="83"/>
  <c r="E387" i="83"/>
  <c r="E388" i="83"/>
  <c r="E389" i="83"/>
  <c r="E390" i="83"/>
  <c r="E391" i="83"/>
  <c r="E392" i="83"/>
  <c r="E393" i="83"/>
  <c r="E394" i="83"/>
  <c r="E395" i="83"/>
  <c r="E396" i="83"/>
  <c r="E397" i="83"/>
  <c r="E398" i="83"/>
  <c r="E399" i="83"/>
  <c r="E400" i="83"/>
  <c r="E401" i="83"/>
  <c r="E402" i="83"/>
  <c r="E403" i="83"/>
  <c r="E404" i="83"/>
  <c r="E405" i="83"/>
  <c r="E406" i="83"/>
  <c r="E407" i="83"/>
  <c r="E408" i="83"/>
  <c r="E409" i="83"/>
  <c r="E410" i="83"/>
  <c r="E411" i="83"/>
  <c r="E412" i="83"/>
  <c r="E413" i="83"/>
  <c r="E414" i="83"/>
  <c r="E415" i="83"/>
  <c r="E416" i="83"/>
  <c r="E417" i="83"/>
  <c r="E418" i="83"/>
  <c r="E419" i="83"/>
  <c r="E420" i="83"/>
  <c r="E421" i="83"/>
  <c r="E422" i="83"/>
  <c r="E423" i="83"/>
  <c r="E424" i="83"/>
  <c r="E425" i="83"/>
  <c r="E426" i="83"/>
  <c r="E427" i="83"/>
  <c r="E428" i="83"/>
  <c r="E429" i="83"/>
  <c r="E430" i="83"/>
  <c r="E431" i="83"/>
  <c r="E432" i="83"/>
  <c r="E433" i="83"/>
  <c r="E434" i="83"/>
  <c r="E435" i="83"/>
  <c r="E436" i="83"/>
  <c r="E437" i="83"/>
  <c r="E438" i="83"/>
  <c r="E439" i="83"/>
  <c r="E440" i="83"/>
  <c r="E441" i="83"/>
  <c r="E442" i="83"/>
  <c r="E443" i="83"/>
  <c r="E444" i="83"/>
  <c r="E445" i="83"/>
  <c r="E446" i="83"/>
  <c r="E447" i="83"/>
  <c r="E448" i="83"/>
  <c r="E449" i="83"/>
  <c r="E450" i="83"/>
  <c r="E451" i="83"/>
  <c r="E452" i="83"/>
  <c r="E453" i="83"/>
  <c r="E454" i="83"/>
  <c r="E455" i="83"/>
  <c r="E456" i="83"/>
  <c r="E457" i="83"/>
  <c r="E458" i="83"/>
  <c r="E459" i="83"/>
  <c r="E460" i="83"/>
  <c r="E461" i="83"/>
  <c r="E462" i="83"/>
  <c r="E463" i="83"/>
  <c r="E464" i="83"/>
  <c r="E465" i="83"/>
  <c r="E466" i="83"/>
  <c r="E467" i="83"/>
  <c r="E468" i="83"/>
  <c r="E469" i="83"/>
  <c r="E470" i="83"/>
  <c r="E471" i="83"/>
  <c r="E472" i="83"/>
  <c r="E473" i="83"/>
  <c r="E474" i="83"/>
  <c r="E475" i="83"/>
  <c r="E476" i="83"/>
  <c r="E477" i="83"/>
  <c r="E478" i="83"/>
  <c r="E479" i="83"/>
  <c r="E480" i="83"/>
  <c r="E481" i="83"/>
  <c r="E482" i="83"/>
  <c r="E483" i="83"/>
  <c r="E484" i="83"/>
  <c r="E485" i="83"/>
  <c r="E486" i="83"/>
  <c r="E487" i="83"/>
  <c r="E488" i="83"/>
  <c r="E489" i="83"/>
  <c r="E490" i="83"/>
  <c r="E491" i="83"/>
  <c r="E492" i="83"/>
  <c r="E493" i="83"/>
  <c r="E494" i="83"/>
  <c r="E495" i="83"/>
  <c r="E496" i="83"/>
  <c r="E497" i="83"/>
  <c r="E498" i="83"/>
  <c r="E499" i="83"/>
  <c r="E500" i="83"/>
  <c r="E501" i="83"/>
  <c r="E502" i="83"/>
  <c r="E503" i="83"/>
  <c r="E504" i="83"/>
  <c r="E505" i="83"/>
  <c r="E506" i="83"/>
  <c r="E507" i="83"/>
  <c r="E508" i="83"/>
  <c r="E509" i="83"/>
  <c r="E510" i="83"/>
  <c r="E511" i="83"/>
  <c r="E512" i="83"/>
  <c r="E513" i="83"/>
  <c r="E514" i="83"/>
  <c r="E515" i="83"/>
  <c r="E516" i="83"/>
  <c r="E517" i="83"/>
  <c r="E518" i="83"/>
  <c r="E519" i="83"/>
  <c r="E520" i="83"/>
  <c r="E521" i="83"/>
  <c r="E522" i="83"/>
  <c r="E523" i="83"/>
  <c r="E524" i="83"/>
  <c r="E525" i="83"/>
  <c r="E526" i="83"/>
  <c r="E527" i="83"/>
  <c r="E528" i="83"/>
  <c r="E529" i="83"/>
  <c r="E530" i="83"/>
  <c r="E531" i="83"/>
  <c r="E532" i="83"/>
  <c r="E533" i="83"/>
  <c r="E534" i="83"/>
  <c r="E535" i="83"/>
  <c r="E536" i="83"/>
  <c r="E537" i="83"/>
  <c r="E538" i="83"/>
  <c r="E539" i="83"/>
  <c r="E540" i="83"/>
  <c r="E541" i="83"/>
  <c r="E542" i="83"/>
  <c r="E543" i="83"/>
  <c r="E544" i="83"/>
  <c r="E545" i="83"/>
  <c r="E546" i="83"/>
  <c r="E547" i="83"/>
  <c r="E548" i="83"/>
  <c r="E549" i="83"/>
  <c r="E550" i="83"/>
  <c r="E551" i="83"/>
  <c r="E552" i="83"/>
  <c r="E553" i="83"/>
  <c r="E554" i="83"/>
  <c r="E555" i="83"/>
  <c r="E556" i="83"/>
  <c r="E557" i="83"/>
  <c r="E558" i="83"/>
  <c r="E559" i="83"/>
  <c r="E560" i="83"/>
  <c r="E561" i="83"/>
  <c r="E562" i="83"/>
  <c r="E563" i="83"/>
  <c r="E564" i="83"/>
  <c r="E565" i="83"/>
  <c r="E566" i="83"/>
  <c r="E567" i="83"/>
  <c r="E568" i="83"/>
  <c r="E569" i="83"/>
  <c r="E570" i="83"/>
  <c r="E571" i="83"/>
  <c r="E572" i="83"/>
  <c r="E573" i="83"/>
  <c r="E574" i="83"/>
  <c r="E575" i="83"/>
  <c r="E576" i="83"/>
  <c r="E577" i="83"/>
  <c r="E578" i="83"/>
  <c r="E579" i="83"/>
  <c r="E580" i="83"/>
  <c r="E581" i="83"/>
  <c r="E582" i="83"/>
  <c r="E583" i="83"/>
  <c r="E584" i="83"/>
  <c r="E585" i="83"/>
  <c r="E586" i="83"/>
  <c r="E587" i="83"/>
  <c r="E588" i="83"/>
  <c r="E589" i="83"/>
  <c r="E590" i="83"/>
  <c r="E591" i="83"/>
  <c r="E592" i="83"/>
  <c r="E593" i="83"/>
  <c r="E594" i="83"/>
  <c r="E595" i="83"/>
  <c r="E596" i="83"/>
  <c r="E597" i="83"/>
  <c r="E598" i="83"/>
  <c r="E599" i="83"/>
  <c r="E600" i="83"/>
  <c r="E601" i="83"/>
  <c r="E602" i="83"/>
  <c r="E603" i="83"/>
  <c r="E604" i="83"/>
  <c r="E605" i="83"/>
  <c r="E606" i="83"/>
  <c r="E607" i="83"/>
  <c r="E608" i="83"/>
  <c r="E609" i="83"/>
  <c r="E610" i="83"/>
  <c r="E611" i="83"/>
  <c r="E612" i="83"/>
  <c r="E613" i="83"/>
  <c r="E614" i="83"/>
  <c r="E615" i="83"/>
  <c r="E616" i="83"/>
  <c r="E617" i="83"/>
  <c r="E618" i="83"/>
  <c r="E619" i="83"/>
  <c r="E620" i="83"/>
  <c r="E621" i="83"/>
  <c r="E622" i="83"/>
  <c r="E623" i="83"/>
  <c r="E624" i="83"/>
  <c r="E625" i="83"/>
  <c r="E626" i="83"/>
  <c r="E627" i="83"/>
  <c r="E628" i="83"/>
  <c r="E629" i="83"/>
  <c r="E630" i="83"/>
  <c r="E631" i="83"/>
  <c r="E632" i="83"/>
  <c r="E633" i="83"/>
  <c r="E634" i="83"/>
  <c r="E635" i="83"/>
  <c r="E636" i="83"/>
  <c r="E637" i="83"/>
  <c r="E638" i="83"/>
  <c r="E639" i="83"/>
  <c r="E640" i="83"/>
  <c r="E641" i="83"/>
  <c r="E642" i="83"/>
  <c r="E643" i="83"/>
  <c r="E644" i="83"/>
  <c r="E645" i="83"/>
  <c r="E646" i="83"/>
  <c r="E647" i="83"/>
  <c r="E648" i="83"/>
  <c r="E649" i="83"/>
  <c r="E650" i="83"/>
  <c r="E651" i="83"/>
  <c r="E652" i="83"/>
  <c r="E653" i="83"/>
  <c r="E654" i="83"/>
  <c r="E655" i="83"/>
  <c r="E656" i="83"/>
  <c r="E657" i="83"/>
  <c r="E658" i="83"/>
  <c r="E659" i="83"/>
  <c r="E660" i="83"/>
  <c r="E661" i="83"/>
  <c r="E662" i="83"/>
  <c r="E663" i="83"/>
  <c r="E664" i="83"/>
  <c r="E665" i="83"/>
  <c r="E666" i="83"/>
  <c r="E667" i="83"/>
  <c r="E668" i="83"/>
  <c r="E669" i="83"/>
  <c r="E670" i="83"/>
  <c r="E671" i="83"/>
  <c r="E672" i="83"/>
  <c r="E673" i="83"/>
  <c r="E674" i="83"/>
  <c r="E675" i="83"/>
  <c r="E676" i="83"/>
  <c r="E677" i="83"/>
  <c r="E678" i="83"/>
  <c r="E679" i="83"/>
  <c r="E680" i="83"/>
  <c r="E681" i="83"/>
  <c r="E682" i="83"/>
  <c r="E683" i="83"/>
  <c r="E684" i="83"/>
  <c r="E685" i="83"/>
  <c r="E686" i="83"/>
  <c r="E687" i="83"/>
  <c r="E688" i="83"/>
  <c r="E689" i="83"/>
  <c r="E690" i="83"/>
  <c r="E691" i="83"/>
  <c r="E692" i="83"/>
  <c r="E693" i="83"/>
  <c r="E694" i="83"/>
  <c r="E695" i="83"/>
  <c r="E696" i="83"/>
  <c r="E697" i="83"/>
  <c r="E698" i="83"/>
  <c r="E699" i="83"/>
  <c r="E700" i="83"/>
  <c r="E701" i="83"/>
  <c r="E702" i="83"/>
  <c r="E703" i="83"/>
  <c r="E704" i="83"/>
  <c r="E705" i="83"/>
  <c r="E706" i="83"/>
  <c r="E707" i="83"/>
  <c r="E708" i="83"/>
  <c r="E709" i="83"/>
  <c r="E710" i="83"/>
  <c r="E711" i="83"/>
  <c r="E712" i="83"/>
  <c r="E713" i="83"/>
  <c r="E714" i="83"/>
  <c r="E715" i="83"/>
  <c r="E716" i="83"/>
  <c r="E717" i="83"/>
  <c r="E718" i="83"/>
  <c r="E719" i="83"/>
  <c r="E720" i="83"/>
  <c r="E721" i="83"/>
  <c r="E722" i="83"/>
  <c r="E723" i="83"/>
  <c r="E724" i="83"/>
  <c r="E725" i="83"/>
  <c r="E726" i="83"/>
  <c r="E727" i="83"/>
  <c r="E728" i="83"/>
  <c r="E729" i="83"/>
  <c r="E730" i="83"/>
  <c r="E731" i="83"/>
  <c r="E732" i="83"/>
  <c r="E733" i="83"/>
  <c r="E734" i="83"/>
  <c r="E735" i="83"/>
  <c r="E736" i="83"/>
  <c r="E737" i="83"/>
  <c r="E738" i="83"/>
  <c r="E739" i="83"/>
  <c r="E740" i="83"/>
  <c r="E741" i="83"/>
  <c r="E742" i="83"/>
  <c r="E743" i="83"/>
  <c r="E744" i="83"/>
  <c r="E745" i="83"/>
  <c r="E746" i="83"/>
  <c r="E747" i="83"/>
  <c r="E748" i="83"/>
  <c r="E749" i="83"/>
  <c r="E750" i="83"/>
  <c r="E751" i="83"/>
  <c r="E752" i="83"/>
  <c r="E753" i="83"/>
  <c r="E754" i="83"/>
  <c r="E755" i="83"/>
  <c r="E756" i="83"/>
  <c r="E757" i="83"/>
  <c r="E758" i="83"/>
  <c r="E759" i="83"/>
  <c r="E760" i="83"/>
  <c r="E761" i="83"/>
  <c r="E762" i="83"/>
  <c r="E763" i="83"/>
  <c r="E764" i="83"/>
  <c r="E765" i="83"/>
  <c r="E766" i="83"/>
  <c r="E767" i="83"/>
  <c r="E768" i="83"/>
  <c r="E769" i="83"/>
  <c r="E770" i="83"/>
  <c r="E771" i="83"/>
  <c r="E772" i="83"/>
  <c r="E773" i="83"/>
  <c r="E774" i="83"/>
  <c r="E775" i="83"/>
  <c r="E776" i="83"/>
  <c r="E777" i="83"/>
  <c r="E778" i="83"/>
  <c r="E779" i="83"/>
  <c r="E780" i="83"/>
  <c r="E781" i="83"/>
  <c r="E782" i="83"/>
  <c r="E783" i="83"/>
  <c r="E784" i="83"/>
  <c r="E785" i="83"/>
  <c r="E786" i="83"/>
  <c r="E787" i="83"/>
  <c r="E788" i="83"/>
  <c r="E789" i="83"/>
  <c r="E790" i="83"/>
  <c r="E791" i="83"/>
  <c r="E792" i="83"/>
  <c r="E793" i="83"/>
  <c r="E794" i="83"/>
  <c r="E795" i="83"/>
  <c r="E796" i="83"/>
  <c r="E797" i="83"/>
  <c r="E798" i="83"/>
  <c r="E799" i="83"/>
  <c r="E800" i="83"/>
  <c r="E801" i="83"/>
  <c r="E802" i="83"/>
  <c r="E803" i="83"/>
  <c r="E804" i="83"/>
  <c r="E805" i="83"/>
  <c r="E806" i="83"/>
  <c r="E807" i="83"/>
  <c r="E808" i="83"/>
  <c r="E809" i="83"/>
  <c r="E810" i="83"/>
  <c r="E811" i="83"/>
  <c r="E812" i="83"/>
  <c r="E813" i="83"/>
  <c r="E814" i="83"/>
  <c r="E815" i="83"/>
  <c r="E816" i="83"/>
  <c r="E817" i="83"/>
  <c r="E2" i="83"/>
  <c r="H6" i="102" l="1"/>
  <c r="D36" i="106"/>
  <c r="I25" i="100"/>
  <c r="L21" i="94"/>
  <c r="L19" i="94" s="1"/>
  <c r="L35" i="94"/>
  <c r="L33" i="94" s="1"/>
  <c r="L45" i="94"/>
  <c r="L42" i="94" s="1"/>
  <c r="L55" i="94"/>
  <c r="K53" i="94"/>
  <c r="K52" i="94"/>
  <c r="K41" i="94"/>
  <c r="K31" i="94"/>
  <c r="Y10" i="55"/>
  <c r="X9" i="55"/>
  <c r="E665" i="87"/>
  <c r="G12" i="99"/>
  <c r="E657" i="87"/>
  <c r="G4" i="99"/>
  <c r="G5" i="99"/>
  <c r="G53" i="98"/>
  <c r="G53" i="95"/>
  <c r="E427" i="87"/>
  <c r="G8" i="98"/>
  <c r="G8" i="95"/>
  <c r="E387" i="87"/>
  <c r="G12" i="98"/>
  <c r="G65" i="98" s="1"/>
  <c r="G12" i="95"/>
  <c r="G65" i="95" s="1"/>
  <c r="E364" i="87"/>
  <c r="G32" i="98"/>
  <c r="G32" i="95"/>
  <c r="E348" i="87"/>
  <c r="G30" i="98"/>
  <c r="G30" i="95"/>
  <c r="E745" i="87"/>
  <c r="G25" i="99"/>
  <c r="E787" i="87"/>
  <c r="G30" i="99"/>
  <c r="G36" i="99" s="1"/>
  <c r="E769" i="87"/>
  <c r="G35" i="99"/>
  <c r="G35" i="89"/>
  <c r="E752" i="87"/>
  <c r="G27" i="99"/>
  <c r="E643" i="87"/>
  <c r="G47" i="98"/>
  <c r="G47" i="95"/>
  <c r="E603" i="87"/>
  <c r="G45" i="98"/>
  <c r="G45" i="95"/>
  <c r="E466" i="87"/>
  <c r="G40" i="98"/>
  <c r="G40" i="95"/>
  <c r="E443" i="87"/>
  <c r="G38" i="98"/>
  <c r="G38" i="95"/>
  <c r="E394" i="87"/>
  <c r="G34" i="98"/>
  <c r="G34" i="95"/>
  <c r="E363" i="87"/>
  <c r="G21" i="98"/>
  <c r="G21" i="95"/>
  <c r="E355" i="87"/>
  <c r="G27" i="98"/>
  <c r="G27" i="95"/>
  <c r="G25" i="89"/>
  <c r="G5" i="89"/>
  <c r="G15" i="89" s="1"/>
  <c r="G34" i="89"/>
  <c r="H75" i="4" s="1"/>
  <c r="G12" i="89"/>
  <c r="G4" i="89"/>
  <c r="H6" i="77" s="1"/>
  <c r="G33" i="89"/>
  <c r="H74" i="4" s="1"/>
  <c r="E713" i="87"/>
  <c r="G16" i="99"/>
  <c r="E671" i="87"/>
  <c r="G13" i="99"/>
  <c r="E354" i="87"/>
  <c r="G28" i="98"/>
  <c r="G28" i="95"/>
  <c r="E662" i="87"/>
  <c r="G9" i="99"/>
  <c r="E618" i="87"/>
  <c r="G51" i="98"/>
  <c r="G51" i="95"/>
  <c r="E610" i="87"/>
  <c r="G49" i="98"/>
  <c r="G49" i="95"/>
  <c r="G52" i="95"/>
  <c r="E464" i="87"/>
  <c r="G39" i="98"/>
  <c r="G39" i="95"/>
  <c r="E369" i="87"/>
  <c r="G24" i="98"/>
  <c r="G24" i="95"/>
  <c r="E370" i="87"/>
  <c r="G20" i="98"/>
  <c r="G19" i="98" s="1"/>
  <c r="G20" i="95"/>
  <c r="E812" i="87"/>
  <c r="G34" i="99"/>
  <c r="H76" i="105" s="1"/>
  <c r="E804" i="87"/>
  <c r="G33" i="99"/>
  <c r="H75" i="105" s="1"/>
  <c r="E741" i="87"/>
  <c r="G23" i="99"/>
  <c r="E733" i="87"/>
  <c r="G19" i="99"/>
  <c r="E661" i="87"/>
  <c r="G8" i="99"/>
  <c r="E439" i="87"/>
  <c r="G35" i="98"/>
  <c r="G35" i="95"/>
  <c r="G80" i="95" s="1"/>
  <c r="H80" i="95" s="1"/>
  <c r="I80" i="95" s="1"/>
  <c r="J80" i="95" s="1"/>
  <c r="K80" i="95" s="1"/>
  <c r="L80" i="95" s="1"/>
  <c r="M80" i="95" s="1"/>
  <c r="N80" i="95" s="1"/>
  <c r="O80" i="95" s="1"/>
  <c r="P80" i="95" s="1"/>
  <c r="Q80" i="95" s="1"/>
  <c r="R80" i="95" s="1"/>
  <c r="S80" i="95" s="1"/>
  <c r="T80" i="95" s="1"/>
  <c r="U80" i="95" s="1"/>
  <c r="V80" i="95" s="1"/>
  <c r="E407" i="87"/>
  <c r="G33" i="98"/>
  <c r="G33" i="95"/>
  <c r="E368" i="87"/>
  <c r="G18" i="98"/>
  <c r="G18" i="95"/>
  <c r="E361" i="87"/>
  <c r="G22" i="98"/>
  <c r="G22" i="95"/>
  <c r="E811" i="87"/>
  <c r="G31" i="99"/>
  <c r="H31" i="99" s="1"/>
  <c r="E803" i="87"/>
  <c r="G32" i="99"/>
  <c r="H74" i="105" s="1"/>
  <c r="E740" i="87"/>
  <c r="G20" i="99"/>
  <c r="E724" i="87"/>
  <c r="G17" i="99"/>
  <c r="E478" i="87"/>
  <c r="G41" i="98"/>
  <c r="G41" i="95"/>
  <c r="E430" i="87"/>
  <c r="G11" i="98"/>
  <c r="G11" i="95"/>
  <c r="E406" i="87"/>
  <c r="G14" i="98"/>
  <c r="G14" i="95"/>
  <c r="E382" i="87"/>
  <c r="G31" i="98"/>
  <c r="G76" i="98" s="1"/>
  <c r="H76" i="98" s="1"/>
  <c r="I76" i="98" s="1"/>
  <c r="J76" i="98" s="1"/>
  <c r="K76" i="98" s="1"/>
  <c r="L76" i="98" s="1"/>
  <c r="M76" i="98" s="1"/>
  <c r="N76" i="98" s="1"/>
  <c r="O76" i="98" s="1"/>
  <c r="G31" i="95"/>
  <c r="G19" i="89"/>
  <c r="G9" i="89"/>
  <c r="J912" i="88"/>
  <c r="G30" i="89"/>
  <c r="E611" i="87"/>
  <c r="G50" i="98"/>
  <c r="G52" i="98" s="1"/>
  <c r="G50" i="95"/>
  <c r="E442" i="87"/>
  <c r="G37" i="98"/>
  <c r="G37" i="95"/>
  <c r="E747" i="87"/>
  <c r="G24" i="99"/>
  <c r="E667" i="87"/>
  <c r="G11" i="99"/>
  <c r="E659" i="87"/>
  <c r="G7" i="99"/>
  <c r="G91" i="99" s="1"/>
  <c r="E647" i="87"/>
  <c r="G48" i="98"/>
  <c r="G48" i="95"/>
  <c r="G54" i="98"/>
  <c r="G54" i="95"/>
  <c r="E631" i="87"/>
  <c r="G55" i="98"/>
  <c r="G55" i="95"/>
  <c r="E615" i="87"/>
  <c r="G46" i="98"/>
  <c r="G46" i="95"/>
  <c r="E429" i="87"/>
  <c r="G10" i="98"/>
  <c r="G10" i="95"/>
  <c r="E389" i="87"/>
  <c r="G13" i="98"/>
  <c r="G67" i="98" s="1"/>
  <c r="G13" i="95"/>
  <c r="G67" i="95" s="1"/>
  <c r="E373" i="87"/>
  <c r="G25" i="98"/>
  <c r="G23" i="98" s="1"/>
  <c r="G25" i="95"/>
  <c r="G17" i="89"/>
  <c r="G8" i="89"/>
  <c r="H8" i="89" s="1"/>
  <c r="I8" i="89" s="1"/>
  <c r="J8" i="89" s="1"/>
  <c r="K8" i="89" s="1"/>
  <c r="L8" i="89" s="1"/>
  <c r="M8" i="89" s="1"/>
  <c r="N8" i="89" s="1"/>
  <c r="O8" i="89" s="1"/>
  <c r="P8" i="89" s="1"/>
  <c r="Q8" i="89" s="1"/>
  <c r="R8" i="89" s="1"/>
  <c r="S8" i="89" s="1"/>
  <c r="T8" i="89" s="1"/>
  <c r="U8" i="89" s="1"/>
  <c r="V8" i="89" s="1"/>
  <c r="W8" i="89" s="1"/>
  <c r="X8" i="89" s="1"/>
  <c r="Y8" i="89" s="1"/>
  <c r="Z8" i="89" s="1"/>
  <c r="AA8" i="89" s="1"/>
  <c r="AB8" i="89" s="1"/>
  <c r="J911" i="88"/>
  <c r="E663" i="87"/>
  <c r="G10" i="99"/>
  <c r="G90" i="99" s="1"/>
  <c r="E674" i="87"/>
  <c r="G14" i="99"/>
  <c r="G113" i="99" s="1"/>
  <c r="E658" i="87"/>
  <c r="G6" i="99"/>
  <c r="G89" i="99" s="1"/>
  <c r="E476" i="87"/>
  <c r="G42" i="98"/>
  <c r="G42" i="95"/>
  <c r="E453" i="87"/>
  <c r="G43" i="98"/>
  <c r="G43" i="95"/>
  <c r="E428" i="87"/>
  <c r="G9" i="98"/>
  <c r="G9" i="95"/>
  <c r="E420" i="87"/>
  <c r="G15" i="98"/>
  <c r="G15" i="95"/>
  <c r="E349" i="87"/>
  <c r="G29" i="98"/>
  <c r="G29" i="95"/>
  <c r="G16" i="89"/>
  <c r="H16" i="89" s="1"/>
  <c r="I16" i="89" s="1"/>
  <c r="J16" i="89" s="1"/>
  <c r="K16" i="89" s="1"/>
  <c r="L16" i="89" s="1"/>
  <c r="M16" i="89" s="1"/>
  <c r="N16" i="89" s="1"/>
  <c r="O16" i="89" s="1"/>
  <c r="P16" i="89" s="1"/>
  <c r="Q16" i="89" s="1"/>
  <c r="R16" i="89" s="1"/>
  <c r="S16" i="89" s="1"/>
  <c r="T16" i="89" s="1"/>
  <c r="U16" i="89" s="1"/>
  <c r="V16" i="89" s="1"/>
  <c r="W16" i="89" s="1"/>
  <c r="X16" i="89" s="1"/>
  <c r="Y16" i="89" s="1"/>
  <c r="Z16" i="89" s="1"/>
  <c r="AA16" i="89" s="1"/>
  <c r="AB16" i="89" s="1"/>
  <c r="G7" i="89"/>
  <c r="G71" i="89" s="1"/>
  <c r="J910" i="88"/>
  <c r="J915" i="88" s="1"/>
  <c r="G28" i="89" s="1"/>
  <c r="J25" i="100"/>
  <c r="I58" i="100"/>
  <c r="H59" i="97"/>
  <c r="H83" i="103"/>
  <c r="G16" i="102" s="1"/>
  <c r="I81" i="103"/>
  <c r="I79" i="103" s="1"/>
  <c r="E34" i="46" s="1"/>
  <c r="H48" i="103"/>
  <c r="G42" i="97"/>
  <c r="H42" i="97" s="1"/>
  <c r="I42" i="97" s="1"/>
  <c r="J42" i="97" s="1"/>
  <c r="K42" i="97" s="1"/>
  <c r="L42" i="97" s="1"/>
  <c r="M42" i="97" s="1"/>
  <c r="N42" i="97" s="1"/>
  <c r="O42" i="97" s="1"/>
  <c r="P42" i="97" s="1"/>
  <c r="Q42" i="97" s="1"/>
  <c r="R42" i="97" s="1"/>
  <c r="S42" i="97" s="1"/>
  <c r="T42" i="97" s="1"/>
  <c r="U42" i="97" s="1"/>
  <c r="G83" i="89"/>
  <c r="D71" i="4"/>
  <c r="D70" i="4" s="1"/>
  <c r="G45" i="97"/>
  <c r="H45" i="97" s="1"/>
  <c r="I45" i="97" s="1"/>
  <c r="J45" i="97" s="1"/>
  <c r="K45" i="97" s="1"/>
  <c r="L45" i="97" s="1"/>
  <c r="M45" i="97" s="1"/>
  <c r="N45" i="97" s="1"/>
  <c r="O45" i="97" s="1"/>
  <c r="P45" i="97" s="1"/>
  <c r="Q45" i="97" s="1"/>
  <c r="R45" i="97" s="1"/>
  <c r="S45" i="97" s="1"/>
  <c r="T45" i="97" s="1"/>
  <c r="U45" i="97" s="1"/>
  <c r="H65" i="103"/>
  <c r="G26" i="102"/>
  <c r="F109" i="123"/>
  <c r="H42" i="103"/>
  <c r="H12" i="103"/>
  <c r="I12" i="103" s="1"/>
  <c r="J12" i="103" s="1"/>
  <c r="K12" i="103" s="1"/>
  <c r="L12" i="103" s="1"/>
  <c r="M12" i="103" s="1"/>
  <c r="N12" i="103" s="1"/>
  <c r="O12" i="103" s="1"/>
  <c r="P12" i="103" s="1"/>
  <c r="Q12" i="103" s="1"/>
  <c r="R12" i="103" s="1"/>
  <c r="S12" i="103" s="1"/>
  <c r="T12" i="103" s="1"/>
  <c r="U12" i="103" s="1"/>
  <c r="V12" i="103" s="1"/>
  <c r="W12" i="103" s="1"/>
  <c r="X12" i="103" s="1"/>
  <c r="Y12" i="103" s="1"/>
  <c r="Z12" i="103" s="1"/>
  <c r="AA12" i="103" s="1"/>
  <c r="AB12" i="103" s="1"/>
  <c r="AC12" i="103" s="1"/>
  <c r="H40" i="103"/>
  <c r="H33" i="103" s="1"/>
  <c r="H82" i="103"/>
  <c r="H79" i="103" s="1"/>
  <c r="F112" i="123"/>
  <c r="F113" i="123"/>
  <c r="H17" i="103"/>
  <c r="H13" i="103" s="1"/>
  <c r="G18" i="102"/>
  <c r="H61" i="103"/>
  <c r="G10" i="102" s="1"/>
  <c r="G8" i="102" s="1"/>
  <c r="F39" i="123" s="1"/>
  <c r="H8" i="103"/>
  <c r="D28" i="106"/>
  <c r="G103" i="99"/>
  <c r="J9" i="103"/>
  <c r="I59" i="97"/>
  <c r="J55" i="97"/>
  <c r="J81" i="103"/>
  <c r="J79" i="103" s="1"/>
  <c r="F34" i="46" s="1"/>
  <c r="H58" i="97"/>
  <c r="I54" i="97"/>
  <c r="I67" i="103"/>
  <c r="I65" i="103" s="1"/>
  <c r="J35" i="103"/>
  <c r="K19" i="94"/>
  <c r="J84" i="103"/>
  <c r="I83" i="103"/>
  <c r="N14" i="103"/>
  <c r="O14" i="103" s="1"/>
  <c r="L8" i="94"/>
  <c r="H78" i="103"/>
  <c r="H16" i="105"/>
  <c r="D27" i="46" s="1"/>
  <c r="H37" i="4"/>
  <c r="H55" i="4" s="1"/>
  <c r="H68" i="4"/>
  <c r="F68" i="123" s="1"/>
  <c r="K3" i="94"/>
  <c r="K8" i="94"/>
  <c r="G48" i="97"/>
  <c r="G43" i="97" s="1"/>
  <c r="H43" i="97" s="1"/>
  <c r="I43" i="97" s="1"/>
  <c r="J43" i="97" s="1"/>
  <c r="K43" i="97" s="1"/>
  <c r="L43" i="97" s="1"/>
  <c r="M43" i="97" s="1"/>
  <c r="N43" i="97" s="1"/>
  <c r="O43" i="97" s="1"/>
  <c r="P43" i="97" s="1"/>
  <c r="Q43" i="97" s="1"/>
  <c r="R43" i="97" s="1"/>
  <c r="S43" i="97" s="1"/>
  <c r="T43" i="97" s="1"/>
  <c r="U43" i="97" s="1"/>
  <c r="V43" i="97" s="1"/>
  <c r="W43" i="97" s="1"/>
  <c r="X43" i="97" s="1"/>
  <c r="Y43" i="97" s="1"/>
  <c r="Z43" i="97" s="1"/>
  <c r="AA43" i="97" s="1"/>
  <c r="AB43" i="97" s="1"/>
  <c r="G44" i="97"/>
  <c r="H44" i="97" s="1"/>
  <c r="J43" i="103"/>
  <c r="I42" i="103"/>
  <c r="I61" i="103"/>
  <c r="C47" i="129" s="1"/>
  <c r="J62" i="103"/>
  <c r="H31" i="89"/>
  <c r="I34" i="4" s="1"/>
  <c r="F90" i="89"/>
  <c r="C90" i="89"/>
  <c r="G71" i="4"/>
  <c r="F82" i="89"/>
  <c r="F77" i="89"/>
  <c r="F86" i="89"/>
  <c r="G90" i="89"/>
  <c r="H90" i="89" s="1"/>
  <c r="F71" i="4"/>
  <c r="G70" i="89"/>
  <c r="H70" i="89" s="1"/>
  <c r="I70" i="89" s="1"/>
  <c r="J70" i="89" s="1"/>
  <c r="K70" i="89" s="1"/>
  <c r="L70" i="89" s="1"/>
  <c r="M70" i="89" s="1"/>
  <c r="E71" i="4"/>
  <c r="N33" i="89"/>
  <c r="M74" i="4"/>
  <c r="C73" i="95"/>
  <c r="F70" i="89"/>
  <c r="F73" i="95"/>
  <c r="U30" i="89"/>
  <c r="U31" i="4"/>
  <c r="E70" i="89"/>
  <c r="E73" i="95"/>
  <c r="N34" i="89"/>
  <c r="M75" i="4"/>
  <c r="N32" i="89"/>
  <c r="M73" i="4"/>
  <c r="E79" i="89"/>
  <c r="D82" i="89"/>
  <c r="C36" i="89"/>
  <c r="C28" i="89" s="1"/>
  <c r="D90" i="89"/>
  <c r="G93" i="89"/>
  <c r="F76" i="89"/>
  <c r="F84" i="89"/>
  <c r="G36" i="89"/>
  <c r="D78" i="89"/>
  <c r="F36" i="89"/>
  <c r="F28" i="89" s="1"/>
  <c r="D84" i="89"/>
  <c r="D91" i="89"/>
  <c r="D92" i="89"/>
  <c r="E36" i="89"/>
  <c r="E28" i="89" s="1"/>
  <c r="D36" i="89"/>
  <c r="D28" i="89" s="1"/>
  <c r="G84" i="89"/>
  <c r="H23" i="89"/>
  <c r="E77" i="89"/>
  <c r="E82" i="89"/>
  <c r="E86" i="89"/>
  <c r="C92" i="89"/>
  <c r="D77" i="89"/>
  <c r="D86" i="89"/>
  <c r="C93" i="89"/>
  <c r="G82" i="89"/>
  <c r="H19" i="89"/>
  <c r="I19" i="89" s="1"/>
  <c r="H9" i="89"/>
  <c r="I9" i="89" s="1"/>
  <c r="J9" i="89" s="1"/>
  <c r="K9" i="89" s="1"/>
  <c r="L9" i="89" s="1"/>
  <c r="M9" i="89" s="1"/>
  <c r="N9" i="89" s="1"/>
  <c r="O9" i="89" s="1"/>
  <c r="P9" i="89" s="1"/>
  <c r="Q9" i="89" s="1"/>
  <c r="R9" i="89" s="1"/>
  <c r="S9" i="89" s="1"/>
  <c r="T9" i="89" s="1"/>
  <c r="U9" i="89" s="1"/>
  <c r="V9" i="89" s="1"/>
  <c r="W9" i="89" s="1"/>
  <c r="X9" i="89" s="1"/>
  <c r="Y9" i="89" s="1"/>
  <c r="Z9" i="89" s="1"/>
  <c r="AA9" i="89" s="1"/>
  <c r="AB9" i="89" s="1"/>
  <c r="G77" i="89"/>
  <c r="E90" i="89"/>
  <c r="F78" i="89"/>
  <c r="F93" i="89"/>
  <c r="G80" i="89"/>
  <c r="G78" i="89"/>
  <c r="E78" i="89"/>
  <c r="C81" i="89"/>
  <c r="E93" i="89"/>
  <c r="H93" i="89" s="1"/>
  <c r="F81" i="89"/>
  <c r="D85" i="89"/>
  <c r="C91" i="89"/>
  <c r="D93" i="89"/>
  <c r="H27" i="89"/>
  <c r="G88" i="89"/>
  <c r="E81" i="89"/>
  <c r="F91" i="89"/>
  <c r="F92" i="89"/>
  <c r="G86" i="89"/>
  <c r="H25" i="89"/>
  <c r="I25" i="89" s="1"/>
  <c r="J25" i="89" s="1"/>
  <c r="K25" i="89" s="1"/>
  <c r="L25" i="89" s="1"/>
  <c r="M25" i="89" s="1"/>
  <c r="N25" i="89" s="1"/>
  <c r="O25" i="89" s="1"/>
  <c r="P25" i="89" s="1"/>
  <c r="Q25" i="89" s="1"/>
  <c r="R25" i="89" s="1"/>
  <c r="S25" i="89" s="1"/>
  <c r="T25" i="89" s="1"/>
  <c r="U25" i="89" s="1"/>
  <c r="V25" i="89" s="1"/>
  <c r="W25" i="89" s="1"/>
  <c r="X25" i="89" s="1"/>
  <c r="Y25" i="89" s="1"/>
  <c r="Z25" i="89" s="1"/>
  <c r="AA25" i="89" s="1"/>
  <c r="AB25" i="89" s="1"/>
  <c r="G92" i="89"/>
  <c r="D81" i="89"/>
  <c r="E84" i="89"/>
  <c r="E91" i="89"/>
  <c r="E92" i="89"/>
  <c r="H24" i="89"/>
  <c r="I24" i="89" s="1"/>
  <c r="J24" i="89" s="1"/>
  <c r="K24" i="89" s="1"/>
  <c r="L24" i="89" s="1"/>
  <c r="M24" i="89" s="1"/>
  <c r="N24" i="89" s="1"/>
  <c r="O24" i="89" s="1"/>
  <c r="P24" i="89" s="1"/>
  <c r="Q24" i="89" s="1"/>
  <c r="R24" i="89" s="1"/>
  <c r="S24" i="89" s="1"/>
  <c r="T24" i="89" s="1"/>
  <c r="U24" i="89" s="1"/>
  <c r="V24" i="89" s="1"/>
  <c r="W24" i="89" s="1"/>
  <c r="X24" i="89" s="1"/>
  <c r="Y24" i="89" s="1"/>
  <c r="Z24" i="89" s="1"/>
  <c r="AA24" i="89" s="1"/>
  <c r="AB24" i="89" s="1"/>
  <c r="G85" i="89"/>
  <c r="F79" i="89"/>
  <c r="D79" i="89"/>
  <c r="C80" i="89"/>
  <c r="F80" i="89"/>
  <c r="E80" i="89"/>
  <c r="H80" i="89" s="1"/>
  <c r="D80" i="89"/>
  <c r="F74" i="89"/>
  <c r="G76" i="89"/>
  <c r="H71" i="89"/>
  <c r="I71" i="89" s="1"/>
  <c r="J71" i="89" s="1"/>
  <c r="K71" i="89" s="1"/>
  <c r="L71" i="89" s="1"/>
  <c r="G74" i="89"/>
  <c r="H69" i="89"/>
  <c r="I69" i="89" s="1"/>
  <c r="J69" i="89" s="1"/>
  <c r="K69" i="89" s="1"/>
  <c r="L69" i="89" s="1"/>
  <c r="M69" i="89" s="1"/>
  <c r="N69" i="89" s="1"/>
  <c r="G26" i="89"/>
  <c r="D6" i="77"/>
  <c r="E15" i="89"/>
  <c r="C15" i="89"/>
  <c r="F15" i="89"/>
  <c r="D15" i="89"/>
  <c r="F26" i="89"/>
  <c r="C26" i="89"/>
  <c r="C22" i="89" s="1"/>
  <c r="C21" i="89" s="1"/>
  <c r="C18" i="89" s="1"/>
  <c r="E26" i="89"/>
  <c r="D3" i="89"/>
  <c r="D26" i="89"/>
  <c r="C3" i="89"/>
  <c r="E3" i="89"/>
  <c r="F3" i="89"/>
  <c r="I45" i="77"/>
  <c r="G45" i="77"/>
  <c r="F45" i="77"/>
  <c r="I39" i="77"/>
  <c r="G39" i="77"/>
  <c r="F39" i="77"/>
  <c r="I31" i="77"/>
  <c r="G31" i="77"/>
  <c r="F31" i="77"/>
  <c r="I23" i="77"/>
  <c r="F23" i="77"/>
  <c r="I8" i="103" l="1"/>
  <c r="L43" i="94"/>
  <c r="L41" i="94" s="1"/>
  <c r="L32" i="94"/>
  <c r="L31" i="94" s="1"/>
  <c r="K51" i="94"/>
  <c r="L52" i="94"/>
  <c r="L53" i="94"/>
  <c r="C71" i="104"/>
  <c r="C61" i="104"/>
  <c r="C26" i="104"/>
  <c r="E34" i="106"/>
  <c r="D61" i="104"/>
  <c r="Y9" i="55"/>
  <c r="Z10" i="55"/>
  <c r="G94" i="98"/>
  <c r="H52" i="98"/>
  <c r="I52" i="98" s="1"/>
  <c r="J52" i="98" s="1"/>
  <c r="K52" i="98" s="1"/>
  <c r="L52" i="98" s="1"/>
  <c r="M52" i="98" s="1"/>
  <c r="N52" i="98" s="1"/>
  <c r="O52" i="98" s="1"/>
  <c r="P52" i="98" s="1"/>
  <c r="Q52" i="98" s="1"/>
  <c r="R52" i="98" s="1"/>
  <c r="S52" i="98" s="1"/>
  <c r="T52" i="98" s="1"/>
  <c r="U52" i="98" s="1"/>
  <c r="V52" i="98" s="1"/>
  <c r="W52" i="98" s="1"/>
  <c r="X52" i="98" s="1"/>
  <c r="Y52" i="98" s="1"/>
  <c r="Z52" i="98" s="1"/>
  <c r="AA52" i="98" s="1"/>
  <c r="AB52" i="98" s="1"/>
  <c r="H33" i="95"/>
  <c r="I33" i="95" s="1"/>
  <c r="J33" i="95" s="1"/>
  <c r="K33" i="95" s="1"/>
  <c r="L33" i="95" s="1"/>
  <c r="M33" i="95" s="1"/>
  <c r="N33" i="95" s="1"/>
  <c r="O33" i="95" s="1"/>
  <c r="P33" i="95" s="1"/>
  <c r="Q33" i="95" s="1"/>
  <c r="R33" i="95" s="1"/>
  <c r="S33" i="95" s="1"/>
  <c r="T33" i="95" s="1"/>
  <c r="U33" i="95" s="1"/>
  <c r="V33" i="95" s="1"/>
  <c r="W33" i="95" s="1"/>
  <c r="X33" i="95" s="1"/>
  <c r="Y33" i="95" s="1"/>
  <c r="Z33" i="95" s="1"/>
  <c r="AA33" i="95" s="1"/>
  <c r="AB33" i="95" s="1"/>
  <c r="G78" i="95"/>
  <c r="H79" i="105"/>
  <c r="G95" i="98"/>
  <c r="H53" i="98"/>
  <c r="I53" i="98" s="1"/>
  <c r="J53" i="98" s="1"/>
  <c r="K53" i="98" s="1"/>
  <c r="L53" i="98" s="1"/>
  <c r="M53" i="98" s="1"/>
  <c r="N53" i="98" s="1"/>
  <c r="O53" i="98" s="1"/>
  <c r="P53" i="98" s="1"/>
  <c r="Q53" i="98" s="1"/>
  <c r="R53" i="98" s="1"/>
  <c r="S53" i="98" s="1"/>
  <c r="T53" i="98" s="1"/>
  <c r="U53" i="98" s="1"/>
  <c r="V53" i="98" s="1"/>
  <c r="W53" i="98" s="1"/>
  <c r="X53" i="98" s="1"/>
  <c r="Y53" i="98" s="1"/>
  <c r="Z53" i="98" s="1"/>
  <c r="AA53" i="98" s="1"/>
  <c r="AB53" i="98" s="1"/>
  <c r="G3" i="89"/>
  <c r="G81" i="89"/>
  <c r="G91" i="89"/>
  <c r="H10" i="98"/>
  <c r="I10" i="98" s="1"/>
  <c r="J10" i="98" s="1"/>
  <c r="K10" i="98" s="1"/>
  <c r="L10" i="98" s="1"/>
  <c r="M10" i="98" s="1"/>
  <c r="N10" i="98" s="1"/>
  <c r="O10" i="98" s="1"/>
  <c r="P10" i="98" s="1"/>
  <c r="Q10" i="98" s="1"/>
  <c r="R10" i="98" s="1"/>
  <c r="S10" i="98" s="1"/>
  <c r="T10" i="98" s="1"/>
  <c r="U10" i="98" s="1"/>
  <c r="V10" i="98" s="1"/>
  <c r="W10" i="98" s="1"/>
  <c r="X10" i="98" s="1"/>
  <c r="Y10" i="98" s="1"/>
  <c r="Z10" i="98" s="1"/>
  <c r="AA10" i="98" s="1"/>
  <c r="AB10" i="98" s="1"/>
  <c r="G63" i="98"/>
  <c r="H14" i="95"/>
  <c r="I14" i="95" s="1"/>
  <c r="J14" i="95" s="1"/>
  <c r="K14" i="95" s="1"/>
  <c r="L14" i="95" s="1"/>
  <c r="M14" i="95" s="1"/>
  <c r="N14" i="95" s="1"/>
  <c r="O14" i="95" s="1"/>
  <c r="P14" i="95" s="1"/>
  <c r="Q14" i="95" s="1"/>
  <c r="R14" i="95" s="1"/>
  <c r="S14" i="95" s="1"/>
  <c r="T14" i="95" s="1"/>
  <c r="U14" i="95" s="1"/>
  <c r="V14" i="95" s="1"/>
  <c r="W14" i="95" s="1"/>
  <c r="X14" i="95" s="1"/>
  <c r="Y14" i="95" s="1"/>
  <c r="Z14" i="95" s="1"/>
  <c r="AA14" i="95" s="1"/>
  <c r="AB14" i="95" s="1"/>
  <c r="G68" i="95"/>
  <c r="G78" i="98"/>
  <c r="H33" i="98"/>
  <c r="I33" i="98" s="1"/>
  <c r="J33" i="98" s="1"/>
  <c r="K33" i="98" s="1"/>
  <c r="L33" i="98" s="1"/>
  <c r="M33" i="98" s="1"/>
  <c r="N33" i="98" s="1"/>
  <c r="O33" i="98" s="1"/>
  <c r="P33" i="98" s="1"/>
  <c r="Q33" i="98" s="1"/>
  <c r="R33" i="98" s="1"/>
  <c r="S33" i="98" s="1"/>
  <c r="T33" i="98" s="1"/>
  <c r="U33" i="98" s="1"/>
  <c r="V33" i="98" s="1"/>
  <c r="W33" i="98" s="1"/>
  <c r="X33" i="98" s="1"/>
  <c r="Y33" i="98" s="1"/>
  <c r="Z33" i="98" s="1"/>
  <c r="AA33" i="98" s="1"/>
  <c r="AB33" i="98" s="1"/>
  <c r="G19" i="95"/>
  <c r="G73" i="95" s="1"/>
  <c r="H73" i="95" s="1"/>
  <c r="I73" i="95" s="1"/>
  <c r="G99" i="99"/>
  <c r="H16" i="99"/>
  <c r="I16" i="99" s="1"/>
  <c r="J16" i="99" s="1"/>
  <c r="K16" i="99" s="1"/>
  <c r="L16" i="99" s="1"/>
  <c r="M16" i="99" s="1"/>
  <c r="N16" i="99" s="1"/>
  <c r="O16" i="99" s="1"/>
  <c r="P16" i="99" s="1"/>
  <c r="Q16" i="99" s="1"/>
  <c r="R16" i="99" s="1"/>
  <c r="S16" i="99" s="1"/>
  <c r="T16" i="99" s="1"/>
  <c r="U16" i="99" s="1"/>
  <c r="V16" i="99" s="1"/>
  <c r="W16" i="99" s="1"/>
  <c r="X16" i="99" s="1"/>
  <c r="Y16" i="99" s="1"/>
  <c r="Z16" i="99" s="1"/>
  <c r="AA16" i="99" s="1"/>
  <c r="AB16" i="99" s="1"/>
  <c r="H34" i="98"/>
  <c r="I34" i="98" s="1"/>
  <c r="J34" i="98" s="1"/>
  <c r="K34" i="98" s="1"/>
  <c r="L34" i="98" s="1"/>
  <c r="M34" i="98" s="1"/>
  <c r="N34" i="98" s="1"/>
  <c r="O34" i="98" s="1"/>
  <c r="P34" i="98" s="1"/>
  <c r="Q34" i="98" s="1"/>
  <c r="R34" i="98" s="1"/>
  <c r="S34" i="98" s="1"/>
  <c r="T34" i="98" s="1"/>
  <c r="U34" i="98" s="1"/>
  <c r="V34" i="98" s="1"/>
  <c r="W34" i="98" s="1"/>
  <c r="X34" i="98" s="1"/>
  <c r="Y34" i="98" s="1"/>
  <c r="Z34" i="98" s="1"/>
  <c r="AA34" i="98" s="1"/>
  <c r="AB34" i="98" s="1"/>
  <c r="G79" i="98"/>
  <c r="H45" i="95"/>
  <c r="G88" i="95"/>
  <c r="H65" i="95"/>
  <c r="I65" i="95" s="1"/>
  <c r="J65" i="95" s="1"/>
  <c r="K65" i="95" s="1"/>
  <c r="L65" i="95" s="1"/>
  <c r="M65" i="95" s="1"/>
  <c r="N65" i="95" s="1"/>
  <c r="O65" i="95" s="1"/>
  <c r="P65" i="95" s="1"/>
  <c r="Q65" i="95" s="1"/>
  <c r="R65" i="95" s="1"/>
  <c r="S65" i="95" s="1"/>
  <c r="T65" i="95" s="1"/>
  <c r="U65" i="95" s="1"/>
  <c r="V65" i="95" s="1"/>
  <c r="W65" i="95" s="1"/>
  <c r="X65" i="95" s="1"/>
  <c r="Y65" i="95" s="1"/>
  <c r="Z65" i="95" s="1"/>
  <c r="AA65" i="95" s="1"/>
  <c r="AB65" i="95" s="1"/>
  <c r="G66" i="95"/>
  <c r="G26" i="95"/>
  <c r="G75" i="95" s="1"/>
  <c r="H75" i="95" s="1"/>
  <c r="I75" i="95" s="1"/>
  <c r="J75" i="95" s="1"/>
  <c r="H45" i="98"/>
  <c r="G88" i="98"/>
  <c r="G66" i="98"/>
  <c r="H65" i="98"/>
  <c r="I65" i="98" s="1"/>
  <c r="J65" i="98" s="1"/>
  <c r="K65" i="98" s="1"/>
  <c r="L65" i="98" s="1"/>
  <c r="M65" i="98" s="1"/>
  <c r="N65" i="98" s="1"/>
  <c r="O65" i="98" s="1"/>
  <c r="P65" i="98" s="1"/>
  <c r="Q65" i="98" s="1"/>
  <c r="R65" i="98" s="1"/>
  <c r="S65" i="98" s="1"/>
  <c r="T65" i="98" s="1"/>
  <c r="U65" i="98" s="1"/>
  <c r="V65" i="98" s="1"/>
  <c r="W65" i="98" s="1"/>
  <c r="X65" i="98" s="1"/>
  <c r="Y65" i="98" s="1"/>
  <c r="Z65" i="98" s="1"/>
  <c r="AA65" i="98" s="1"/>
  <c r="AB65" i="98" s="1"/>
  <c r="G15" i="99"/>
  <c r="G3" i="99"/>
  <c r="H89" i="99"/>
  <c r="I89" i="99" s="1"/>
  <c r="J89" i="99" s="1"/>
  <c r="K89" i="99" s="1"/>
  <c r="L89" i="99" s="1"/>
  <c r="M89" i="99" s="1"/>
  <c r="N89" i="99" s="1"/>
  <c r="O89" i="99" s="1"/>
  <c r="P89" i="99" s="1"/>
  <c r="Q89" i="99" s="1"/>
  <c r="R89" i="99" s="1"/>
  <c r="S89" i="99" s="1"/>
  <c r="T89" i="99" s="1"/>
  <c r="U89" i="99" s="1"/>
  <c r="V89" i="99" s="1"/>
  <c r="W89" i="99" s="1"/>
  <c r="X89" i="99" s="1"/>
  <c r="Y89" i="99" s="1"/>
  <c r="Z89" i="99" s="1"/>
  <c r="AA89" i="99" s="1"/>
  <c r="AB89" i="99" s="1"/>
  <c r="G94" i="99"/>
  <c r="I34" i="105"/>
  <c r="I31" i="99"/>
  <c r="H43" i="98"/>
  <c r="I43" i="98" s="1"/>
  <c r="J43" i="98" s="1"/>
  <c r="K43" i="98" s="1"/>
  <c r="L43" i="98" s="1"/>
  <c r="M43" i="98" s="1"/>
  <c r="N43" i="98" s="1"/>
  <c r="O43" i="98" s="1"/>
  <c r="P43" i="98" s="1"/>
  <c r="Q43" i="98" s="1"/>
  <c r="R43" i="98" s="1"/>
  <c r="S43" i="98" s="1"/>
  <c r="T43" i="98" s="1"/>
  <c r="U43" i="98" s="1"/>
  <c r="V43" i="98" s="1"/>
  <c r="W43" i="98" s="1"/>
  <c r="X43" i="98" s="1"/>
  <c r="Y43" i="98" s="1"/>
  <c r="Z43" i="98" s="1"/>
  <c r="AA43" i="98" s="1"/>
  <c r="AB43" i="98" s="1"/>
  <c r="G87" i="98"/>
  <c r="G91" i="95"/>
  <c r="H76" i="4"/>
  <c r="H48" i="95"/>
  <c r="I48" i="95" s="1"/>
  <c r="G104" i="99"/>
  <c r="H23" i="99"/>
  <c r="G26" i="98"/>
  <c r="G75" i="98" s="1"/>
  <c r="H75" i="98" s="1"/>
  <c r="I75" i="98" s="1"/>
  <c r="J75" i="98" s="1"/>
  <c r="K75" i="98" s="1"/>
  <c r="L75" i="98" s="1"/>
  <c r="M75" i="98" s="1"/>
  <c r="N75" i="98" s="1"/>
  <c r="O75" i="98" s="1"/>
  <c r="P75" i="98" s="1"/>
  <c r="Q75" i="98" s="1"/>
  <c r="R75" i="98" s="1"/>
  <c r="S75" i="98" s="1"/>
  <c r="T75" i="98" s="1"/>
  <c r="U75" i="98" s="1"/>
  <c r="V75" i="98" s="1"/>
  <c r="W75" i="98" s="1"/>
  <c r="X75" i="98" s="1"/>
  <c r="Y75" i="98" s="1"/>
  <c r="Z75" i="98" s="1"/>
  <c r="AA75" i="98" s="1"/>
  <c r="AB75" i="98" s="1"/>
  <c r="G82" i="95"/>
  <c r="H38" i="95"/>
  <c r="G62" i="98"/>
  <c r="H9" i="98"/>
  <c r="I9" i="98" s="1"/>
  <c r="J9" i="98" s="1"/>
  <c r="K9" i="98" s="1"/>
  <c r="L9" i="98" s="1"/>
  <c r="M9" i="98" s="1"/>
  <c r="N9" i="98" s="1"/>
  <c r="O9" i="98" s="1"/>
  <c r="G110" i="99"/>
  <c r="H110" i="99" s="1"/>
  <c r="H41" i="98"/>
  <c r="I41" i="98" s="1"/>
  <c r="J41" i="98" s="1"/>
  <c r="K41" i="98" s="1"/>
  <c r="L41" i="98" s="1"/>
  <c r="M41" i="98" s="1"/>
  <c r="N41" i="98" s="1"/>
  <c r="O41" i="98" s="1"/>
  <c r="P41" i="98" s="1"/>
  <c r="Q41" i="98" s="1"/>
  <c r="R41" i="98" s="1"/>
  <c r="S41" i="98" s="1"/>
  <c r="T41" i="98" s="1"/>
  <c r="U41" i="98" s="1"/>
  <c r="V41" i="98" s="1"/>
  <c r="W41" i="98" s="1"/>
  <c r="X41" i="98" s="1"/>
  <c r="Y41" i="98" s="1"/>
  <c r="Z41" i="98" s="1"/>
  <c r="AA41" i="98" s="1"/>
  <c r="AB41" i="98" s="1"/>
  <c r="G85" i="98"/>
  <c r="H19" i="99"/>
  <c r="I19" i="99" s="1"/>
  <c r="J19" i="99" s="1"/>
  <c r="K19" i="99" s="1"/>
  <c r="L19" i="99" s="1"/>
  <c r="M19" i="99" s="1"/>
  <c r="N19" i="99" s="1"/>
  <c r="O19" i="99" s="1"/>
  <c r="P19" i="99" s="1"/>
  <c r="Q19" i="99" s="1"/>
  <c r="R19" i="99" s="1"/>
  <c r="S19" i="99" s="1"/>
  <c r="T19" i="99" s="1"/>
  <c r="U19" i="99" s="1"/>
  <c r="V19" i="99" s="1"/>
  <c r="W19" i="99" s="1"/>
  <c r="X19" i="99" s="1"/>
  <c r="Y19" i="99" s="1"/>
  <c r="Z19" i="99" s="1"/>
  <c r="AA19" i="99" s="1"/>
  <c r="AB19" i="99" s="1"/>
  <c r="G102" i="99"/>
  <c r="G83" i="98"/>
  <c r="H39" i="98"/>
  <c r="I39" i="98" s="1"/>
  <c r="J39" i="98" s="1"/>
  <c r="K39" i="98" s="1"/>
  <c r="L39" i="98" s="1"/>
  <c r="M39" i="98" s="1"/>
  <c r="N39" i="98" s="1"/>
  <c r="O39" i="98" s="1"/>
  <c r="P39" i="98" s="1"/>
  <c r="Q39" i="98" s="1"/>
  <c r="R39" i="98" s="1"/>
  <c r="S39" i="98" s="1"/>
  <c r="T39" i="98" s="1"/>
  <c r="U39" i="98" s="1"/>
  <c r="V39" i="98" s="1"/>
  <c r="W39" i="98" s="1"/>
  <c r="X39" i="98" s="1"/>
  <c r="Y39" i="98" s="1"/>
  <c r="Z39" i="98" s="1"/>
  <c r="AA39" i="98" s="1"/>
  <c r="AB39" i="98" s="1"/>
  <c r="H51" i="98"/>
  <c r="I51" i="98" s="1"/>
  <c r="J51" i="98" s="1"/>
  <c r="K51" i="98" s="1"/>
  <c r="L51" i="98" s="1"/>
  <c r="M51" i="98" s="1"/>
  <c r="N51" i="98" s="1"/>
  <c r="O51" i="98" s="1"/>
  <c r="P51" i="98" s="1"/>
  <c r="Q51" i="98" s="1"/>
  <c r="R51" i="98" s="1"/>
  <c r="S51" i="98" s="1"/>
  <c r="T51" i="98" s="1"/>
  <c r="U51" i="98" s="1"/>
  <c r="V51" i="98" s="1"/>
  <c r="W51" i="98" s="1"/>
  <c r="X51" i="98" s="1"/>
  <c r="Y51" i="98" s="1"/>
  <c r="Z51" i="98" s="1"/>
  <c r="AA51" i="98" s="1"/>
  <c r="AB51" i="98" s="1"/>
  <c r="G93" i="98"/>
  <c r="G101" i="99"/>
  <c r="G100" i="99"/>
  <c r="G94" i="95"/>
  <c r="H52" i="95"/>
  <c r="I52" i="95" s="1"/>
  <c r="J52" i="95" s="1"/>
  <c r="K52" i="95" s="1"/>
  <c r="L52" i="95" s="1"/>
  <c r="M52" i="95" s="1"/>
  <c r="N52" i="95" s="1"/>
  <c r="O52" i="95" s="1"/>
  <c r="P52" i="95" s="1"/>
  <c r="Q52" i="95" s="1"/>
  <c r="R52" i="95" s="1"/>
  <c r="S52" i="95" s="1"/>
  <c r="T52" i="95" s="1"/>
  <c r="U52" i="95" s="1"/>
  <c r="V52" i="95" s="1"/>
  <c r="W52" i="95" s="1"/>
  <c r="X52" i="95" s="1"/>
  <c r="Y52" i="95" s="1"/>
  <c r="Z52" i="95" s="1"/>
  <c r="AA52" i="95" s="1"/>
  <c r="AB52" i="95" s="1"/>
  <c r="H91" i="89"/>
  <c r="H15" i="95"/>
  <c r="I15" i="95" s="1"/>
  <c r="J15" i="95" s="1"/>
  <c r="K15" i="95" s="1"/>
  <c r="L15" i="95" s="1"/>
  <c r="M15" i="95" s="1"/>
  <c r="N15" i="95" s="1"/>
  <c r="O15" i="95" s="1"/>
  <c r="P15" i="95" s="1"/>
  <c r="Q15" i="95" s="1"/>
  <c r="R15" i="95" s="1"/>
  <c r="S15" i="95" s="1"/>
  <c r="T15" i="95" s="1"/>
  <c r="U15" i="95" s="1"/>
  <c r="V15" i="95" s="1"/>
  <c r="W15" i="95" s="1"/>
  <c r="X15" i="95" s="1"/>
  <c r="Y15" i="95" s="1"/>
  <c r="Z15" i="95" s="1"/>
  <c r="AA15" i="95" s="1"/>
  <c r="AB15" i="95" s="1"/>
  <c r="G69" i="95"/>
  <c r="H90" i="99"/>
  <c r="I90" i="99" s="1"/>
  <c r="J90" i="99" s="1"/>
  <c r="K90" i="99" s="1"/>
  <c r="L90" i="99" s="1"/>
  <c r="M90" i="99" s="1"/>
  <c r="N90" i="99" s="1"/>
  <c r="O90" i="99" s="1"/>
  <c r="P90" i="99" s="1"/>
  <c r="Q90" i="99" s="1"/>
  <c r="R90" i="99" s="1"/>
  <c r="S90" i="99" s="1"/>
  <c r="T90" i="99" s="1"/>
  <c r="U90" i="99" s="1"/>
  <c r="V90" i="99" s="1"/>
  <c r="W90" i="99" s="1"/>
  <c r="X90" i="99" s="1"/>
  <c r="Y90" i="99" s="1"/>
  <c r="Z90" i="99" s="1"/>
  <c r="AA90" i="99" s="1"/>
  <c r="AB90" i="99" s="1"/>
  <c r="G95" i="99"/>
  <c r="G89" i="98"/>
  <c r="H77" i="105"/>
  <c r="H48" i="98"/>
  <c r="I48" i="98" s="1"/>
  <c r="G91" i="98"/>
  <c r="G81" i="95"/>
  <c r="H37" i="95"/>
  <c r="I37" i="95" s="1"/>
  <c r="J37" i="95" s="1"/>
  <c r="K37" i="95" s="1"/>
  <c r="L37" i="95" s="1"/>
  <c r="M37" i="95" s="1"/>
  <c r="N37" i="95" s="1"/>
  <c r="O37" i="95" s="1"/>
  <c r="P37" i="95" s="1"/>
  <c r="Q37" i="95" s="1"/>
  <c r="R37" i="95" s="1"/>
  <c r="S37" i="95" s="1"/>
  <c r="T37" i="95" s="1"/>
  <c r="U37" i="95" s="1"/>
  <c r="V37" i="95" s="1"/>
  <c r="W37" i="95" s="1"/>
  <c r="X37" i="95" s="1"/>
  <c r="Y37" i="95" s="1"/>
  <c r="Z37" i="95" s="1"/>
  <c r="AA37" i="95" s="1"/>
  <c r="AB37" i="95" s="1"/>
  <c r="G36" i="95"/>
  <c r="G4" i="95" s="1"/>
  <c r="G64" i="95"/>
  <c r="H11" i="95"/>
  <c r="I11" i="95" s="1"/>
  <c r="J11" i="95" s="1"/>
  <c r="K11" i="95" s="1"/>
  <c r="L11" i="95" s="1"/>
  <c r="M11" i="95" s="1"/>
  <c r="N11" i="95" s="1"/>
  <c r="O11" i="95" s="1"/>
  <c r="P11" i="95" s="1"/>
  <c r="Q11" i="95" s="1"/>
  <c r="R11" i="95" s="1"/>
  <c r="S11" i="95" s="1"/>
  <c r="T11" i="95" s="1"/>
  <c r="U11" i="95" s="1"/>
  <c r="V11" i="95" s="1"/>
  <c r="W11" i="95" s="1"/>
  <c r="X11" i="95" s="1"/>
  <c r="Y11" i="95" s="1"/>
  <c r="Z11" i="95" s="1"/>
  <c r="AA11" i="95" s="1"/>
  <c r="AB11" i="95" s="1"/>
  <c r="G23" i="95"/>
  <c r="G74" i="95" s="1"/>
  <c r="H74" i="95" s="1"/>
  <c r="I74" i="95" s="1"/>
  <c r="J74" i="95" s="1"/>
  <c r="G82" i="98"/>
  <c r="H38" i="98"/>
  <c r="I38" i="98" s="1"/>
  <c r="J38" i="98" s="1"/>
  <c r="K38" i="98" s="1"/>
  <c r="L38" i="98" s="1"/>
  <c r="M38" i="98" s="1"/>
  <c r="N38" i="98" s="1"/>
  <c r="O38" i="98" s="1"/>
  <c r="P38" i="98" s="1"/>
  <c r="Q38" i="98" s="1"/>
  <c r="R38" i="98" s="1"/>
  <c r="S38" i="98" s="1"/>
  <c r="T38" i="98" s="1"/>
  <c r="U38" i="98" s="1"/>
  <c r="V38" i="98" s="1"/>
  <c r="W38" i="98" s="1"/>
  <c r="X38" i="98" s="1"/>
  <c r="Y38" i="98" s="1"/>
  <c r="Z38" i="98" s="1"/>
  <c r="AA38" i="98" s="1"/>
  <c r="AB38" i="98" s="1"/>
  <c r="G90" i="95"/>
  <c r="H47" i="95"/>
  <c r="H8" i="95"/>
  <c r="I8" i="95" s="1"/>
  <c r="J8" i="95" s="1"/>
  <c r="K8" i="95" s="1"/>
  <c r="L8" i="95" s="1"/>
  <c r="M8" i="95" s="1"/>
  <c r="N8" i="95" s="1"/>
  <c r="O8" i="95" s="1"/>
  <c r="P8" i="95" s="1"/>
  <c r="Q8" i="95" s="1"/>
  <c r="R8" i="95" s="1"/>
  <c r="S8" i="95" s="1"/>
  <c r="T8" i="95" s="1"/>
  <c r="U8" i="95" s="1"/>
  <c r="V8" i="95" s="1"/>
  <c r="W8" i="95" s="1"/>
  <c r="X8" i="95" s="1"/>
  <c r="Y8" i="95" s="1"/>
  <c r="Z8" i="95" s="1"/>
  <c r="AA8" i="95" s="1"/>
  <c r="AB8" i="95" s="1"/>
  <c r="G7" i="95"/>
  <c r="G61" i="95"/>
  <c r="G111" i="99"/>
  <c r="H111" i="99" s="1"/>
  <c r="H78" i="105"/>
  <c r="H50" i="98"/>
  <c r="G92" i="98"/>
  <c r="G73" i="98"/>
  <c r="H73" i="98" s="1"/>
  <c r="I73" i="98" s="1"/>
  <c r="J73" i="98" s="1"/>
  <c r="K73" i="98" s="1"/>
  <c r="L73" i="98" s="1"/>
  <c r="M73" i="98" s="1"/>
  <c r="N73" i="98" s="1"/>
  <c r="O73" i="98" s="1"/>
  <c r="P73" i="98" s="1"/>
  <c r="Q73" i="98" s="1"/>
  <c r="R73" i="98" s="1"/>
  <c r="S73" i="98" s="1"/>
  <c r="T73" i="98" s="1"/>
  <c r="U73" i="98" s="1"/>
  <c r="V73" i="98" s="1"/>
  <c r="W73" i="98" s="1"/>
  <c r="X73" i="98" s="1"/>
  <c r="Y73" i="98" s="1"/>
  <c r="Z73" i="98" s="1"/>
  <c r="AA73" i="98" s="1"/>
  <c r="AB73" i="98" s="1"/>
  <c r="G79" i="89"/>
  <c r="G69" i="98"/>
  <c r="H15" i="98"/>
  <c r="I15" i="98" s="1"/>
  <c r="J15" i="98" s="1"/>
  <c r="K15" i="98" s="1"/>
  <c r="L15" i="98" s="1"/>
  <c r="M15" i="98" s="1"/>
  <c r="N15" i="98" s="1"/>
  <c r="O15" i="98" s="1"/>
  <c r="P15" i="98" s="1"/>
  <c r="Q15" i="98" s="1"/>
  <c r="R15" i="98" s="1"/>
  <c r="S15" i="98" s="1"/>
  <c r="T15" i="98" s="1"/>
  <c r="U15" i="98" s="1"/>
  <c r="V15" i="98" s="1"/>
  <c r="W15" i="98" s="1"/>
  <c r="X15" i="98" s="1"/>
  <c r="Y15" i="98" s="1"/>
  <c r="Z15" i="98" s="1"/>
  <c r="AA15" i="98" s="1"/>
  <c r="AB15" i="98" s="1"/>
  <c r="H42" i="95"/>
  <c r="I42" i="95" s="1"/>
  <c r="J42" i="95" s="1"/>
  <c r="K42" i="95" s="1"/>
  <c r="L42" i="95" s="1"/>
  <c r="M42" i="95" s="1"/>
  <c r="N42" i="95" s="1"/>
  <c r="O42" i="95" s="1"/>
  <c r="P42" i="95" s="1"/>
  <c r="Q42" i="95" s="1"/>
  <c r="R42" i="95" s="1"/>
  <c r="S42" i="95" s="1"/>
  <c r="T42" i="95" s="1"/>
  <c r="U42" i="95" s="1"/>
  <c r="V42" i="95" s="1"/>
  <c r="W42" i="95" s="1"/>
  <c r="X42" i="95" s="1"/>
  <c r="Y42" i="95" s="1"/>
  <c r="Z42" i="95" s="1"/>
  <c r="AA42" i="95" s="1"/>
  <c r="AB42" i="95" s="1"/>
  <c r="G86" i="95"/>
  <c r="H37" i="98"/>
  <c r="G36" i="98"/>
  <c r="G4" i="98" s="1"/>
  <c r="G81" i="98"/>
  <c r="H11" i="98"/>
  <c r="I11" i="98" s="1"/>
  <c r="J11" i="98" s="1"/>
  <c r="K11" i="98" s="1"/>
  <c r="L11" i="98" s="1"/>
  <c r="M11" i="98" s="1"/>
  <c r="N11" i="98" s="1"/>
  <c r="O11" i="98" s="1"/>
  <c r="G64" i="98"/>
  <c r="G17" i="95"/>
  <c r="G16" i="95" s="1"/>
  <c r="H47" i="98"/>
  <c r="G90" i="98"/>
  <c r="G7" i="98"/>
  <c r="G61" i="98"/>
  <c r="H8" i="98"/>
  <c r="G63" i="95"/>
  <c r="H10" i="95"/>
  <c r="I10" i="95" s="1"/>
  <c r="J10" i="95" s="1"/>
  <c r="K10" i="95" s="1"/>
  <c r="L10" i="95" s="1"/>
  <c r="M10" i="95" s="1"/>
  <c r="N10" i="95" s="1"/>
  <c r="O10" i="95" s="1"/>
  <c r="P10" i="95" s="1"/>
  <c r="Q10" i="95" s="1"/>
  <c r="R10" i="95" s="1"/>
  <c r="S10" i="95" s="1"/>
  <c r="T10" i="95" s="1"/>
  <c r="U10" i="95" s="1"/>
  <c r="V10" i="95" s="1"/>
  <c r="W10" i="95" s="1"/>
  <c r="X10" i="95" s="1"/>
  <c r="Y10" i="95" s="1"/>
  <c r="Z10" i="95" s="1"/>
  <c r="AA10" i="95" s="1"/>
  <c r="AB10" i="95" s="1"/>
  <c r="G79" i="95"/>
  <c r="H34" i="95"/>
  <c r="I34" i="95" s="1"/>
  <c r="J34" i="95" s="1"/>
  <c r="K34" i="95" s="1"/>
  <c r="L34" i="95" s="1"/>
  <c r="M34" i="95" s="1"/>
  <c r="N34" i="95" s="1"/>
  <c r="O34" i="95" s="1"/>
  <c r="P34" i="95" s="1"/>
  <c r="Q34" i="95" s="1"/>
  <c r="R34" i="95" s="1"/>
  <c r="S34" i="95" s="1"/>
  <c r="T34" i="95" s="1"/>
  <c r="U34" i="95" s="1"/>
  <c r="V34" i="95" s="1"/>
  <c r="W34" i="95" s="1"/>
  <c r="X34" i="95" s="1"/>
  <c r="Y34" i="95" s="1"/>
  <c r="Z34" i="95" s="1"/>
  <c r="AA34" i="95" s="1"/>
  <c r="AB34" i="95" s="1"/>
  <c r="H43" i="95"/>
  <c r="I43" i="95" s="1"/>
  <c r="J43" i="95" s="1"/>
  <c r="K43" i="95" s="1"/>
  <c r="L43" i="95" s="1"/>
  <c r="M43" i="95" s="1"/>
  <c r="N43" i="95" s="1"/>
  <c r="O43" i="95" s="1"/>
  <c r="P43" i="95" s="1"/>
  <c r="Q43" i="95" s="1"/>
  <c r="R43" i="95" s="1"/>
  <c r="S43" i="95" s="1"/>
  <c r="T43" i="95" s="1"/>
  <c r="U43" i="95" s="1"/>
  <c r="V43" i="95" s="1"/>
  <c r="W43" i="95" s="1"/>
  <c r="X43" i="95" s="1"/>
  <c r="Y43" i="95" s="1"/>
  <c r="Z43" i="95" s="1"/>
  <c r="AA43" i="95" s="1"/>
  <c r="AB43" i="95" s="1"/>
  <c r="G87" i="95"/>
  <c r="H24" i="99"/>
  <c r="I24" i="99" s="1"/>
  <c r="J24" i="99" s="1"/>
  <c r="K24" i="99" s="1"/>
  <c r="L24" i="99" s="1"/>
  <c r="M24" i="99" s="1"/>
  <c r="N24" i="99" s="1"/>
  <c r="O24" i="99" s="1"/>
  <c r="P24" i="99" s="1"/>
  <c r="Q24" i="99" s="1"/>
  <c r="R24" i="99" s="1"/>
  <c r="S24" i="99" s="1"/>
  <c r="T24" i="99" s="1"/>
  <c r="U24" i="99" s="1"/>
  <c r="V24" i="99" s="1"/>
  <c r="W24" i="99" s="1"/>
  <c r="X24" i="99" s="1"/>
  <c r="Y24" i="99" s="1"/>
  <c r="Z24" i="99" s="1"/>
  <c r="AA24" i="99" s="1"/>
  <c r="AB24" i="99" s="1"/>
  <c r="G105" i="99"/>
  <c r="G68" i="98"/>
  <c r="H14" i="98"/>
  <c r="I14" i="98" s="1"/>
  <c r="J14" i="98" s="1"/>
  <c r="K14" i="98" s="1"/>
  <c r="L14" i="98" s="1"/>
  <c r="M14" i="98" s="1"/>
  <c r="N14" i="98" s="1"/>
  <c r="O14" i="98" s="1"/>
  <c r="P14" i="98" s="1"/>
  <c r="Q14" i="98" s="1"/>
  <c r="R14" i="98" s="1"/>
  <c r="S14" i="98" s="1"/>
  <c r="T14" i="98" s="1"/>
  <c r="U14" i="98" s="1"/>
  <c r="V14" i="98" s="1"/>
  <c r="W14" i="98" s="1"/>
  <c r="X14" i="98" s="1"/>
  <c r="Y14" i="98" s="1"/>
  <c r="Z14" i="98" s="1"/>
  <c r="AA14" i="98" s="1"/>
  <c r="AB14" i="98" s="1"/>
  <c r="G97" i="99"/>
  <c r="H9" i="99"/>
  <c r="I9" i="99" s="1"/>
  <c r="J9" i="99" s="1"/>
  <c r="K9" i="99" s="1"/>
  <c r="L9" i="99" s="1"/>
  <c r="M9" i="99" s="1"/>
  <c r="N9" i="99" s="1"/>
  <c r="O9" i="99" s="1"/>
  <c r="P9" i="99" s="1"/>
  <c r="Q9" i="99" s="1"/>
  <c r="R9" i="99" s="1"/>
  <c r="S9" i="99" s="1"/>
  <c r="T9" i="99" s="1"/>
  <c r="U9" i="99" s="1"/>
  <c r="V9" i="99" s="1"/>
  <c r="W9" i="99" s="1"/>
  <c r="X9" i="99" s="1"/>
  <c r="Y9" i="99" s="1"/>
  <c r="Z9" i="99" s="1"/>
  <c r="AA9" i="99" s="1"/>
  <c r="AB9" i="99" s="1"/>
  <c r="G28" i="99"/>
  <c r="G86" i="98"/>
  <c r="H42" i="98"/>
  <c r="I42" i="98" s="1"/>
  <c r="J42" i="98" s="1"/>
  <c r="K42" i="98" s="1"/>
  <c r="L42" i="98" s="1"/>
  <c r="M42" i="98" s="1"/>
  <c r="N42" i="98" s="1"/>
  <c r="O42" i="98" s="1"/>
  <c r="P42" i="98" s="1"/>
  <c r="Q42" i="98" s="1"/>
  <c r="R42" i="98" s="1"/>
  <c r="S42" i="98" s="1"/>
  <c r="T42" i="98" s="1"/>
  <c r="U42" i="98" s="1"/>
  <c r="V42" i="98" s="1"/>
  <c r="W42" i="98" s="1"/>
  <c r="X42" i="98" s="1"/>
  <c r="Y42" i="98" s="1"/>
  <c r="Z42" i="98" s="1"/>
  <c r="AA42" i="98" s="1"/>
  <c r="AB42" i="98" s="1"/>
  <c r="G56" i="95"/>
  <c r="G18" i="55"/>
  <c r="H91" i="99"/>
  <c r="I91" i="99" s="1"/>
  <c r="J91" i="99" s="1"/>
  <c r="K91" i="99" s="1"/>
  <c r="L91" i="99" s="1"/>
  <c r="M91" i="99" s="1"/>
  <c r="N91" i="99" s="1"/>
  <c r="O91" i="99" s="1"/>
  <c r="P91" i="99" s="1"/>
  <c r="Q91" i="99" s="1"/>
  <c r="R91" i="99" s="1"/>
  <c r="S91" i="99" s="1"/>
  <c r="T91" i="99" s="1"/>
  <c r="U91" i="99" s="1"/>
  <c r="V91" i="99" s="1"/>
  <c r="W91" i="99" s="1"/>
  <c r="X91" i="99" s="1"/>
  <c r="Y91" i="99" s="1"/>
  <c r="Z91" i="99" s="1"/>
  <c r="AA91" i="99" s="1"/>
  <c r="AB91" i="99" s="1"/>
  <c r="G96" i="99"/>
  <c r="G76" i="95"/>
  <c r="H72" i="105"/>
  <c r="G98" i="99"/>
  <c r="H8" i="99"/>
  <c r="I8" i="99" s="1"/>
  <c r="J8" i="99" s="1"/>
  <c r="K8" i="99" s="1"/>
  <c r="L8" i="99" s="1"/>
  <c r="M8" i="99" s="1"/>
  <c r="N8" i="99" s="1"/>
  <c r="O8" i="99" s="1"/>
  <c r="P8" i="99" s="1"/>
  <c r="Q8" i="99" s="1"/>
  <c r="R8" i="99" s="1"/>
  <c r="S8" i="99" s="1"/>
  <c r="T8" i="99" s="1"/>
  <c r="U8" i="99" s="1"/>
  <c r="V8" i="99" s="1"/>
  <c r="W8" i="99" s="1"/>
  <c r="X8" i="99" s="1"/>
  <c r="Y8" i="99" s="1"/>
  <c r="Z8" i="99" s="1"/>
  <c r="AA8" i="99" s="1"/>
  <c r="AB8" i="99" s="1"/>
  <c r="H40" i="95"/>
  <c r="I40" i="95" s="1"/>
  <c r="J40" i="95" s="1"/>
  <c r="K40" i="95" s="1"/>
  <c r="L40" i="95" s="1"/>
  <c r="M40" i="95" s="1"/>
  <c r="N40" i="95" s="1"/>
  <c r="O40" i="95" s="1"/>
  <c r="P40" i="95" s="1"/>
  <c r="Q40" i="95" s="1"/>
  <c r="R40" i="95" s="1"/>
  <c r="S40" i="95" s="1"/>
  <c r="T40" i="95" s="1"/>
  <c r="U40" i="95" s="1"/>
  <c r="V40" i="95" s="1"/>
  <c r="W40" i="95" s="1"/>
  <c r="X40" i="95" s="1"/>
  <c r="Y40" i="95" s="1"/>
  <c r="Z40" i="95" s="1"/>
  <c r="AA40" i="95" s="1"/>
  <c r="AB40" i="95" s="1"/>
  <c r="G84" i="95"/>
  <c r="G77" i="95"/>
  <c r="H32" i="95"/>
  <c r="I32" i="95" s="1"/>
  <c r="J32" i="95" s="1"/>
  <c r="K32" i="95" s="1"/>
  <c r="L32" i="95" s="1"/>
  <c r="M32" i="95" s="1"/>
  <c r="N32" i="95" s="1"/>
  <c r="O32" i="95" s="1"/>
  <c r="P32" i="95" s="1"/>
  <c r="Q32" i="95" s="1"/>
  <c r="R32" i="95" s="1"/>
  <c r="S32" i="95" s="1"/>
  <c r="T32" i="95" s="1"/>
  <c r="U32" i="95" s="1"/>
  <c r="V32" i="95" s="1"/>
  <c r="W32" i="95" s="1"/>
  <c r="X32" i="95" s="1"/>
  <c r="Y32" i="95" s="1"/>
  <c r="Z32" i="95" s="1"/>
  <c r="AA32" i="95" s="1"/>
  <c r="AB32" i="95" s="1"/>
  <c r="G26" i="99"/>
  <c r="H9" i="95"/>
  <c r="I9" i="95" s="1"/>
  <c r="J9" i="95" s="1"/>
  <c r="K9" i="95" s="1"/>
  <c r="L9" i="95" s="1"/>
  <c r="M9" i="95" s="1"/>
  <c r="N9" i="95" s="1"/>
  <c r="O9" i="95" s="1"/>
  <c r="P9" i="95" s="1"/>
  <c r="Q9" i="95" s="1"/>
  <c r="R9" i="95" s="1"/>
  <c r="S9" i="95" s="1"/>
  <c r="T9" i="95" s="1"/>
  <c r="U9" i="95" s="1"/>
  <c r="V9" i="95" s="1"/>
  <c r="W9" i="95" s="1"/>
  <c r="X9" i="95" s="1"/>
  <c r="Y9" i="95" s="1"/>
  <c r="Z9" i="95" s="1"/>
  <c r="AA9" i="95" s="1"/>
  <c r="AB9" i="95" s="1"/>
  <c r="G62" i="95"/>
  <c r="G56" i="98"/>
  <c r="G17" i="97" s="1"/>
  <c r="G18" i="97"/>
  <c r="H50" i="95"/>
  <c r="H77" i="4"/>
  <c r="G92" i="95"/>
  <c r="H41" i="95"/>
  <c r="I41" i="95" s="1"/>
  <c r="J41" i="95" s="1"/>
  <c r="K41" i="95" s="1"/>
  <c r="L41" i="95" s="1"/>
  <c r="M41" i="95" s="1"/>
  <c r="N41" i="95" s="1"/>
  <c r="O41" i="95" s="1"/>
  <c r="P41" i="95" s="1"/>
  <c r="Q41" i="95" s="1"/>
  <c r="R41" i="95" s="1"/>
  <c r="S41" i="95" s="1"/>
  <c r="T41" i="95" s="1"/>
  <c r="U41" i="95" s="1"/>
  <c r="V41" i="95" s="1"/>
  <c r="W41" i="95" s="1"/>
  <c r="X41" i="95" s="1"/>
  <c r="Y41" i="95" s="1"/>
  <c r="Z41" i="95" s="1"/>
  <c r="AA41" i="95" s="1"/>
  <c r="AB41" i="95" s="1"/>
  <c r="G85" i="95"/>
  <c r="H39" i="95"/>
  <c r="I39" i="95" s="1"/>
  <c r="J39" i="95" s="1"/>
  <c r="K39" i="95" s="1"/>
  <c r="L39" i="95" s="1"/>
  <c r="M39" i="95" s="1"/>
  <c r="N39" i="95" s="1"/>
  <c r="O39" i="95" s="1"/>
  <c r="P39" i="95" s="1"/>
  <c r="Q39" i="95" s="1"/>
  <c r="R39" i="95" s="1"/>
  <c r="S39" i="95" s="1"/>
  <c r="T39" i="95" s="1"/>
  <c r="U39" i="95" s="1"/>
  <c r="V39" i="95" s="1"/>
  <c r="W39" i="95" s="1"/>
  <c r="X39" i="95" s="1"/>
  <c r="Y39" i="95" s="1"/>
  <c r="Z39" i="95" s="1"/>
  <c r="AA39" i="95" s="1"/>
  <c r="AB39" i="95" s="1"/>
  <c r="G83" i="95"/>
  <c r="G93" i="95"/>
  <c r="H51" i="95"/>
  <c r="I51" i="95" s="1"/>
  <c r="J51" i="95" s="1"/>
  <c r="K51" i="95" s="1"/>
  <c r="L51" i="95" s="1"/>
  <c r="M51" i="95" s="1"/>
  <c r="N51" i="95" s="1"/>
  <c r="O51" i="95" s="1"/>
  <c r="P51" i="95" s="1"/>
  <c r="Q51" i="95" s="1"/>
  <c r="R51" i="95" s="1"/>
  <c r="S51" i="95" s="1"/>
  <c r="T51" i="95" s="1"/>
  <c r="U51" i="95" s="1"/>
  <c r="V51" i="95" s="1"/>
  <c r="W51" i="95" s="1"/>
  <c r="X51" i="95" s="1"/>
  <c r="Y51" i="95" s="1"/>
  <c r="Z51" i="95" s="1"/>
  <c r="AA51" i="95" s="1"/>
  <c r="AB51" i="95" s="1"/>
  <c r="G74" i="98"/>
  <c r="H74" i="98" s="1"/>
  <c r="I74" i="98" s="1"/>
  <c r="J74" i="98" s="1"/>
  <c r="K74" i="98" s="1"/>
  <c r="L74" i="98" s="1"/>
  <c r="M74" i="98" s="1"/>
  <c r="N74" i="98" s="1"/>
  <c r="O74" i="98" s="1"/>
  <c r="P74" i="98" s="1"/>
  <c r="Q74" i="98" s="1"/>
  <c r="R74" i="98" s="1"/>
  <c r="S74" i="98" s="1"/>
  <c r="T74" i="98" s="1"/>
  <c r="U74" i="98" s="1"/>
  <c r="V74" i="98" s="1"/>
  <c r="W74" i="98" s="1"/>
  <c r="X74" i="98" s="1"/>
  <c r="Y74" i="98" s="1"/>
  <c r="Z74" i="98" s="1"/>
  <c r="AA74" i="98" s="1"/>
  <c r="AB74" i="98" s="1"/>
  <c r="G112" i="99"/>
  <c r="H40" i="98"/>
  <c r="I40" i="98" s="1"/>
  <c r="J40" i="98" s="1"/>
  <c r="K40" i="98" s="1"/>
  <c r="L40" i="98" s="1"/>
  <c r="M40" i="98" s="1"/>
  <c r="N40" i="98" s="1"/>
  <c r="O40" i="98" s="1"/>
  <c r="P40" i="98" s="1"/>
  <c r="Q40" i="98" s="1"/>
  <c r="R40" i="98" s="1"/>
  <c r="S40" i="98" s="1"/>
  <c r="T40" i="98" s="1"/>
  <c r="U40" i="98" s="1"/>
  <c r="V40" i="98" s="1"/>
  <c r="W40" i="98" s="1"/>
  <c r="X40" i="98" s="1"/>
  <c r="Y40" i="98" s="1"/>
  <c r="Z40" i="98" s="1"/>
  <c r="AA40" i="98" s="1"/>
  <c r="AB40" i="98" s="1"/>
  <c r="G84" i="98"/>
  <c r="G80" i="98"/>
  <c r="H80" i="98" s="1"/>
  <c r="I80" i="98" s="1"/>
  <c r="J80" i="98" s="1"/>
  <c r="K80" i="98" s="1"/>
  <c r="L80" i="98" s="1"/>
  <c r="M80" i="98" s="1"/>
  <c r="N80" i="98" s="1"/>
  <c r="O80" i="98" s="1"/>
  <c r="P80" i="98" s="1"/>
  <c r="Q80" i="98" s="1"/>
  <c r="R80" i="98" s="1"/>
  <c r="S80" i="98" s="1"/>
  <c r="T80" i="98" s="1"/>
  <c r="U80" i="98" s="1"/>
  <c r="V80" i="98" s="1"/>
  <c r="W80" i="98" s="1"/>
  <c r="X80" i="98" s="1"/>
  <c r="Y80" i="98" s="1"/>
  <c r="Z80" i="98" s="1"/>
  <c r="AA80" i="98" s="1"/>
  <c r="AB80" i="98" s="1"/>
  <c r="H27" i="99"/>
  <c r="G108" i="99"/>
  <c r="H25" i="99"/>
  <c r="I25" i="99" s="1"/>
  <c r="J25" i="99" s="1"/>
  <c r="K25" i="99" s="1"/>
  <c r="L25" i="99" s="1"/>
  <c r="M25" i="99" s="1"/>
  <c r="N25" i="99" s="1"/>
  <c r="O25" i="99" s="1"/>
  <c r="P25" i="99" s="1"/>
  <c r="Q25" i="99" s="1"/>
  <c r="R25" i="99" s="1"/>
  <c r="S25" i="99" s="1"/>
  <c r="T25" i="99" s="1"/>
  <c r="U25" i="99" s="1"/>
  <c r="V25" i="99" s="1"/>
  <c r="W25" i="99" s="1"/>
  <c r="X25" i="99" s="1"/>
  <c r="Y25" i="99" s="1"/>
  <c r="Z25" i="99" s="1"/>
  <c r="AA25" i="99" s="1"/>
  <c r="AB25" i="99" s="1"/>
  <c r="G106" i="99"/>
  <c r="G77" i="98"/>
  <c r="H32" i="98"/>
  <c r="I32" i="98" s="1"/>
  <c r="J32" i="98" s="1"/>
  <c r="K32" i="98" s="1"/>
  <c r="L32" i="98" s="1"/>
  <c r="M32" i="98" s="1"/>
  <c r="N32" i="98" s="1"/>
  <c r="O32" i="98" s="1"/>
  <c r="H78" i="4"/>
  <c r="H53" i="95"/>
  <c r="I53" i="95" s="1"/>
  <c r="J53" i="95" s="1"/>
  <c r="K53" i="95" s="1"/>
  <c r="L53" i="95" s="1"/>
  <c r="M53" i="95" s="1"/>
  <c r="N53" i="95" s="1"/>
  <c r="O53" i="95" s="1"/>
  <c r="P53" i="95" s="1"/>
  <c r="Q53" i="95" s="1"/>
  <c r="R53" i="95" s="1"/>
  <c r="S53" i="95" s="1"/>
  <c r="T53" i="95" s="1"/>
  <c r="U53" i="95" s="1"/>
  <c r="V53" i="95" s="1"/>
  <c r="W53" i="95" s="1"/>
  <c r="X53" i="95" s="1"/>
  <c r="Y53" i="95" s="1"/>
  <c r="Z53" i="95" s="1"/>
  <c r="AA53" i="95" s="1"/>
  <c r="AB53" i="95" s="1"/>
  <c r="G95" i="95"/>
  <c r="C21" i="104"/>
  <c r="E16" i="106" s="1"/>
  <c r="C48" i="129"/>
  <c r="H63" i="4"/>
  <c r="H64" i="4" s="1"/>
  <c r="K25" i="100"/>
  <c r="J58" i="100"/>
  <c r="C71" i="123"/>
  <c r="C58" i="123"/>
  <c r="C57" i="123" s="1"/>
  <c r="E58" i="123"/>
  <c r="E57" i="123" s="1"/>
  <c r="E71" i="123"/>
  <c r="D58" i="123"/>
  <c r="D57" i="123" s="1"/>
  <c r="D71" i="123"/>
  <c r="V31" i="4"/>
  <c r="V30" i="89"/>
  <c r="E20" i="106"/>
  <c r="E20" i="46"/>
  <c r="F101" i="123"/>
  <c r="H47" i="4"/>
  <c r="H54" i="4" s="1"/>
  <c r="F73" i="123" s="1"/>
  <c r="H7" i="103"/>
  <c r="G24" i="102" s="1"/>
  <c r="F110" i="123"/>
  <c r="H22" i="103"/>
  <c r="H57" i="4"/>
  <c r="G7" i="97"/>
  <c r="G6" i="97" s="1"/>
  <c r="F100" i="123"/>
  <c r="D34" i="46"/>
  <c r="D34" i="106"/>
  <c r="D33" i="106" s="1"/>
  <c r="F99" i="123"/>
  <c r="H26" i="102"/>
  <c r="G15" i="102"/>
  <c r="G14" i="102" s="1"/>
  <c r="F40" i="123" s="1"/>
  <c r="K6" i="94"/>
  <c r="G56" i="97"/>
  <c r="H56" i="97" s="1"/>
  <c r="G27" i="102"/>
  <c r="J61" i="103"/>
  <c r="D47" i="129" s="1"/>
  <c r="K62" i="103"/>
  <c r="K84" i="103"/>
  <c r="J83" i="103"/>
  <c r="G4" i="97"/>
  <c r="D19" i="94"/>
  <c r="C22" i="104"/>
  <c r="H10" i="102"/>
  <c r="L3" i="94"/>
  <c r="L7" i="94"/>
  <c r="K14" i="94"/>
  <c r="K18" i="94"/>
  <c r="J8" i="103"/>
  <c r="K9" i="103"/>
  <c r="V42" i="97"/>
  <c r="K43" i="103"/>
  <c r="J42" i="103"/>
  <c r="L14" i="94"/>
  <c r="L18" i="94"/>
  <c r="J54" i="97"/>
  <c r="J67" i="103"/>
  <c r="I58" i="97"/>
  <c r="D71" i="104"/>
  <c r="E61" i="104"/>
  <c r="F34" i="106"/>
  <c r="D26" i="104"/>
  <c r="H69" i="4"/>
  <c r="F69" i="123" s="1"/>
  <c r="W80" i="95"/>
  <c r="I44" i="97"/>
  <c r="J44" i="97" s="1"/>
  <c r="K44" i="97" s="1"/>
  <c r="L44" i="97" s="1"/>
  <c r="M44" i="97" s="1"/>
  <c r="N44" i="97" s="1"/>
  <c r="O44" i="97" s="1"/>
  <c r="P44" i="97" s="1"/>
  <c r="Q44" i="97" s="1"/>
  <c r="R44" i="97" s="1"/>
  <c r="S44" i="97" s="1"/>
  <c r="T44" i="97" s="1"/>
  <c r="U44" i="97" s="1"/>
  <c r="V44" i="97" s="1"/>
  <c r="W44" i="97" s="1"/>
  <c r="X44" i="97" s="1"/>
  <c r="Y44" i="97" s="1"/>
  <c r="Z44" i="97" s="1"/>
  <c r="AA44" i="97" s="1"/>
  <c r="AB44" i="97" s="1"/>
  <c r="P14" i="103"/>
  <c r="K35" i="103"/>
  <c r="K81" i="103"/>
  <c r="K79" i="103" s="1"/>
  <c r="G34" i="46" s="1"/>
  <c r="J59" i="97"/>
  <c r="K55" i="97"/>
  <c r="H71" i="103"/>
  <c r="D32" i="46" s="1"/>
  <c r="V45" i="97"/>
  <c r="D27" i="106"/>
  <c r="H38" i="105"/>
  <c r="H69" i="105"/>
  <c r="F48" i="123" s="1"/>
  <c r="F75" i="89"/>
  <c r="E70" i="4"/>
  <c r="C70" i="123" s="1"/>
  <c r="G70" i="4"/>
  <c r="E70" i="123" s="1"/>
  <c r="F70" i="4"/>
  <c r="D70" i="123" s="1"/>
  <c r="I31" i="89"/>
  <c r="J34" i="4" s="1"/>
  <c r="H35" i="95"/>
  <c r="I7" i="4" s="1"/>
  <c r="H76" i="95"/>
  <c r="G75" i="89"/>
  <c r="O34" i="89"/>
  <c r="N75" i="4"/>
  <c r="O32" i="89"/>
  <c r="N73" i="4"/>
  <c r="O33" i="89"/>
  <c r="N74" i="4"/>
  <c r="H92" i="89"/>
  <c r="U92" i="89" s="1"/>
  <c r="J19" i="89"/>
  <c r="D22" i="89"/>
  <c r="D21" i="89" s="1"/>
  <c r="D18" i="89" s="1"/>
  <c r="D87" i="89"/>
  <c r="I6" i="4"/>
  <c r="G22" i="89"/>
  <c r="G21" i="89" s="1"/>
  <c r="H26" i="89"/>
  <c r="I26" i="89" s="1"/>
  <c r="J26" i="89" s="1"/>
  <c r="K26" i="89" s="1"/>
  <c r="L26" i="89" s="1"/>
  <c r="M26" i="89" s="1"/>
  <c r="N26" i="89" s="1"/>
  <c r="O26" i="89" s="1"/>
  <c r="P26" i="89" s="1"/>
  <c r="Q26" i="89" s="1"/>
  <c r="R26" i="89" s="1"/>
  <c r="S26" i="89" s="1"/>
  <c r="T26" i="89" s="1"/>
  <c r="U26" i="89" s="1"/>
  <c r="V26" i="89" s="1"/>
  <c r="W26" i="89" s="1"/>
  <c r="X26" i="89" s="1"/>
  <c r="Y26" i="89" s="1"/>
  <c r="Z26" i="89" s="1"/>
  <c r="AA26" i="89" s="1"/>
  <c r="AB26" i="89" s="1"/>
  <c r="G87" i="89"/>
  <c r="H81" i="89"/>
  <c r="V81" i="89" s="1"/>
  <c r="U81" i="89"/>
  <c r="I23" i="89"/>
  <c r="U90" i="89"/>
  <c r="E22" i="89"/>
  <c r="E21" i="89" s="1"/>
  <c r="E18" i="89" s="1"/>
  <c r="E87" i="89"/>
  <c r="F22" i="89"/>
  <c r="F21" i="89" s="1"/>
  <c r="F18" i="89" s="1"/>
  <c r="F87" i="89"/>
  <c r="U91" i="89"/>
  <c r="U93" i="89"/>
  <c r="M71" i="89"/>
  <c r="O69" i="89"/>
  <c r="N70" i="89"/>
  <c r="G23" i="77"/>
  <c r="F16" i="77"/>
  <c r="H19" i="77"/>
  <c r="H20" i="77"/>
  <c r="H21" i="77"/>
  <c r="H22" i="77"/>
  <c r="H25" i="77"/>
  <c r="H26" i="77"/>
  <c r="H27" i="77"/>
  <c r="H28" i="77"/>
  <c r="H29" i="77"/>
  <c r="H30" i="77"/>
  <c r="H33" i="77"/>
  <c r="H34" i="77"/>
  <c r="H35" i="77"/>
  <c r="H36" i="77"/>
  <c r="H37" i="77"/>
  <c r="H38" i="77"/>
  <c r="H41" i="77"/>
  <c r="H42" i="77"/>
  <c r="H43" i="77"/>
  <c r="H44" i="77"/>
  <c r="H18" i="77"/>
  <c r="L51" i="94" l="1"/>
  <c r="E16" i="46"/>
  <c r="Z9" i="55"/>
  <c r="AA10" i="55"/>
  <c r="G107" i="99"/>
  <c r="H26" i="99"/>
  <c r="I26" i="99" s="1"/>
  <c r="J26" i="99" s="1"/>
  <c r="K26" i="99" s="1"/>
  <c r="L26" i="99" s="1"/>
  <c r="M26" i="99" s="1"/>
  <c r="N26" i="99" s="1"/>
  <c r="O26" i="99" s="1"/>
  <c r="P26" i="99" s="1"/>
  <c r="Q26" i="99" s="1"/>
  <c r="R26" i="99" s="1"/>
  <c r="S26" i="99" s="1"/>
  <c r="T26" i="99" s="1"/>
  <c r="U26" i="99" s="1"/>
  <c r="V26" i="99" s="1"/>
  <c r="W26" i="99" s="1"/>
  <c r="X26" i="99" s="1"/>
  <c r="Y26" i="99" s="1"/>
  <c r="Z26" i="99" s="1"/>
  <c r="AA26" i="99" s="1"/>
  <c r="AB26" i="99" s="1"/>
  <c r="F51" i="123"/>
  <c r="F38" i="123"/>
  <c r="F37" i="123" s="1"/>
  <c r="J48" i="98"/>
  <c r="I77" i="105"/>
  <c r="I72" i="105" s="1"/>
  <c r="I43" i="105"/>
  <c r="I47" i="98"/>
  <c r="U111" i="99"/>
  <c r="I111" i="99"/>
  <c r="G89" i="95"/>
  <c r="H89" i="95" s="1"/>
  <c r="I50" i="95"/>
  <c r="H49" i="95"/>
  <c r="G6" i="95"/>
  <c r="G3" i="95" s="1"/>
  <c r="G57" i="95" s="1"/>
  <c r="H57" i="95" s="1"/>
  <c r="I57" i="95" s="1"/>
  <c r="J57" i="95" s="1"/>
  <c r="K57" i="95" s="1"/>
  <c r="L57" i="95" s="1"/>
  <c r="M57" i="95" s="1"/>
  <c r="N57" i="95" s="1"/>
  <c r="O57" i="95" s="1"/>
  <c r="P57" i="95" s="1"/>
  <c r="Q57" i="95" s="1"/>
  <c r="R57" i="95" s="1"/>
  <c r="S57" i="95" s="1"/>
  <c r="T57" i="95" s="1"/>
  <c r="U57" i="95" s="1"/>
  <c r="V57" i="95" s="1"/>
  <c r="W57" i="95" s="1"/>
  <c r="X57" i="95" s="1"/>
  <c r="Y57" i="95" s="1"/>
  <c r="Z57" i="95" s="1"/>
  <c r="AA57" i="95" s="1"/>
  <c r="AB57" i="95" s="1"/>
  <c r="H101" i="99"/>
  <c r="U101" i="99"/>
  <c r="G22" i="99"/>
  <c r="G21" i="99" s="1"/>
  <c r="H18" i="97"/>
  <c r="G15" i="97"/>
  <c r="G28" i="97" s="1"/>
  <c r="H21" i="97" s="1"/>
  <c r="H18" i="55"/>
  <c r="I18" i="55" s="1"/>
  <c r="J18" i="55" s="1"/>
  <c r="K18" i="55" s="1"/>
  <c r="L18" i="55" s="1"/>
  <c r="M18" i="55" s="1"/>
  <c r="N18" i="55" s="1"/>
  <c r="O18" i="55" s="1"/>
  <c r="P18" i="55" s="1"/>
  <c r="G15" i="55"/>
  <c r="H7" i="95"/>
  <c r="I23" i="99"/>
  <c r="H22" i="99"/>
  <c r="J34" i="105"/>
  <c r="J31" i="99"/>
  <c r="I45" i="95"/>
  <c r="I22" i="4"/>
  <c r="H35" i="98"/>
  <c r="I7" i="105" s="1"/>
  <c r="I6" i="105"/>
  <c r="G16" i="97"/>
  <c r="H17" i="97"/>
  <c r="G14" i="97"/>
  <c r="G17" i="55"/>
  <c r="H7" i="98"/>
  <c r="I8" i="98"/>
  <c r="I47" i="95"/>
  <c r="I42" i="4"/>
  <c r="H36" i="95"/>
  <c r="H4" i="95" s="1"/>
  <c r="I15" i="4" s="1"/>
  <c r="U110" i="99"/>
  <c r="I110" i="99"/>
  <c r="I22" i="105"/>
  <c r="I45" i="98"/>
  <c r="I76" i="4"/>
  <c r="I71" i="4" s="1"/>
  <c r="J48" i="95"/>
  <c r="H16" i="95"/>
  <c r="I16" i="95" s="1"/>
  <c r="J16" i="95" s="1"/>
  <c r="K16" i="95" s="1"/>
  <c r="L16" i="95" s="1"/>
  <c r="M16" i="95" s="1"/>
  <c r="N16" i="95" s="1"/>
  <c r="O16" i="95" s="1"/>
  <c r="P16" i="95" s="1"/>
  <c r="Q16" i="95" s="1"/>
  <c r="R16" i="95" s="1"/>
  <c r="S16" i="95" s="1"/>
  <c r="T16" i="95" s="1"/>
  <c r="U16" i="95" s="1"/>
  <c r="V16" i="95" s="1"/>
  <c r="W16" i="95" s="1"/>
  <c r="X16" i="95" s="1"/>
  <c r="Y16" i="95" s="1"/>
  <c r="Z16" i="95" s="1"/>
  <c r="AA16" i="95" s="1"/>
  <c r="AB16" i="95" s="1"/>
  <c r="G70" i="95"/>
  <c r="G17" i="98"/>
  <c r="G16" i="98" s="1"/>
  <c r="G6" i="98"/>
  <c r="G3" i="98" s="1"/>
  <c r="G57" i="98" s="1"/>
  <c r="I37" i="98"/>
  <c r="H36" i="98"/>
  <c r="H4" i="98" s="1"/>
  <c r="I15" i="105" s="1"/>
  <c r="I50" i="98"/>
  <c r="H49" i="98"/>
  <c r="H71" i="4"/>
  <c r="H70" i="4" s="1"/>
  <c r="F70" i="123" s="1"/>
  <c r="L25" i="100"/>
  <c r="K58" i="100"/>
  <c r="J31" i="89"/>
  <c r="K34" i="4" s="1"/>
  <c r="D31" i="46"/>
  <c r="F41" i="123"/>
  <c r="H61" i="4"/>
  <c r="H62" i="4" s="1"/>
  <c r="F72" i="123"/>
  <c r="H6" i="103"/>
  <c r="I76" i="95"/>
  <c r="W31" i="4"/>
  <c r="W30" i="89"/>
  <c r="F20" i="106"/>
  <c r="F20" i="46"/>
  <c r="D33" i="46"/>
  <c r="L62" i="103"/>
  <c r="K61" i="103"/>
  <c r="E47" i="129" s="1"/>
  <c r="L81" i="103"/>
  <c r="L79" i="103" s="1"/>
  <c r="H34" i="46" s="1"/>
  <c r="L55" i="97"/>
  <c r="K59" i="97"/>
  <c r="J65" i="103"/>
  <c r="I26" i="102"/>
  <c r="D31" i="106"/>
  <c r="G23" i="102"/>
  <c r="G31" i="102" s="1"/>
  <c r="L84" i="103"/>
  <c r="K83" i="103"/>
  <c r="D22" i="104"/>
  <c r="I10" i="102"/>
  <c r="W45" i="97"/>
  <c r="K67" i="103"/>
  <c r="K65" i="103" s="1"/>
  <c r="E48" i="129" s="1"/>
  <c r="J58" i="97"/>
  <c r="K54" i="97"/>
  <c r="D32" i="106"/>
  <c r="H60" i="103"/>
  <c r="H47" i="103" s="1"/>
  <c r="E26" i="104"/>
  <c r="F61" i="104"/>
  <c r="G34" i="106"/>
  <c r="E71" i="104"/>
  <c r="X80" i="95"/>
  <c r="L17" i="94"/>
  <c r="P29" i="97"/>
  <c r="H30" i="97"/>
  <c r="I78" i="103"/>
  <c r="H27" i="102" s="1"/>
  <c r="H60" i="97"/>
  <c r="I56" i="97"/>
  <c r="C59" i="104"/>
  <c r="O29" i="97"/>
  <c r="K17" i="94"/>
  <c r="L35" i="103"/>
  <c r="W42" i="97"/>
  <c r="G3" i="97"/>
  <c r="G27" i="97"/>
  <c r="H70" i="105"/>
  <c r="F49" i="123" s="1"/>
  <c r="K8" i="103"/>
  <c r="L9" i="103"/>
  <c r="L6" i="94"/>
  <c r="H48" i="105"/>
  <c r="H55" i="105" s="1"/>
  <c r="F53" i="123" s="1"/>
  <c r="H56" i="105"/>
  <c r="H58" i="105"/>
  <c r="F52" i="123" s="1"/>
  <c r="H64" i="105"/>
  <c r="H65" i="105" s="1"/>
  <c r="Q14" i="103"/>
  <c r="K42" i="103"/>
  <c r="L43" i="103"/>
  <c r="P33" i="89"/>
  <c r="O74" i="4"/>
  <c r="J73" i="95"/>
  <c r="K75" i="95"/>
  <c r="K74" i="95"/>
  <c r="P32" i="89"/>
  <c r="O73" i="4"/>
  <c r="P34" i="89"/>
  <c r="O75" i="4"/>
  <c r="J76" i="95"/>
  <c r="N71" i="89"/>
  <c r="O71" i="89" s="1"/>
  <c r="H22" i="89"/>
  <c r="O70" i="89"/>
  <c r="G18" i="89"/>
  <c r="H21" i="89"/>
  <c r="I21" i="89" s="1"/>
  <c r="J21" i="89" s="1"/>
  <c r="K21" i="89" s="1"/>
  <c r="L21" i="89" s="1"/>
  <c r="M21" i="89" s="1"/>
  <c r="N21" i="89" s="1"/>
  <c r="O21" i="89" s="1"/>
  <c r="P21" i="89" s="1"/>
  <c r="Q21" i="89" s="1"/>
  <c r="R21" i="89" s="1"/>
  <c r="S21" i="89" s="1"/>
  <c r="T21" i="89" s="1"/>
  <c r="U21" i="89" s="1"/>
  <c r="V21" i="89" s="1"/>
  <c r="W21" i="89" s="1"/>
  <c r="X21" i="89" s="1"/>
  <c r="Y21" i="89" s="1"/>
  <c r="Z21" i="89" s="1"/>
  <c r="AA21" i="89" s="1"/>
  <c r="AB21" i="89" s="1"/>
  <c r="I22" i="89"/>
  <c r="J23" i="89"/>
  <c r="K19" i="89"/>
  <c r="P69" i="89"/>
  <c r="H39" i="77"/>
  <c r="H45" i="77"/>
  <c r="H23" i="77"/>
  <c r="H31" i="77"/>
  <c r="H9" i="77"/>
  <c r="H5" i="77" s="1"/>
  <c r="H16" i="77"/>
  <c r="G16" i="77"/>
  <c r="H87" i="103" l="1"/>
  <c r="K31" i="89"/>
  <c r="L34" i="4" s="1"/>
  <c r="G44" i="95"/>
  <c r="AA9" i="55"/>
  <c r="AB10" i="55"/>
  <c r="AB9" i="55" s="1"/>
  <c r="G38" i="123"/>
  <c r="G51" i="123"/>
  <c r="AB51" i="123" s="1"/>
  <c r="G97" i="98"/>
  <c r="H57" i="98"/>
  <c r="I57" i="98" s="1"/>
  <c r="J57" i="98" s="1"/>
  <c r="K57" i="98" s="1"/>
  <c r="L57" i="98" s="1"/>
  <c r="M57" i="98" s="1"/>
  <c r="N57" i="98" s="1"/>
  <c r="O57" i="98" s="1"/>
  <c r="P57" i="98" s="1"/>
  <c r="Q57" i="98" s="1"/>
  <c r="R57" i="98" s="1"/>
  <c r="S57" i="98" s="1"/>
  <c r="T57" i="98" s="1"/>
  <c r="U57" i="98" s="1"/>
  <c r="V57" i="98" s="1"/>
  <c r="W57" i="98" s="1"/>
  <c r="X57" i="98" s="1"/>
  <c r="Y57" i="98" s="1"/>
  <c r="Z57" i="98" s="1"/>
  <c r="AA57" i="98" s="1"/>
  <c r="AB57" i="98" s="1"/>
  <c r="G44" i="98"/>
  <c r="J22" i="105"/>
  <c r="J45" i="98"/>
  <c r="J8" i="98"/>
  <c r="I7" i="98"/>
  <c r="I7" i="95"/>
  <c r="J47" i="98"/>
  <c r="J43" i="105"/>
  <c r="H16" i="98"/>
  <c r="I16" i="98" s="1"/>
  <c r="J16" i="98" s="1"/>
  <c r="K16" i="98" s="1"/>
  <c r="L16" i="98" s="1"/>
  <c r="M16" i="98" s="1"/>
  <c r="N16" i="98" s="1"/>
  <c r="O16" i="98" s="1"/>
  <c r="P16" i="98" s="1"/>
  <c r="Q16" i="98" s="1"/>
  <c r="R16" i="98" s="1"/>
  <c r="S16" i="98" s="1"/>
  <c r="T16" i="98" s="1"/>
  <c r="U16" i="98" s="1"/>
  <c r="V16" i="98" s="1"/>
  <c r="W16" i="98" s="1"/>
  <c r="X16" i="98" s="1"/>
  <c r="Y16" i="98" s="1"/>
  <c r="Z16" i="98" s="1"/>
  <c r="AA16" i="98" s="1"/>
  <c r="AB16" i="98" s="1"/>
  <c r="G70" i="98"/>
  <c r="H19" i="102"/>
  <c r="I44" i="105"/>
  <c r="H13" i="102"/>
  <c r="J22" i="4"/>
  <c r="J45" i="95"/>
  <c r="F71" i="123"/>
  <c r="F58" i="123"/>
  <c r="G14" i="55"/>
  <c r="G13" i="55" s="1"/>
  <c r="G16" i="55"/>
  <c r="H17" i="55"/>
  <c r="K34" i="105"/>
  <c r="K31" i="99"/>
  <c r="I21" i="97"/>
  <c r="J21" i="97" s="1"/>
  <c r="K21" i="97" s="1"/>
  <c r="L21" i="97" s="1"/>
  <c r="H8" i="97"/>
  <c r="K48" i="98"/>
  <c r="J77" i="105"/>
  <c r="J72" i="105" s="1"/>
  <c r="Q18" i="55"/>
  <c r="P16" i="55"/>
  <c r="G13" i="97"/>
  <c r="I18" i="97"/>
  <c r="J18" i="97" s="1"/>
  <c r="K18" i="97" s="1"/>
  <c r="L18" i="97" s="1"/>
  <c r="M18" i="97" s="1"/>
  <c r="N18" i="97" s="1"/>
  <c r="O18" i="97" s="1"/>
  <c r="P18" i="97" s="1"/>
  <c r="H15" i="97"/>
  <c r="H55" i="98" s="1"/>
  <c r="J50" i="95"/>
  <c r="I49" i="95"/>
  <c r="J50" i="98"/>
  <c r="I49" i="98"/>
  <c r="J76" i="4"/>
  <c r="J71" i="4" s="1"/>
  <c r="K48" i="95"/>
  <c r="I36" i="95"/>
  <c r="I4" i="95" s="1"/>
  <c r="J15" i="4" s="1"/>
  <c r="H16" i="97"/>
  <c r="I17" i="97"/>
  <c r="H21" i="99"/>
  <c r="I21" i="99" s="1"/>
  <c r="J21" i="99" s="1"/>
  <c r="K21" i="99" s="1"/>
  <c r="L21" i="99" s="1"/>
  <c r="M21" i="99" s="1"/>
  <c r="N21" i="99" s="1"/>
  <c r="O21" i="99" s="1"/>
  <c r="P21" i="99" s="1"/>
  <c r="Q21" i="99" s="1"/>
  <c r="R21" i="99" s="1"/>
  <c r="S21" i="99" s="1"/>
  <c r="T21" i="99" s="1"/>
  <c r="U21" i="99" s="1"/>
  <c r="V21" i="99" s="1"/>
  <c r="W21" i="99" s="1"/>
  <c r="X21" i="99" s="1"/>
  <c r="Y21" i="99" s="1"/>
  <c r="Z21" i="99" s="1"/>
  <c r="AA21" i="99" s="1"/>
  <c r="AB21" i="99" s="1"/>
  <c r="G18" i="99"/>
  <c r="I89" i="95"/>
  <c r="H89" i="98"/>
  <c r="H46" i="98" s="1"/>
  <c r="H46" i="95"/>
  <c r="G71" i="123"/>
  <c r="AB71" i="123" s="1"/>
  <c r="G58" i="123"/>
  <c r="I22" i="99"/>
  <c r="J23" i="99"/>
  <c r="J111" i="99"/>
  <c r="V111" i="99"/>
  <c r="V110" i="99"/>
  <c r="J110" i="99"/>
  <c r="J37" i="98"/>
  <c r="I36" i="98"/>
  <c r="I4" i="98" s="1"/>
  <c r="J15" i="105" s="1"/>
  <c r="J42" i="4"/>
  <c r="J47" i="95"/>
  <c r="I8" i="105"/>
  <c r="V101" i="99"/>
  <c r="I101" i="99"/>
  <c r="D21" i="104"/>
  <c r="F16" i="46" s="1"/>
  <c r="D48" i="129"/>
  <c r="M25" i="100"/>
  <c r="L58" i="100"/>
  <c r="F102" i="123"/>
  <c r="F103" i="123" s="1"/>
  <c r="F42" i="123"/>
  <c r="F43" i="123" s="1"/>
  <c r="F44" i="123" s="1"/>
  <c r="X31" i="4"/>
  <c r="X30" i="89"/>
  <c r="G20" i="106"/>
  <c r="G20" i="46"/>
  <c r="E21" i="104"/>
  <c r="M81" i="103"/>
  <c r="M79" i="103" s="1"/>
  <c r="I34" i="46" s="1"/>
  <c r="M55" i="97"/>
  <c r="L59" i="97"/>
  <c r="L67" i="103"/>
  <c r="L54" i="97"/>
  <c r="K58" i="97"/>
  <c r="L83" i="103"/>
  <c r="M84" i="103"/>
  <c r="F26" i="104"/>
  <c r="F71" i="104"/>
  <c r="G61" i="104"/>
  <c r="H34" i="106"/>
  <c r="X42" i="97"/>
  <c r="J78" i="103"/>
  <c r="I27" i="102" s="1"/>
  <c r="J56" i="97"/>
  <c r="I60" i="97"/>
  <c r="D59" i="104"/>
  <c r="L42" i="103"/>
  <c r="M43" i="103"/>
  <c r="H62" i="105"/>
  <c r="D29" i="46" s="1"/>
  <c r="H71" i="105"/>
  <c r="F50" i="123" s="1"/>
  <c r="L8" i="103"/>
  <c r="M9" i="103"/>
  <c r="G32" i="102"/>
  <c r="G38" i="102" s="1"/>
  <c r="J10" i="102"/>
  <c r="E22" i="104"/>
  <c r="L61" i="103"/>
  <c r="F47" i="129" s="1"/>
  <c r="M62" i="103"/>
  <c r="H20" i="97"/>
  <c r="G26" i="97"/>
  <c r="X45" i="97"/>
  <c r="R14" i="103"/>
  <c r="S14" i="103" s="1"/>
  <c r="T14" i="103" s="1"/>
  <c r="M35" i="103"/>
  <c r="I23" i="97"/>
  <c r="H10" i="97"/>
  <c r="Y80" i="95"/>
  <c r="H90" i="103"/>
  <c r="J26" i="102"/>
  <c r="K76" i="95"/>
  <c r="L75" i="95"/>
  <c r="Q34" i="89"/>
  <c r="P75" i="4"/>
  <c r="K73" i="95"/>
  <c r="Q32" i="89"/>
  <c r="P73" i="4"/>
  <c r="Q33" i="89"/>
  <c r="P74" i="4"/>
  <c r="L74" i="95"/>
  <c r="Q69" i="89"/>
  <c r="R69" i="89" s="1"/>
  <c r="P70" i="89"/>
  <c r="Q70" i="89" s="1"/>
  <c r="L19" i="89"/>
  <c r="K23" i="89"/>
  <c r="J22" i="89"/>
  <c r="P71" i="89"/>
  <c r="H8" i="77"/>
  <c r="F9" i="77"/>
  <c r="G9" i="77"/>
  <c r="C4" i="81"/>
  <c r="D4" i="81" s="1"/>
  <c r="Q5" i="81"/>
  <c r="E5" i="81"/>
  <c r="G5" i="81"/>
  <c r="F5" i="81"/>
  <c r="H5" i="81"/>
  <c r="C3" i="81"/>
  <c r="D3" i="81" s="1"/>
  <c r="F16" i="106" l="1"/>
  <c r="L31" i="89"/>
  <c r="M34" i="4" s="1"/>
  <c r="R18" i="55"/>
  <c r="Q16" i="55"/>
  <c r="K8" i="98"/>
  <c r="J7" i="98"/>
  <c r="J17" i="97"/>
  <c r="I16" i="97"/>
  <c r="H38" i="123"/>
  <c r="H51" i="123"/>
  <c r="K22" i="105"/>
  <c r="K45" i="98"/>
  <c r="K50" i="95"/>
  <c r="J49" i="95"/>
  <c r="L48" i="98"/>
  <c r="K77" i="105"/>
  <c r="K72" i="105" s="1"/>
  <c r="K47" i="95"/>
  <c r="K42" i="4"/>
  <c r="J36" i="98"/>
  <c r="J4" i="98" s="1"/>
  <c r="K15" i="105" s="1"/>
  <c r="K37" i="98"/>
  <c r="I8" i="97"/>
  <c r="J8" i="97" s="1"/>
  <c r="K8" i="97" s="1"/>
  <c r="L8" i="97" s="1"/>
  <c r="I19" i="102"/>
  <c r="J44" i="105"/>
  <c r="I13" i="102"/>
  <c r="K110" i="99"/>
  <c r="W110" i="99"/>
  <c r="J36" i="95"/>
  <c r="J4" i="95" s="1"/>
  <c r="K15" i="4" s="1"/>
  <c r="K22" i="4"/>
  <c r="K45" i="95"/>
  <c r="K43" i="105"/>
  <c r="K47" i="98"/>
  <c r="K50" i="98"/>
  <c r="J49" i="98"/>
  <c r="J101" i="99"/>
  <c r="W101" i="99"/>
  <c r="L48" i="95"/>
  <c r="K76" i="4"/>
  <c r="K71" i="4" s="1"/>
  <c r="P16" i="97"/>
  <c r="Q18" i="97"/>
  <c r="L34" i="105"/>
  <c r="L31" i="99"/>
  <c r="J22" i="99"/>
  <c r="K23" i="99"/>
  <c r="J89" i="95"/>
  <c r="I46" i="95"/>
  <c r="I89" i="98"/>
  <c r="H71" i="123"/>
  <c r="H58" i="123"/>
  <c r="J7" i="95"/>
  <c r="G23" i="123"/>
  <c r="K111" i="99"/>
  <c r="W111" i="99"/>
  <c r="H16" i="55"/>
  <c r="I17" i="55"/>
  <c r="G6" i="123"/>
  <c r="N25" i="100"/>
  <c r="M58" i="100"/>
  <c r="F104" i="123"/>
  <c r="Y31" i="4"/>
  <c r="Y30" i="89"/>
  <c r="G16" i="106"/>
  <c r="G16" i="46"/>
  <c r="H20" i="106"/>
  <c r="H20" i="46"/>
  <c r="D30" i="46"/>
  <c r="D35" i="46"/>
  <c r="M8" i="103"/>
  <c r="N9" i="103"/>
  <c r="M21" i="97"/>
  <c r="N62" i="103"/>
  <c r="M61" i="103"/>
  <c r="G47" i="129" s="1"/>
  <c r="L65" i="103"/>
  <c r="K26" i="102"/>
  <c r="U14" i="103"/>
  <c r="K78" i="103"/>
  <c r="J27" i="102" s="1"/>
  <c r="J60" i="97"/>
  <c r="K56" i="97"/>
  <c r="E59" i="104"/>
  <c r="M83" i="103"/>
  <c r="N84" i="103"/>
  <c r="Y42" i="97"/>
  <c r="N81" i="103"/>
  <c r="N79" i="103" s="1"/>
  <c r="J34" i="46" s="1"/>
  <c r="M59" i="97"/>
  <c r="N55" i="97"/>
  <c r="F22" i="104"/>
  <c r="K10" i="102"/>
  <c r="Z80" i="95"/>
  <c r="Y45" i="97"/>
  <c r="H63" i="105"/>
  <c r="D29" i="106"/>
  <c r="N35" i="103"/>
  <c r="H14" i="97"/>
  <c r="H19" i="97"/>
  <c r="I20" i="97"/>
  <c r="H7" i="97"/>
  <c r="M42" i="103"/>
  <c r="N43" i="103"/>
  <c r="M67" i="103"/>
  <c r="M54" i="97"/>
  <c r="L58" i="97"/>
  <c r="H61" i="104"/>
  <c r="G26" i="104"/>
  <c r="G71" i="104"/>
  <c r="I34" i="106"/>
  <c r="L73" i="95"/>
  <c r="M74" i="95"/>
  <c r="R33" i="89"/>
  <c r="Q74" i="4"/>
  <c r="M75" i="95"/>
  <c r="R34" i="89"/>
  <c r="Q75" i="4"/>
  <c r="R32" i="89"/>
  <c r="Q73" i="4"/>
  <c r="L76" i="95"/>
  <c r="M19" i="89"/>
  <c r="L23" i="89"/>
  <c r="K22" i="89"/>
  <c r="M31" i="89"/>
  <c r="N34" i="4" s="1"/>
  <c r="S69" i="89"/>
  <c r="R70" i="89"/>
  <c r="Q71" i="89"/>
  <c r="G5" i="77"/>
  <c r="F5" i="77"/>
  <c r="F8" i="77"/>
  <c r="G8" i="77"/>
  <c r="T5" i="81"/>
  <c r="J5" i="81"/>
  <c r="P5" i="81"/>
  <c r="N5" i="81"/>
  <c r="R5" i="81"/>
  <c r="L5" i="81"/>
  <c r="O5" i="81"/>
  <c r="U5" i="81"/>
  <c r="V5" i="81"/>
  <c r="M5" i="81"/>
  <c r="S5" i="81"/>
  <c r="I5" i="81"/>
  <c r="K5" i="81"/>
  <c r="M8" i="97" l="1"/>
  <c r="H23" i="123"/>
  <c r="I46" i="98"/>
  <c r="J89" i="98"/>
  <c r="K44" i="105"/>
  <c r="J19" i="102"/>
  <c r="J13" i="102"/>
  <c r="L47" i="95"/>
  <c r="L42" i="4"/>
  <c r="H6" i="123"/>
  <c r="J46" i="95"/>
  <c r="K89" i="95"/>
  <c r="M48" i="98"/>
  <c r="L77" i="105"/>
  <c r="L72" i="105" s="1"/>
  <c r="J16" i="97"/>
  <c r="K17" i="97"/>
  <c r="R18" i="97"/>
  <c r="Q16" i="97"/>
  <c r="L45" i="95"/>
  <c r="L22" i="4"/>
  <c r="L23" i="99"/>
  <c r="K22" i="99"/>
  <c r="L43" i="105"/>
  <c r="L47" i="98"/>
  <c r="L111" i="99"/>
  <c r="X111" i="99"/>
  <c r="I71" i="123"/>
  <c r="I58" i="123"/>
  <c r="L76" i="4"/>
  <c r="L71" i="4" s="1"/>
  <c r="M48" i="95"/>
  <c r="X101" i="99"/>
  <c r="K101" i="99"/>
  <c r="K36" i="95"/>
  <c r="K4" i="95" s="1"/>
  <c r="L15" i="4" s="1"/>
  <c r="L50" i="95"/>
  <c r="K49" i="95"/>
  <c r="K7" i="98"/>
  <c r="L8" i="98"/>
  <c r="I51" i="123"/>
  <c r="I23" i="123" s="1"/>
  <c r="I38" i="123"/>
  <c r="I6" i="123" s="1"/>
  <c r="K7" i="95"/>
  <c r="M34" i="105"/>
  <c r="M31" i="99"/>
  <c r="K36" i="98"/>
  <c r="K4" i="98" s="1"/>
  <c r="L15" i="105" s="1"/>
  <c r="L37" i="98"/>
  <c r="L22" i="105"/>
  <c r="L45" i="98"/>
  <c r="J17" i="55"/>
  <c r="I16" i="55"/>
  <c r="L50" i="98"/>
  <c r="K49" i="98"/>
  <c r="L110" i="99"/>
  <c r="X110" i="99"/>
  <c r="S18" i="55"/>
  <c r="R16" i="55"/>
  <c r="F21" i="104"/>
  <c r="H16" i="106" s="1"/>
  <c r="F48" i="129"/>
  <c r="O25" i="100"/>
  <c r="N58" i="100"/>
  <c r="I7" i="97"/>
  <c r="Z31" i="4"/>
  <c r="Z30" i="89"/>
  <c r="I20" i="106"/>
  <c r="I20" i="46"/>
  <c r="O43" i="103"/>
  <c r="N42" i="103"/>
  <c r="D30" i="106"/>
  <c r="D35" i="106"/>
  <c r="Z42" i="97"/>
  <c r="V14" i="103"/>
  <c r="W14" i="103" s="1"/>
  <c r="X14" i="103" s="1"/>
  <c r="Y14" i="103" s="1"/>
  <c r="Z14" i="103" s="1"/>
  <c r="AA14" i="103" s="1"/>
  <c r="AB14" i="103" s="1"/>
  <c r="AC14" i="103" s="1"/>
  <c r="AA80" i="95"/>
  <c r="H4" i="97"/>
  <c r="H6" i="97"/>
  <c r="L78" i="103"/>
  <c r="K27" i="102" s="1"/>
  <c r="L56" i="97"/>
  <c r="K60" i="97"/>
  <c r="F59" i="104"/>
  <c r="N21" i="97"/>
  <c r="O9" i="103"/>
  <c r="N8" i="103"/>
  <c r="H56" i="98"/>
  <c r="I23" i="105" s="1"/>
  <c r="C38" i="129" s="1"/>
  <c r="H13" i="97"/>
  <c r="Z45" i="97"/>
  <c r="L10" i="102"/>
  <c r="G22" i="104"/>
  <c r="I19" i="97"/>
  <c r="I14" i="97"/>
  <c r="J20" i="97"/>
  <c r="O81" i="103"/>
  <c r="O79" i="103" s="1"/>
  <c r="K34" i="46" s="1"/>
  <c r="N59" i="97"/>
  <c r="O55" i="97"/>
  <c r="N67" i="103"/>
  <c r="N54" i="97"/>
  <c r="M58" i="97"/>
  <c r="H26" i="104"/>
  <c r="H71" i="104"/>
  <c r="I61" i="104"/>
  <c r="J34" i="106"/>
  <c r="N61" i="103"/>
  <c r="H47" i="129" s="1"/>
  <c r="O62" i="103"/>
  <c r="M65" i="103"/>
  <c r="L26" i="102"/>
  <c r="O35" i="103"/>
  <c r="N83" i="103"/>
  <c r="O84" i="103"/>
  <c r="N75" i="95"/>
  <c r="S33" i="89"/>
  <c r="R74" i="4"/>
  <c r="S32" i="89"/>
  <c r="R73" i="4"/>
  <c r="M76" i="95"/>
  <c r="N74" i="95"/>
  <c r="S34" i="89"/>
  <c r="R75" i="4"/>
  <c r="M73" i="95"/>
  <c r="N31" i="89"/>
  <c r="O34" i="4" s="1"/>
  <c r="M23" i="89"/>
  <c r="L22" i="89"/>
  <c r="N19" i="89"/>
  <c r="T69" i="89"/>
  <c r="U69" i="89" s="1"/>
  <c r="V69" i="89" s="1"/>
  <c r="W69" i="89" s="1"/>
  <c r="X69" i="89" s="1"/>
  <c r="Y69" i="89" s="1"/>
  <c r="Z69" i="89" s="1"/>
  <c r="AA69" i="89" s="1"/>
  <c r="AB69" i="89" s="1"/>
  <c r="S70" i="89"/>
  <c r="R71" i="89"/>
  <c r="D2" i="77"/>
  <c r="E2" i="77" s="1"/>
  <c r="F2" i="77" s="1"/>
  <c r="G2" i="77" s="1"/>
  <c r="H2" i="77" s="1"/>
  <c r="N8" i="97" l="1"/>
  <c r="H16" i="46"/>
  <c r="M22" i="105"/>
  <c r="M45" i="98"/>
  <c r="Y101" i="99"/>
  <c r="L101" i="99"/>
  <c r="M47" i="98"/>
  <c r="M43" i="105"/>
  <c r="R16" i="97"/>
  <c r="S18" i="97"/>
  <c r="T18" i="55"/>
  <c r="S16" i="55"/>
  <c r="K19" i="102"/>
  <c r="L44" i="105"/>
  <c r="K13" i="102"/>
  <c r="K16" i="97"/>
  <c r="L17" i="97"/>
  <c r="M42" i="4"/>
  <c r="M47" i="95"/>
  <c r="J71" i="123"/>
  <c r="J58" i="123"/>
  <c r="M37" i="98"/>
  <c r="L36" i="98"/>
  <c r="L4" i="98" s="1"/>
  <c r="M15" i="105" s="1"/>
  <c r="M110" i="99"/>
  <c r="Y110" i="99"/>
  <c r="M23" i="99"/>
  <c r="L22" i="99"/>
  <c r="N34" i="105"/>
  <c r="N31" i="99"/>
  <c r="N48" i="98"/>
  <c r="M77" i="105"/>
  <c r="M72" i="105" s="1"/>
  <c r="J38" i="123"/>
  <c r="J51" i="123"/>
  <c r="M50" i="98"/>
  <c r="L49" i="98"/>
  <c r="M50" i="95"/>
  <c r="L49" i="95"/>
  <c r="M22" i="4"/>
  <c r="M45" i="95"/>
  <c r="K46" i="95"/>
  <c r="L89" i="95"/>
  <c r="K89" i="98"/>
  <c r="J46" i="98"/>
  <c r="L7" i="98"/>
  <c r="M8" i="98"/>
  <c r="M76" i="4"/>
  <c r="M71" i="4" s="1"/>
  <c r="N48" i="95"/>
  <c r="J16" i="55"/>
  <c r="K17" i="55"/>
  <c r="L7" i="95"/>
  <c r="L36" i="95"/>
  <c r="L4" i="95" s="1"/>
  <c r="M15" i="4" s="1"/>
  <c r="M111" i="99"/>
  <c r="Y111" i="99"/>
  <c r="P25" i="100"/>
  <c r="O58" i="100"/>
  <c r="G21" i="104"/>
  <c r="I16" i="46" s="1"/>
  <c r="G48" i="129"/>
  <c r="J7" i="97"/>
  <c r="AA31" i="4"/>
  <c r="AA30" i="89"/>
  <c r="J20" i="106"/>
  <c r="J20" i="46"/>
  <c r="C18" i="104"/>
  <c r="H9" i="102"/>
  <c r="H8" i="102" s="1"/>
  <c r="O83" i="103"/>
  <c r="P84" i="103"/>
  <c r="O67" i="103"/>
  <c r="O65" i="103" s="1"/>
  <c r="I48" i="129" s="1"/>
  <c r="O54" i="97"/>
  <c r="N58" i="97"/>
  <c r="I56" i="98"/>
  <c r="N65" i="103"/>
  <c r="M26" i="102"/>
  <c r="P9" i="103"/>
  <c r="O8" i="103"/>
  <c r="I16" i="103"/>
  <c r="AA42" i="97"/>
  <c r="P35" i="103"/>
  <c r="P81" i="103"/>
  <c r="P79" i="103" s="1"/>
  <c r="L34" i="46" s="1"/>
  <c r="O59" i="97"/>
  <c r="P55" i="97"/>
  <c r="I6" i="97"/>
  <c r="M78" i="103"/>
  <c r="L27" i="102" s="1"/>
  <c r="L60" i="97"/>
  <c r="M56" i="97"/>
  <c r="G59" i="104"/>
  <c r="O21" i="97"/>
  <c r="O8" i="97" s="1"/>
  <c r="J61" i="104"/>
  <c r="K34" i="106"/>
  <c r="I71" i="104"/>
  <c r="I26" i="104"/>
  <c r="AB80" i="95"/>
  <c r="P62" i="103"/>
  <c r="O61" i="103"/>
  <c r="I47" i="129" s="1"/>
  <c r="M10" i="102"/>
  <c r="H22" i="104"/>
  <c r="K20" i="97"/>
  <c r="J19" i="97"/>
  <c r="AA45" i="97"/>
  <c r="P43" i="103"/>
  <c r="O42" i="103"/>
  <c r="N76" i="95"/>
  <c r="T34" i="89"/>
  <c r="S75" i="4"/>
  <c r="T33" i="89"/>
  <c r="S74" i="4"/>
  <c r="N73" i="95"/>
  <c r="O74" i="95"/>
  <c r="T32" i="89"/>
  <c r="S73" i="4"/>
  <c r="O75" i="95"/>
  <c r="O19" i="89"/>
  <c r="O31" i="89"/>
  <c r="P34" i="4" s="1"/>
  <c r="M22" i="89"/>
  <c r="N23" i="89"/>
  <c r="T70" i="89"/>
  <c r="S71" i="89"/>
  <c r="AE69" i="80"/>
  <c r="L69" i="80"/>
  <c r="M69" i="80" s="1"/>
  <c r="N69" i="80" s="1"/>
  <c r="O69" i="80" s="1"/>
  <c r="P69" i="80" s="1"/>
  <c r="Q69" i="80" s="1"/>
  <c r="R69" i="80" s="1"/>
  <c r="S69" i="80" s="1"/>
  <c r="T69" i="80" s="1"/>
  <c r="U69" i="80" s="1"/>
  <c r="V69" i="80" s="1"/>
  <c r="W69" i="80" s="1"/>
  <c r="X69" i="80" s="1"/>
  <c r="Y69" i="80" s="1"/>
  <c r="Z69" i="80" s="1"/>
  <c r="AB69" i="80" s="1"/>
  <c r="AE68" i="80"/>
  <c r="L68" i="80"/>
  <c r="M68" i="80" s="1"/>
  <c r="N68" i="80" s="1"/>
  <c r="O68" i="80" s="1"/>
  <c r="P68" i="80" s="1"/>
  <c r="Q68" i="80" s="1"/>
  <c r="R68" i="80" s="1"/>
  <c r="S68" i="80" s="1"/>
  <c r="T68" i="80" s="1"/>
  <c r="U68" i="80" s="1"/>
  <c r="V68" i="80" s="1"/>
  <c r="W68" i="80" s="1"/>
  <c r="X68" i="80" s="1"/>
  <c r="Y68" i="80" s="1"/>
  <c r="Z68" i="80" s="1"/>
  <c r="AB68" i="80" s="1"/>
  <c r="AE67" i="80"/>
  <c r="P67" i="80"/>
  <c r="Q67" i="80" s="1"/>
  <c r="R67" i="80" s="1"/>
  <c r="S67" i="80" s="1"/>
  <c r="T67" i="80" s="1"/>
  <c r="U67" i="80" s="1"/>
  <c r="V67" i="80" s="1"/>
  <c r="W67" i="80" s="1"/>
  <c r="X67" i="80" s="1"/>
  <c r="Y67" i="80" s="1"/>
  <c r="Z67" i="80" s="1"/>
  <c r="AB67" i="80" s="1"/>
  <c r="L67" i="80"/>
  <c r="M67" i="80" s="1"/>
  <c r="N67" i="80" s="1"/>
  <c r="O67" i="80" s="1"/>
  <c r="AE66" i="80"/>
  <c r="L66" i="80"/>
  <c r="M66" i="80" s="1"/>
  <c r="N66" i="80" s="1"/>
  <c r="O66" i="80" s="1"/>
  <c r="P66" i="80" s="1"/>
  <c r="Q66" i="80" s="1"/>
  <c r="R66" i="80" s="1"/>
  <c r="S66" i="80" s="1"/>
  <c r="T66" i="80" s="1"/>
  <c r="U66" i="80" s="1"/>
  <c r="V66" i="80" s="1"/>
  <c r="W66" i="80" s="1"/>
  <c r="X66" i="80" s="1"/>
  <c r="Y66" i="80" s="1"/>
  <c r="Z66" i="80" s="1"/>
  <c r="AB66" i="80" s="1"/>
  <c r="AE65" i="80"/>
  <c r="L65" i="80"/>
  <c r="M65" i="80" s="1"/>
  <c r="N65" i="80" s="1"/>
  <c r="O65" i="80" s="1"/>
  <c r="P65" i="80" s="1"/>
  <c r="Q65" i="80" s="1"/>
  <c r="R65" i="80" s="1"/>
  <c r="S65" i="80" s="1"/>
  <c r="T65" i="80" s="1"/>
  <c r="U65" i="80" s="1"/>
  <c r="V65" i="80" s="1"/>
  <c r="W65" i="80" s="1"/>
  <c r="X65" i="80" s="1"/>
  <c r="Y65" i="80" s="1"/>
  <c r="Z65" i="80" s="1"/>
  <c r="AB65" i="80" s="1"/>
  <c r="AE64" i="80"/>
  <c r="N64" i="80"/>
  <c r="O64" i="80" s="1"/>
  <c r="P64" i="80" s="1"/>
  <c r="Q64" i="80" s="1"/>
  <c r="R64" i="80" s="1"/>
  <c r="S64" i="80" s="1"/>
  <c r="T64" i="80" s="1"/>
  <c r="U64" i="80" s="1"/>
  <c r="V64" i="80" s="1"/>
  <c r="W64" i="80" s="1"/>
  <c r="X64" i="80" s="1"/>
  <c r="Y64" i="80" s="1"/>
  <c r="Z64" i="80" s="1"/>
  <c r="AB64" i="80" s="1"/>
  <c r="M64" i="80"/>
  <c r="L64" i="80"/>
  <c r="AE63" i="80"/>
  <c r="M63" i="80"/>
  <c r="N63" i="80" s="1"/>
  <c r="O63" i="80" s="1"/>
  <c r="P63" i="80" s="1"/>
  <c r="Q63" i="80" s="1"/>
  <c r="R63" i="80" s="1"/>
  <c r="S63" i="80" s="1"/>
  <c r="T63" i="80" s="1"/>
  <c r="U63" i="80" s="1"/>
  <c r="V63" i="80" s="1"/>
  <c r="W63" i="80" s="1"/>
  <c r="X63" i="80" s="1"/>
  <c r="Y63" i="80" s="1"/>
  <c r="Z63" i="80" s="1"/>
  <c r="AB63" i="80" s="1"/>
  <c r="L63" i="80"/>
  <c r="AE62" i="80"/>
  <c r="L62" i="80"/>
  <c r="M62" i="80" s="1"/>
  <c r="N62" i="80" s="1"/>
  <c r="O62" i="80" s="1"/>
  <c r="P62" i="80" s="1"/>
  <c r="Q62" i="80" s="1"/>
  <c r="R62" i="80" s="1"/>
  <c r="S62" i="80" s="1"/>
  <c r="T62" i="80" s="1"/>
  <c r="U62" i="80" s="1"/>
  <c r="V62" i="80" s="1"/>
  <c r="W62" i="80" s="1"/>
  <c r="X62" i="80" s="1"/>
  <c r="Y62" i="80" s="1"/>
  <c r="Z62" i="80" s="1"/>
  <c r="AB62" i="80" s="1"/>
  <c r="AE61" i="80"/>
  <c r="S61" i="80"/>
  <c r="T61" i="80" s="1"/>
  <c r="U61" i="80" s="1"/>
  <c r="V61" i="80" s="1"/>
  <c r="W61" i="80" s="1"/>
  <c r="X61" i="80" s="1"/>
  <c r="Y61" i="80" s="1"/>
  <c r="L61" i="80"/>
  <c r="M61" i="80" s="1"/>
  <c r="N61" i="80" s="1"/>
  <c r="O61" i="80" s="1"/>
  <c r="P61" i="80" s="1"/>
  <c r="Q61" i="80" s="1"/>
  <c r="AE60" i="80"/>
  <c r="S60" i="80"/>
  <c r="T60" i="80" s="1"/>
  <c r="U60" i="80" s="1"/>
  <c r="V60" i="80" s="1"/>
  <c r="W60" i="80" s="1"/>
  <c r="X60" i="80" s="1"/>
  <c r="Y60" i="80" s="1"/>
  <c r="L60" i="80"/>
  <c r="M60" i="80" s="1"/>
  <c r="N60" i="80" s="1"/>
  <c r="O60" i="80" s="1"/>
  <c r="P60" i="80" s="1"/>
  <c r="Q60" i="80" s="1"/>
  <c r="AE59" i="80"/>
  <c r="N59" i="80"/>
  <c r="O59" i="80" s="1"/>
  <c r="P59" i="80" s="1"/>
  <c r="Q59" i="80" s="1"/>
  <c r="R59" i="80" s="1"/>
  <c r="S59" i="80" s="1"/>
  <c r="T59" i="80" s="1"/>
  <c r="U59" i="80" s="1"/>
  <c r="V59" i="80" s="1"/>
  <c r="W59" i="80" s="1"/>
  <c r="X59" i="80" s="1"/>
  <c r="Y59" i="80" s="1"/>
  <c r="L59" i="80"/>
  <c r="M59" i="80" s="1"/>
  <c r="AE58" i="80"/>
  <c r="M58" i="80"/>
  <c r="N58" i="80" s="1"/>
  <c r="O58" i="80" s="1"/>
  <c r="P58" i="80" s="1"/>
  <c r="Q58" i="80" s="1"/>
  <c r="R58" i="80" s="1"/>
  <c r="S58" i="80" s="1"/>
  <c r="T58" i="80" s="1"/>
  <c r="U58" i="80" s="1"/>
  <c r="V58" i="80" s="1"/>
  <c r="W58" i="80" s="1"/>
  <c r="X58" i="80" s="1"/>
  <c r="Y58" i="80" s="1"/>
  <c r="L58" i="80"/>
  <c r="AE57" i="80"/>
  <c r="L57" i="80"/>
  <c r="M57" i="80" s="1"/>
  <c r="N57" i="80" s="1"/>
  <c r="O57" i="80" s="1"/>
  <c r="P57" i="80" s="1"/>
  <c r="Q57" i="80" s="1"/>
  <c r="R57" i="80" s="1"/>
  <c r="S57" i="80" s="1"/>
  <c r="T57" i="80" s="1"/>
  <c r="U57" i="80" s="1"/>
  <c r="V57" i="80" s="1"/>
  <c r="W57" i="80" s="1"/>
  <c r="X57" i="80" s="1"/>
  <c r="Y57" i="80" s="1"/>
  <c r="AE56" i="80"/>
  <c r="L56" i="80"/>
  <c r="M56" i="80" s="1"/>
  <c r="N56" i="80" s="1"/>
  <c r="O56" i="80" s="1"/>
  <c r="P56" i="80" s="1"/>
  <c r="Q56" i="80" s="1"/>
  <c r="R56" i="80" s="1"/>
  <c r="S56" i="80" s="1"/>
  <c r="T56" i="80" s="1"/>
  <c r="U56" i="80" s="1"/>
  <c r="V56" i="80" s="1"/>
  <c r="W56" i="80" s="1"/>
  <c r="X56" i="80" s="1"/>
  <c r="Y56" i="80" s="1"/>
  <c r="AE55" i="80"/>
  <c r="L55" i="80"/>
  <c r="M55" i="80" s="1"/>
  <c r="N55" i="80" s="1"/>
  <c r="O55" i="80" s="1"/>
  <c r="P55" i="80" s="1"/>
  <c r="Q55" i="80" s="1"/>
  <c r="R55" i="80" s="1"/>
  <c r="S55" i="80" s="1"/>
  <c r="T55" i="80" s="1"/>
  <c r="U55" i="80" s="1"/>
  <c r="V55" i="80" s="1"/>
  <c r="W55" i="80" s="1"/>
  <c r="X55" i="80" s="1"/>
  <c r="Y55" i="80" s="1"/>
  <c r="AE54" i="80"/>
  <c r="L54" i="80"/>
  <c r="M54" i="80" s="1"/>
  <c r="N54" i="80" s="1"/>
  <c r="O54" i="80" s="1"/>
  <c r="P54" i="80" s="1"/>
  <c r="Q54" i="80" s="1"/>
  <c r="R54" i="80" s="1"/>
  <c r="S54" i="80" s="1"/>
  <c r="T54" i="80" s="1"/>
  <c r="U54" i="80" s="1"/>
  <c r="V54" i="80" s="1"/>
  <c r="W54" i="80" s="1"/>
  <c r="X54" i="80" s="1"/>
  <c r="Y54" i="80" s="1"/>
  <c r="AE53" i="80"/>
  <c r="L53" i="80"/>
  <c r="M53" i="80" s="1"/>
  <c r="N53" i="80" s="1"/>
  <c r="O53" i="80" s="1"/>
  <c r="P53" i="80" s="1"/>
  <c r="Q53" i="80" s="1"/>
  <c r="R53" i="80" s="1"/>
  <c r="S53" i="80" s="1"/>
  <c r="T53" i="80" s="1"/>
  <c r="U53" i="80" s="1"/>
  <c r="V53" i="80" s="1"/>
  <c r="W53" i="80" s="1"/>
  <c r="X53" i="80" s="1"/>
  <c r="Y53" i="80" s="1"/>
  <c r="AE52" i="80"/>
  <c r="L52" i="80"/>
  <c r="M52" i="80" s="1"/>
  <c r="N52" i="80" s="1"/>
  <c r="O52" i="80" s="1"/>
  <c r="P52" i="80" s="1"/>
  <c r="Q52" i="80" s="1"/>
  <c r="R52" i="80" s="1"/>
  <c r="S52" i="80" s="1"/>
  <c r="T52" i="80" s="1"/>
  <c r="U52" i="80" s="1"/>
  <c r="V52" i="80" s="1"/>
  <c r="W52" i="80" s="1"/>
  <c r="X52" i="80" s="1"/>
  <c r="Y52" i="80" s="1"/>
  <c r="AE51" i="80"/>
  <c r="M51" i="80"/>
  <c r="N51" i="80" s="1"/>
  <c r="O51" i="80" s="1"/>
  <c r="P51" i="80" s="1"/>
  <c r="Q51" i="80" s="1"/>
  <c r="R51" i="80" s="1"/>
  <c r="S51" i="80" s="1"/>
  <c r="T51" i="80" s="1"/>
  <c r="U51" i="80" s="1"/>
  <c r="V51" i="80" s="1"/>
  <c r="W51" i="80" s="1"/>
  <c r="X51" i="80" s="1"/>
  <c r="Y51" i="80" s="1"/>
  <c r="L51" i="80"/>
  <c r="AE50" i="80"/>
  <c r="L50" i="80"/>
  <c r="M50" i="80" s="1"/>
  <c r="K26" i="80"/>
  <c r="J26" i="80"/>
  <c r="AE26" i="80" s="1"/>
  <c r="AE25" i="80"/>
  <c r="L25" i="80"/>
  <c r="M25" i="80" s="1"/>
  <c r="N25" i="80" s="1"/>
  <c r="O25" i="80" s="1"/>
  <c r="P25" i="80" s="1"/>
  <c r="Q25" i="80" s="1"/>
  <c r="R25" i="80" s="1"/>
  <c r="S25" i="80" s="1"/>
  <c r="T25" i="80" s="1"/>
  <c r="U25" i="80" s="1"/>
  <c r="V25" i="80" s="1"/>
  <c r="W25" i="80" s="1"/>
  <c r="X25" i="80" s="1"/>
  <c r="Y25" i="80" s="1"/>
  <c r="Z25" i="80" s="1"/>
  <c r="AE24" i="80"/>
  <c r="L24" i="80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E23" i="80"/>
  <c r="L23" i="80"/>
  <c r="M23" i="80" s="1"/>
  <c r="N23" i="80" s="1"/>
  <c r="O23" i="80" s="1"/>
  <c r="P23" i="80" s="1"/>
  <c r="Q23" i="80" s="1"/>
  <c r="R23" i="80" s="1"/>
  <c r="S23" i="80" s="1"/>
  <c r="T23" i="80" s="1"/>
  <c r="U23" i="80" s="1"/>
  <c r="V23" i="80" s="1"/>
  <c r="W23" i="80" s="1"/>
  <c r="X23" i="80" s="1"/>
  <c r="Y23" i="80" s="1"/>
  <c r="Z23" i="80" s="1"/>
  <c r="AE22" i="80"/>
  <c r="L22" i="80"/>
  <c r="M22" i="80" s="1"/>
  <c r="N22" i="80" s="1"/>
  <c r="O22" i="80" s="1"/>
  <c r="P22" i="80" s="1"/>
  <c r="Q22" i="80" s="1"/>
  <c r="R22" i="80" s="1"/>
  <c r="S22" i="80" s="1"/>
  <c r="T22" i="80" s="1"/>
  <c r="U22" i="80" s="1"/>
  <c r="V22" i="80" s="1"/>
  <c r="W22" i="80" s="1"/>
  <c r="X22" i="80" s="1"/>
  <c r="Y22" i="80" s="1"/>
  <c r="Z22" i="80" s="1"/>
  <c r="AE21" i="80"/>
  <c r="L21" i="80"/>
  <c r="M21" i="80" s="1"/>
  <c r="N21" i="80" s="1"/>
  <c r="O21" i="80" s="1"/>
  <c r="P21" i="80" s="1"/>
  <c r="Q21" i="80" s="1"/>
  <c r="R21" i="80" s="1"/>
  <c r="S21" i="80" s="1"/>
  <c r="T21" i="80" s="1"/>
  <c r="U21" i="80" s="1"/>
  <c r="V21" i="80" s="1"/>
  <c r="W21" i="80" s="1"/>
  <c r="X21" i="80" s="1"/>
  <c r="Y21" i="80" s="1"/>
  <c r="AE20" i="80"/>
  <c r="L20" i="80"/>
  <c r="M20" i="80" s="1"/>
  <c r="N20" i="80" s="1"/>
  <c r="O20" i="80" s="1"/>
  <c r="P20" i="80" s="1"/>
  <c r="Q20" i="80" s="1"/>
  <c r="R20" i="80" s="1"/>
  <c r="S20" i="80" s="1"/>
  <c r="T20" i="80" s="1"/>
  <c r="U20" i="80" s="1"/>
  <c r="V20" i="80" s="1"/>
  <c r="W20" i="80" s="1"/>
  <c r="X20" i="80" s="1"/>
  <c r="Y20" i="80" s="1"/>
  <c r="AE19" i="80"/>
  <c r="L19" i="80"/>
  <c r="M19" i="80" s="1"/>
  <c r="N19" i="80" s="1"/>
  <c r="O19" i="80" s="1"/>
  <c r="P19" i="80" s="1"/>
  <c r="Q19" i="80" s="1"/>
  <c r="R19" i="80" s="1"/>
  <c r="S19" i="80" s="1"/>
  <c r="T19" i="80" s="1"/>
  <c r="U19" i="80" s="1"/>
  <c r="V19" i="80" s="1"/>
  <c r="W19" i="80" s="1"/>
  <c r="X19" i="80" s="1"/>
  <c r="Y19" i="80" s="1"/>
  <c r="AE18" i="80"/>
  <c r="L18" i="80"/>
  <c r="M18" i="80" s="1"/>
  <c r="N18" i="80" s="1"/>
  <c r="O18" i="80" s="1"/>
  <c r="P18" i="80" s="1"/>
  <c r="Q18" i="80" s="1"/>
  <c r="R18" i="80" s="1"/>
  <c r="S18" i="80" s="1"/>
  <c r="T18" i="80" s="1"/>
  <c r="U18" i="80" s="1"/>
  <c r="V18" i="80" s="1"/>
  <c r="W18" i="80" s="1"/>
  <c r="X18" i="80" s="1"/>
  <c r="Y18" i="80" s="1"/>
  <c r="AE17" i="80"/>
  <c r="L17" i="80"/>
  <c r="M17" i="80" s="1"/>
  <c r="N17" i="80" s="1"/>
  <c r="O17" i="80" s="1"/>
  <c r="P17" i="80" s="1"/>
  <c r="Q17" i="80" s="1"/>
  <c r="R17" i="80" s="1"/>
  <c r="S17" i="80" s="1"/>
  <c r="T17" i="80" s="1"/>
  <c r="U17" i="80" s="1"/>
  <c r="V17" i="80" s="1"/>
  <c r="W17" i="80" s="1"/>
  <c r="X17" i="80" s="1"/>
  <c r="Y17" i="80" s="1"/>
  <c r="AE16" i="80"/>
  <c r="L16" i="80"/>
  <c r="M16" i="80" s="1"/>
  <c r="N16" i="80" s="1"/>
  <c r="O16" i="80" s="1"/>
  <c r="P16" i="80" s="1"/>
  <c r="Q16" i="80" s="1"/>
  <c r="R16" i="80" s="1"/>
  <c r="S16" i="80" s="1"/>
  <c r="T16" i="80" s="1"/>
  <c r="U16" i="80" s="1"/>
  <c r="V16" i="80" s="1"/>
  <c r="W16" i="80" s="1"/>
  <c r="X16" i="80" s="1"/>
  <c r="Y16" i="80" s="1"/>
  <c r="AE15" i="80"/>
  <c r="L15" i="80"/>
  <c r="M15" i="80" s="1"/>
  <c r="N15" i="80" s="1"/>
  <c r="O15" i="80" s="1"/>
  <c r="P15" i="80" s="1"/>
  <c r="Q15" i="80" s="1"/>
  <c r="R15" i="80" s="1"/>
  <c r="S15" i="80" s="1"/>
  <c r="T15" i="80" s="1"/>
  <c r="U15" i="80" s="1"/>
  <c r="V15" i="80" s="1"/>
  <c r="W15" i="80" s="1"/>
  <c r="X15" i="80" s="1"/>
  <c r="Y15" i="80" s="1"/>
  <c r="AE14" i="80"/>
  <c r="L14" i="80"/>
  <c r="M14" i="80" s="1"/>
  <c r="N14" i="80" s="1"/>
  <c r="O14" i="80" s="1"/>
  <c r="P14" i="80" s="1"/>
  <c r="Q14" i="80" s="1"/>
  <c r="R14" i="80" s="1"/>
  <c r="S14" i="80" s="1"/>
  <c r="T14" i="80" s="1"/>
  <c r="U14" i="80" s="1"/>
  <c r="V14" i="80" s="1"/>
  <c r="W14" i="80" s="1"/>
  <c r="X14" i="80" s="1"/>
  <c r="Y14" i="80" s="1"/>
  <c r="AE13" i="80"/>
  <c r="L13" i="80"/>
  <c r="M13" i="80" s="1"/>
  <c r="N13" i="80" s="1"/>
  <c r="O13" i="80" s="1"/>
  <c r="P13" i="80" s="1"/>
  <c r="Q13" i="80" s="1"/>
  <c r="R13" i="80" s="1"/>
  <c r="S13" i="80" s="1"/>
  <c r="T13" i="80" s="1"/>
  <c r="U13" i="80" s="1"/>
  <c r="V13" i="80" s="1"/>
  <c r="W13" i="80" s="1"/>
  <c r="X13" i="80" s="1"/>
  <c r="Y13" i="80" s="1"/>
  <c r="AE12" i="80"/>
  <c r="L12" i="80"/>
  <c r="M12" i="80" s="1"/>
  <c r="N12" i="80" s="1"/>
  <c r="O12" i="80" s="1"/>
  <c r="P12" i="80" s="1"/>
  <c r="Q12" i="80" s="1"/>
  <c r="R12" i="80" s="1"/>
  <c r="S12" i="80" s="1"/>
  <c r="T12" i="80" s="1"/>
  <c r="U12" i="80" s="1"/>
  <c r="V12" i="80" s="1"/>
  <c r="W12" i="80" s="1"/>
  <c r="X12" i="80" s="1"/>
  <c r="Y12" i="80" s="1"/>
  <c r="AE11" i="80"/>
  <c r="M11" i="80"/>
  <c r="N11" i="80" s="1"/>
  <c r="O11" i="80" s="1"/>
  <c r="P11" i="80" s="1"/>
  <c r="Q11" i="80" s="1"/>
  <c r="R11" i="80" s="1"/>
  <c r="S11" i="80" s="1"/>
  <c r="T11" i="80" s="1"/>
  <c r="U11" i="80" s="1"/>
  <c r="V11" i="80" s="1"/>
  <c r="W11" i="80" s="1"/>
  <c r="X11" i="80" s="1"/>
  <c r="Y11" i="80" s="1"/>
  <c r="L11" i="80"/>
  <c r="AE10" i="80"/>
  <c r="L10" i="80"/>
  <c r="M10" i="80" s="1"/>
  <c r="N10" i="80" s="1"/>
  <c r="O10" i="80" s="1"/>
  <c r="P10" i="80" s="1"/>
  <c r="Q10" i="80" s="1"/>
  <c r="R10" i="80" s="1"/>
  <c r="S10" i="80" s="1"/>
  <c r="T10" i="80" s="1"/>
  <c r="U10" i="80" s="1"/>
  <c r="V10" i="80" s="1"/>
  <c r="W10" i="80" s="1"/>
  <c r="X10" i="80" s="1"/>
  <c r="Y10" i="80" s="1"/>
  <c r="AE9" i="80"/>
  <c r="L9" i="80"/>
  <c r="M9" i="80" s="1"/>
  <c r="N9" i="80" s="1"/>
  <c r="O9" i="80" s="1"/>
  <c r="P9" i="80" s="1"/>
  <c r="Q9" i="80" s="1"/>
  <c r="R9" i="80" s="1"/>
  <c r="S9" i="80" s="1"/>
  <c r="T9" i="80" s="1"/>
  <c r="U9" i="80" s="1"/>
  <c r="V9" i="80" s="1"/>
  <c r="W9" i="80" s="1"/>
  <c r="X9" i="80" s="1"/>
  <c r="Y9" i="80" s="1"/>
  <c r="AE8" i="80"/>
  <c r="L8" i="80"/>
  <c r="M8" i="80" s="1"/>
  <c r="N8" i="80" s="1"/>
  <c r="O8" i="80" s="1"/>
  <c r="P8" i="80" s="1"/>
  <c r="Q8" i="80" s="1"/>
  <c r="R8" i="80" s="1"/>
  <c r="S8" i="80" s="1"/>
  <c r="T8" i="80" s="1"/>
  <c r="U8" i="80" s="1"/>
  <c r="V8" i="80" s="1"/>
  <c r="W8" i="80" s="1"/>
  <c r="X8" i="80" s="1"/>
  <c r="Y8" i="80" s="1"/>
  <c r="AE7" i="80"/>
  <c r="L7" i="80"/>
  <c r="M7" i="80" s="1"/>
  <c r="N7" i="80" s="1"/>
  <c r="O7" i="80" s="1"/>
  <c r="P7" i="80" s="1"/>
  <c r="Q7" i="80" s="1"/>
  <c r="R7" i="80" s="1"/>
  <c r="S7" i="80" s="1"/>
  <c r="T7" i="80" s="1"/>
  <c r="U7" i="80" s="1"/>
  <c r="V7" i="80" s="1"/>
  <c r="W7" i="80" s="1"/>
  <c r="X7" i="80" s="1"/>
  <c r="Y7" i="80" s="1"/>
  <c r="AE6" i="80"/>
  <c r="L6" i="80"/>
  <c r="M6" i="80" s="1"/>
  <c r="K46" i="79"/>
  <c r="T65" i="79"/>
  <c r="U65" i="79" s="1"/>
  <c r="V65" i="79" s="1"/>
  <c r="W65" i="79" s="1"/>
  <c r="X65" i="79" s="1"/>
  <c r="Y65" i="79" s="1"/>
  <c r="Z65" i="79" s="1"/>
  <c r="T66" i="79"/>
  <c r="U66" i="79" s="1"/>
  <c r="V66" i="79" s="1"/>
  <c r="W66" i="79" s="1"/>
  <c r="X66" i="79" s="1"/>
  <c r="Y66" i="79" s="1"/>
  <c r="Z66" i="79" s="1"/>
  <c r="T67" i="79"/>
  <c r="U67" i="79"/>
  <c r="V67" i="79" s="1"/>
  <c r="W67" i="79" s="1"/>
  <c r="X67" i="79" s="1"/>
  <c r="Y67" i="79" s="1"/>
  <c r="Z67" i="79" s="1"/>
  <c r="T68" i="79"/>
  <c r="U68" i="79" s="1"/>
  <c r="V68" i="79" s="1"/>
  <c r="W68" i="79" s="1"/>
  <c r="X68" i="79" s="1"/>
  <c r="Y68" i="79" s="1"/>
  <c r="Z68" i="79" s="1"/>
  <c r="S68" i="79"/>
  <c r="S67" i="79"/>
  <c r="S66" i="79"/>
  <c r="S65" i="79"/>
  <c r="S60" i="79"/>
  <c r="T60" i="79" s="1"/>
  <c r="U60" i="79" s="1"/>
  <c r="V60" i="79" s="1"/>
  <c r="W60" i="79" s="1"/>
  <c r="X60" i="79" s="1"/>
  <c r="Y60" i="79" s="1"/>
  <c r="Z60" i="79" s="1"/>
  <c r="S59" i="79"/>
  <c r="T59" i="79" s="1"/>
  <c r="U59" i="79" s="1"/>
  <c r="V59" i="79" s="1"/>
  <c r="W59" i="79" s="1"/>
  <c r="X59" i="79" s="1"/>
  <c r="Y59" i="79" s="1"/>
  <c r="Z59" i="79" s="1"/>
  <c r="M49" i="79"/>
  <c r="N49" i="79"/>
  <c r="O49" i="79" s="1"/>
  <c r="P49" i="79" s="1"/>
  <c r="Q49" i="79" s="1"/>
  <c r="R49" i="79" s="1"/>
  <c r="S49" i="79" s="1"/>
  <c r="T49" i="79" s="1"/>
  <c r="U49" i="79" s="1"/>
  <c r="M50" i="79"/>
  <c r="M56" i="79"/>
  <c r="N56" i="79" s="1"/>
  <c r="O56" i="79" s="1"/>
  <c r="P56" i="79" s="1"/>
  <c r="Q56" i="79" s="1"/>
  <c r="R56" i="79" s="1"/>
  <c r="S56" i="79" s="1"/>
  <c r="T56" i="79" s="1"/>
  <c r="U56" i="79" s="1"/>
  <c r="V56" i="79" s="1"/>
  <c r="W56" i="79" s="1"/>
  <c r="X56" i="79" s="1"/>
  <c r="Y56" i="79" s="1"/>
  <c r="Z56" i="79" s="1"/>
  <c r="M58" i="79"/>
  <c r="N58" i="79"/>
  <c r="O58" i="79" s="1"/>
  <c r="P58" i="79" s="1"/>
  <c r="Q58" i="79" s="1"/>
  <c r="R58" i="79" s="1"/>
  <c r="S58" i="79" s="1"/>
  <c r="T58" i="79" s="1"/>
  <c r="U58" i="79" s="1"/>
  <c r="V58" i="79" s="1"/>
  <c r="W58" i="79" s="1"/>
  <c r="X58" i="79" s="1"/>
  <c r="Y58" i="79" s="1"/>
  <c r="Z58" i="79" s="1"/>
  <c r="M59" i="79"/>
  <c r="N59" i="79" s="1"/>
  <c r="O59" i="79" s="1"/>
  <c r="P59" i="79" s="1"/>
  <c r="Q59" i="79" s="1"/>
  <c r="M63" i="79"/>
  <c r="N63" i="79"/>
  <c r="O63" i="79"/>
  <c r="P63" i="79" s="1"/>
  <c r="Q63" i="79" s="1"/>
  <c r="R63" i="79" s="1"/>
  <c r="S63" i="79" s="1"/>
  <c r="T63" i="79" s="1"/>
  <c r="U63" i="79" s="1"/>
  <c r="V63" i="79" s="1"/>
  <c r="W63" i="79" s="1"/>
  <c r="X63" i="79" s="1"/>
  <c r="Y63" i="79" s="1"/>
  <c r="Z63" i="79" s="1"/>
  <c r="M65" i="79"/>
  <c r="N65" i="79"/>
  <c r="O65" i="79" s="1"/>
  <c r="P65" i="79" s="1"/>
  <c r="Q65" i="79" s="1"/>
  <c r="R65" i="79" s="1"/>
  <c r="M66" i="79"/>
  <c r="N66" i="79"/>
  <c r="O66" i="79" s="1"/>
  <c r="P66" i="79" s="1"/>
  <c r="Q66" i="79" s="1"/>
  <c r="R66" i="79" s="1"/>
  <c r="M67" i="79"/>
  <c r="N67" i="79"/>
  <c r="O67" i="79"/>
  <c r="P67" i="79"/>
  <c r="Q67" i="79" s="1"/>
  <c r="R67" i="79" s="1"/>
  <c r="M68" i="79"/>
  <c r="N68" i="79" s="1"/>
  <c r="O68" i="79" s="1"/>
  <c r="P68" i="79" s="1"/>
  <c r="Q68" i="79" s="1"/>
  <c r="R68" i="79" s="1"/>
  <c r="L50" i="79"/>
  <c r="L51" i="79"/>
  <c r="M51" i="79" s="1"/>
  <c r="N51" i="79" s="1"/>
  <c r="O51" i="79" s="1"/>
  <c r="P51" i="79" s="1"/>
  <c r="Q51" i="79" s="1"/>
  <c r="R51" i="79" s="1"/>
  <c r="S51" i="79" s="1"/>
  <c r="T51" i="79" s="1"/>
  <c r="U51" i="79" s="1"/>
  <c r="V51" i="79" s="1"/>
  <c r="W51" i="79" s="1"/>
  <c r="X51" i="79" s="1"/>
  <c r="Y51" i="79" s="1"/>
  <c r="Z51" i="79" s="1"/>
  <c r="L52" i="79"/>
  <c r="M52" i="79" s="1"/>
  <c r="N52" i="79" s="1"/>
  <c r="O52" i="79" s="1"/>
  <c r="P52" i="79" s="1"/>
  <c r="Q52" i="79" s="1"/>
  <c r="R52" i="79" s="1"/>
  <c r="S52" i="79" s="1"/>
  <c r="T52" i="79" s="1"/>
  <c r="U52" i="79" s="1"/>
  <c r="V52" i="79" s="1"/>
  <c r="W52" i="79" s="1"/>
  <c r="X52" i="79" s="1"/>
  <c r="Y52" i="79" s="1"/>
  <c r="Z52" i="79" s="1"/>
  <c r="L53" i="79"/>
  <c r="M53" i="79" s="1"/>
  <c r="N53" i="79" s="1"/>
  <c r="O53" i="79" s="1"/>
  <c r="P53" i="79" s="1"/>
  <c r="Q53" i="79" s="1"/>
  <c r="R53" i="79" s="1"/>
  <c r="S53" i="79" s="1"/>
  <c r="L54" i="79"/>
  <c r="M54" i="79" s="1"/>
  <c r="N54" i="79" s="1"/>
  <c r="O54" i="79" s="1"/>
  <c r="P54" i="79" s="1"/>
  <c r="Q54" i="79" s="1"/>
  <c r="R54" i="79" s="1"/>
  <c r="S54" i="79" s="1"/>
  <c r="T54" i="79" s="1"/>
  <c r="U54" i="79" s="1"/>
  <c r="V54" i="79" s="1"/>
  <c r="W54" i="79" s="1"/>
  <c r="X54" i="79" s="1"/>
  <c r="Y54" i="79" s="1"/>
  <c r="Z54" i="79" s="1"/>
  <c r="L55" i="79"/>
  <c r="M55" i="79" s="1"/>
  <c r="N55" i="79" s="1"/>
  <c r="O55" i="79" s="1"/>
  <c r="P55" i="79" s="1"/>
  <c r="Q55" i="79" s="1"/>
  <c r="R55" i="79" s="1"/>
  <c r="S55" i="79" s="1"/>
  <c r="T55" i="79" s="1"/>
  <c r="U55" i="79" s="1"/>
  <c r="V55" i="79" s="1"/>
  <c r="W55" i="79" s="1"/>
  <c r="X55" i="79" s="1"/>
  <c r="Y55" i="79" s="1"/>
  <c r="Z55" i="79" s="1"/>
  <c r="AD55" i="79" s="1"/>
  <c r="L56" i="79"/>
  <c r="L57" i="79"/>
  <c r="M57" i="79" s="1"/>
  <c r="N57" i="79" s="1"/>
  <c r="O57" i="79" s="1"/>
  <c r="P57" i="79" s="1"/>
  <c r="Q57" i="79" s="1"/>
  <c r="R57" i="79" s="1"/>
  <c r="S57" i="79" s="1"/>
  <c r="T57" i="79" s="1"/>
  <c r="U57" i="79" s="1"/>
  <c r="V57" i="79" s="1"/>
  <c r="W57" i="79" s="1"/>
  <c r="X57" i="79" s="1"/>
  <c r="Y57" i="79" s="1"/>
  <c r="Z57" i="79" s="1"/>
  <c r="L58" i="79"/>
  <c r="L59" i="79"/>
  <c r="L60" i="79"/>
  <c r="M60" i="79" s="1"/>
  <c r="N60" i="79" s="1"/>
  <c r="O60" i="79" s="1"/>
  <c r="P60" i="79" s="1"/>
  <c r="Q60" i="79" s="1"/>
  <c r="L61" i="79"/>
  <c r="M61" i="79" s="1"/>
  <c r="N61" i="79" s="1"/>
  <c r="O61" i="79" s="1"/>
  <c r="P61" i="79" s="1"/>
  <c r="Q61" i="79" s="1"/>
  <c r="R61" i="79" s="1"/>
  <c r="S61" i="79" s="1"/>
  <c r="T61" i="79" s="1"/>
  <c r="U61" i="79" s="1"/>
  <c r="V61" i="79" s="1"/>
  <c r="W61" i="79" s="1"/>
  <c r="X61" i="79" s="1"/>
  <c r="Y61" i="79" s="1"/>
  <c r="Z61" i="79" s="1"/>
  <c r="AD61" i="79" s="1"/>
  <c r="L62" i="79"/>
  <c r="M62" i="79" s="1"/>
  <c r="N62" i="79" s="1"/>
  <c r="O62" i="79" s="1"/>
  <c r="P62" i="79" s="1"/>
  <c r="Q62" i="79" s="1"/>
  <c r="R62" i="79" s="1"/>
  <c r="S62" i="79" s="1"/>
  <c r="T62" i="79" s="1"/>
  <c r="U62" i="79" s="1"/>
  <c r="V62" i="79" s="1"/>
  <c r="W62" i="79" s="1"/>
  <c r="X62" i="79" s="1"/>
  <c r="Y62" i="79" s="1"/>
  <c r="Z62" i="79" s="1"/>
  <c r="L63" i="79"/>
  <c r="L64" i="79"/>
  <c r="M64" i="79" s="1"/>
  <c r="N64" i="79" s="1"/>
  <c r="O64" i="79" s="1"/>
  <c r="P64" i="79" s="1"/>
  <c r="Q64" i="79" s="1"/>
  <c r="R64" i="79" s="1"/>
  <c r="S64" i="79" s="1"/>
  <c r="T64" i="79" s="1"/>
  <c r="U64" i="79" s="1"/>
  <c r="V64" i="79" s="1"/>
  <c r="W64" i="79" s="1"/>
  <c r="X64" i="79" s="1"/>
  <c r="Y64" i="79" s="1"/>
  <c r="Z64" i="79" s="1"/>
  <c r="L65" i="79"/>
  <c r="L66" i="79"/>
  <c r="L67" i="79"/>
  <c r="L68" i="79"/>
  <c r="M5" i="79"/>
  <c r="N5" i="79"/>
  <c r="L6" i="79"/>
  <c r="M6" i="79" s="1"/>
  <c r="N6" i="79" s="1"/>
  <c r="O6" i="79" s="1"/>
  <c r="P6" i="79" s="1"/>
  <c r="Q6" i="79" s="1"/>
  <c r="R6" i="79" s="1"/>
  <c r="S6" i="79" s="1"/>
  <c r="T6" i="79" s="1"/>
  <c r="U6" i="79" s="1"/>
  <c r="V6" i="79" s="1"/>
  <c r="W6" i="79" s="1"/>
  <c r="X6" i="79" s="1"/>
  <c r="Y6" i="79" s="1"/>
  <c r="Z6" i="79" s="1"/>
  <c r="AD6" i="79" s="1"/>
  <c r="L7" i="79"/>
  <c r="M7" i="79" s="1"/>
  <c r="L8" i="79"/>
  <c r="M8" i="79" s="1"/>
  <c r="N8" i="79" s="1"/>
  <c r="O8" i="79" s="1"/>
  <c r="P8" i="79" s="1"/>
  <c r="Q8" i="79" s="1"/>
  <c r="R8" i="79" s="1"/>
  <c r="S8" i="79" s="1"/>
  <c r="T8" i="79" s="1"/>
  <c r="U8" i="79" s="1"/>
  <c r="V8" i="79" s="1"/>
  <c r="W8" i="79" s="1"/>
  <c r="X8" i="79" s="1"/>
  <c r="Y8" i="79" s="1"/>
  <c r="Z8" i="79" s="1"/>
  <c r="AD8" i="79" s="1"/>
  <c r="L9" i="79"/>
  <c r="M9" i="79" s="1"/>
  <c r="N9" i="79" s="1"/>
  <c r="O9" i="79" s="1"/>
  <c r="P9" i="79" s="1"/>
  <c r="Q9" i="79" s="1"/>
  <c r="R9" i="79" s="1"/>
  <c r="S9" i="79" s="1"/>
  <c r="T9" i="79" s="1"/>
  <c r="U9" i="79" s="1"/>
  <c r="V9" i="79" s="1"/>
  <c r="W9" i="79" s="1"/>
  <c r="X9" i="79" s="1"/>
  <c r="Y9" i="79" s="1"/>
  <c r="Z9" i="79" s="1"/>
  <c r="L10" i="79"/>
  <c r="M10" i="79" s="1"/>
  <c r="N10" i="79" s="1"/>
  <c r="O10" i="79" s="1"/>
  <c r="P10" i="79" s="1"/>
  <c r="Q10" i="79" s="1"/>
  <c r="R10" i="79" s="1"/>
  <c r="S10" i="79" s="1"/>
  <c r="T10" i="79" s="1"/>
  <c r="U10" i="79" s="1"/>
  <c r="V10" i="79" s="1"/>
  <c r="W10" i="79" s="1"/>
  <c r="X10" i="79" s="1"/>
  <c r="Y10" i="79" s="1"/>
  <c r="Z10" i="79" s="1"/>
  <c r="L11" i="79"/>
  <c r="M11" i="79" s="1"/>
  <c r="N11" i="79" s="1"/>
  <c r="O11" i="79" s="1"/>
  <c r="P11" i="79" s="1"/>
  <c r="Q11" i="79" s="1"/>
  <c r="R11" i="79" s="1"/>
  <c r="S11" i="79" s="1"/>
  <c r="T11" i="79" s="1"/>
  <c r="U11" i="79" s="1"/>
  <c r="V11" i="79" s="1"/>
  <c r="W11" i="79" s="1"/>
  <c r="X11" i="79" s="1"/>
  <c r="Y11" i="79" s="1"/>
  <c r="Z11" i="79" s="1"/>
  <c r="AD11" i="79" s="1"/>
  <c r="L12" i="79"/>
  <c r="M12" i="79" s="1"/>
  <c r="N12" i="79" s="1"/>
  <c r="O12" i="79" s="1"/>
  <c r="P12" i="79" s="1"/>
  <c r="Q12" i="79" s="1"/>
  <c r="R12" i="79" s="1"/>
  <c r="S12" i="79" s="1"/>
  <c r="T12" i="79" s="1"/>
  <c r="U12" i="79" s="1"/>
  <c r="V12" i="79" s="1"/>
  <c r="W12" i="79" s="1"/>
  <c r="X12" i="79" s="1"/>
  <c r="Y12" i="79" s="1"/>
  <c r="Z12" i="79" s="1"/>
  <c r="L13" i="79"/>
  <c r="M13" i="79" s="1"/>
  <c r="N13" i="79" s="1"/>
  <c r="O13" i="79" s="1"/>
  <c r="P13" i="79" s="1"/>
  <c r="Q13" i="79" s="1"/>
  <c r="R13" i="79" s="1"/>
  <c r="S13" i="79" s="1"/>
  <c r="T13" i="79" s="1"/>
  <c r="U13" i="79" s="1"/>
  <c r="V13" i="79" s="1"/>
  <c r="W13" i="79" s="1"/>
  <c r="X13" i="79" s="1"/>
  <c r="Y13" i="79" s="1"/>
  <c r="Z13" i="79" s="1"/>
  <c r="AD13" i="79" s="1"/>
  <c r="L14" i="79"/>
  <c r="M14" i="79" s="1"/>
  <c r="N14" i="79" s="1"/>
  <c r="O14" i="79" s="1"/>
  <c r="P14" i="79" s="1"/>
  <c r="Q14" i="79" s="1"/>
  <c r="R14" i="79" s="1"/>
  <c r="S14" i="79" s="1"/>
  <c r="T14" i="79" s="1"/>
  <c r="U14" i="79" s="1"/>
  <c r="V14" i="79" s="1"/>
  <c r="W14" i="79" s="1"/>
  <c r="X14" i="79" s="1"/>
  <c r="Y14" i="79" s="1"/>
  <c r="Z14" i="79" s="1"/>
  <c r="AD14" i="79" s="1"/>
  <c r="L15" i="79"/>
  <c r="M15" i="79" s="1"/>
  <c r="N15" i="79" s="1"/>
  <c r="O15" i="79" s="1"/>
  <c r="P15" i="79" s="1"/>
  <c r="Q15" i="79" s="1"/>
  <c r="R15" i="79" s="1"/>
  <c r="S15" i="79" s="1"/>
  <c r="T15" i="79" s="1"/>
  <c r="U15" i="79" s="1"/>
  <c r="V15" i="79" s="1"/>
  <c r="W15" i="79" s="1"/>
  <c r="X15" i="79" s="1"/>
  <c r="Y15" i="79" s="1"/>
  <c r="Z15" i="79" s="1"/>
  <c r="L16" i="79"/>
  <c r="M16" i="79" s="1"/>
  <c r="N16" i="79" s="1"/>
  <c r="O16" i="79" s="1"/>
  <c r="P16" i="79" s="1"/>
  <c r="Q16" i="79" s="1"/>
  <c r="R16" i="79" s="1"/>
  <c r="S16" i="79" s="1"/>
  <c r="T16" i="79" s="1"/>
  <c r="U16" i="79" s="1"/>
  <c r="V16" i="79" s="1"/>
  <c r="W16" i="79" s="1"/>
  <c r="X16" i="79" s="1"/>
  <c r="Y16" i="79" s="1"/>
  <c r="Z16" i="79" s="1"/>
  <c r="AD16" i="79" s="1"/>
  <c r="L17" i="79"/>
  <c r="M17" i="79" s="1"/>
  <c r="N17" i="79" s="1"/>
  <c r="O17" i="79" s="1"/>
  <c r="P17" i="79" s="1"/>
  <c r="Q17" i="79" s="1"/>
  <c r="R17" i="79" s="1"/>
  <c r="S17" i="79" s="1"/>
  <c r="T17" i="79" s="1"/>
  <c r="U17" i="79" s="1"/>
  <c r="V17" i="79" s="1"/>
  <c r="W17" i="79" s="1"/>
  <c r="X17" i="79" s="1"/>
  <c r="Y17" i="79" s="1"/>
  <c r="Z17" i="79" s="1"/>
  <c r="L18" i="79"/>
  <c r="M18" i="79" s="1"/>
  <c r="N18" i="79" s="1"/>
  <c r="O18" i="79" s="1"/>
  <c r="P18" i="79" s="1"/>
  <c r="Q18" i="79" s="1"/>
  <c r="R18" i="79" s="1"/>
  <c r="S18" i="79" s="1"/>
  <c r="T18" i="79" s="1"/>
  <c r="U18" i="79" s="1"/>
  <c r="V18" i="79" s="1"/>
  <c r="W18" i="79" s="1"/>
  <c r="X18" i="79" s="1"/>
  <c r="Y18" i="79" s="1"/>
  <c r="Z18" i="79" s="1"/>
  <c r="L19" i="79"/>
  <c r="M19" i="79" s="1"/>
  <c r="N19" i="79" s="1"/>
  <c r="O19" i="79" s="1"/>
  <c r="P19" i="79" s="1"/>
  <c r="Q19" i="79" s="1"/>
  <c r="R19" i="79" s="1"/>
  <c r="S19" i="79" s="1"/>
  <c r="T19" i="79" s="1"/>
  <c r="U19" i="79" s="1"/>
  <c r="V19" i="79" s="1"/>
  <c r="W19" i="79" s="1"/>
  <c r="X19" i="79" s="1"/>
  <c r="Y19" i="79" s="1"/>
  <c r="Z19" i="79" s="1"/>
  <c r="AD19" i="79" s="1"/>
  <c r="L20" i="79"/>
  <c r="M20" i="79" s="1"/>
  <c r="N20" i="79" s="1"/>
  <c r="O20" i="79" s="1"/>
  <c r="P20" i="79" s="1"/>
  <c r="Q20" i="79" s="1"/>
  <c r="R20" i="79" s="1"/>
  <c r="S20" i="79" s="1"/>
  <c r="T20" i="79" s="1"/>
  <c r="U20" i="79" s="1"/>
  <c r="V20" i="79" s="1"/>
  <c r="W20" i="79" s="1"/>
  <c r="X20" i="79" s="1"/>
  <c r="Y20" i="79" s="1"/>
  <c r="Z20" i="79" s="1"/>
  <c r="L21" i="79"/>
  <c r="M21" i="79" s="1"/>
  <c r="N21" i="79" s="1"/>
  <c r="O21" i="79" s="1"/>
  <c r="P21" i="79" s="1"/>
  <c r="Q21" i="79" s="1"/>
  <c r="R21" i="79" s="1"/>
  <c r="S21" i="79" s="1"/>
  <c r="T21" i="79" s="1"/>
  <c r="U21" i="79" s="1"/>
  <c r="V21" i="79" s="1"/>
  <c r="W21" i="79" s="1"/>
  <c r="X21" i="79" s="1"/>
  <c r="Y21" i="79" s="1"/>
  <c r="Z21" i="79" s="1"/>
  <c r="AD21" i="79" s="1"/>
  <c r="L22" i="79"/>
  <c r="M22" i="79" s="1"/>
  <c r="N22" i="79" s="1"/>
  <c r="O22" i="79" s="1"/>
  <c r="P22" i="79" s="1"/>
  <c r="Q22" i="79" s="1"/>
  <c r="R22" i="79" s="1"/>
  <c r="S22" i="79" s="1"/>
  <c r="T22" i="79" s="1"/>
  <c r="U22" i="79" s="1"/>
  <c r="V22" i="79" s="1"/>
  <c r="W22" i="79" s="1"/>
  <c r="X22" i="79" s="1"/>
  <c r="Y22" i="79" s="1"/>
  <c r="Z22" i="79" s="1"/>
  <c r="AD22" i="79" s="1"/>
  <c r="L23" i="79"/>
  <c r="M23" i="79" s="1"/>
  <c r="N23" i="79" s="1"/>
  <c r="O23" i="79" s="1"/>
  <c r="P23" i="79" s="1"/>
  <c r="Q23" i="79" s="1"/>
  <c r="R23" i="79" s="1"/>
  <c r="S23" i="79" s="1"/>
  <c r="T23" i="79" s="1"/>
  <c r="U23" i="79" s="1"/>
  <c r="V23" i="79" s="1"/>
  <c r="W23" i="79" s="1"/>
  <c r="X23" i="79" s="1"/>
  <c r="Y23" i="79" s="1"/>
  <c r="Z23" i="79" s="1"/>
  <c r="L24" i="79"/>
  <c r="M24" i="79" s="1"/>
  <c r="N24" i="79" s="1"/>
  <c r="O24" i="79" s="1"/>
  <c r="P24" i="79" s="1"/>
  <c r="Q24" i="79" s="1"/>
  <c r="R24" i="79" s="1"/>
  <c r="S24" i="79" s="1"/>
  <c r="T24" i="79" s="1"/>
  <c r="U24" i="79" s="1"/>
  <c r="V24" i="79" s="1"/>
  <c r="W24" i="79" s="1"/>
  <c r="X24" i="79" s="1"/>
  <c r="Y24" i="79" s="1"/>
  <c r="Z24" i="79" s="1"/>
  <c r="AD24" i="79" s="1"/>
  <c r="L5" i="79"/>
  <c r="L49" i="79"/>
  <c r="AE50" i="79"/>
  <c r="AE51" i="79"/>
  <c r="AE52" i="79"/>
  <c r="AE53" i="79"/>
  <c r="AE54" i="79"/>
  <c r="AE55" i="79"/>
  <c r="AE56" i="79"/>
  <c r="AE57" i="79"/>
  <c r="AE58" i="79"/>
  <c r="AE59" i="79"/>
  <c r="AE60" i="79"/>
  <c r="AE61" i="79"/>
  <c r="AE62" i="79"/>
  <c r="AE63" i="79"/>
  <c r="AE64" i="79"/>
  <c r="AE65" i="79"/>
  <c r="AE66" i="79"/>
  <c r="AE67" i="79"/>
  <c r="AE68" i="79"/>
  <c r="AE49" i="79"/>
  <c r="AE6" i="79"/>
  <c r="AE7" i="79"/>
  <c r="AE8" i="79"/>
  <c r="AE9" i="79"/>
  <c r="AE10" i="79"/>
  <c r="AE11" i="79"/>
  <c r="AE12" i="79"/>
  <c r="AE13" i="79"/>
  <c r="AE14" i="79"/>
  <c r="AE15" i="79"/>
  <c r="AE16" i="79"/>
  <c r="AE17" i="79"/>
  <c r="AE18" i="79"/>
  <c r="AE19" i="79"/>
  <c r="AE20" i="79"/>
  <c r="AE21" i="79"/>
  <c r="AE22" i="79"/>
  <c r="AE23" i="79"/>
  <c r="AE24" i="79"/>
  <c r="AE25" i="79"/>
  <c r="AE5" i="79"/>
  <c r="H39" i="89"/>
  <c r="C23" i="127" s="1"/>
  <c r="J6" i="123" l="1"/>
  <c r="J23" i="123"/>
  <c r="Z52" i="80"/>
  <c r="AB52" i="80" s="1"/>
  <c r="I52" i="80"/>
  <c r="Z56" i="80"/>
  <c r="AB56" i="80" s="1"/>
  <c r="I56" i="80"/>
  <c r="Z59" i="80"/>
  <c r="AB59" i="80" s="1"/>
  <c r="I59" i="80"/>
  <c r="Z8" i="80"/>
  <c r="AB8" i="80" s="1"/>
  <c r="I8" i="80"/>
  <c r="Z7" i="80"/>
  <c r="AB7" i="80" s="1"/>
  <c r="I7" i="80"/>
  <c r="Z18" i="80"/>
  <c r="AB18" i="80" s="1"/>
  <c r="I18" i="80"/>
  <c r="Z55" i="80"/>
  <c r="AB55" i="80" s="1"/>
  <c r="I55" i="80"/>
  <c r="Z54" i="80"/>
  <c r="AB54" i="80" s="1"/>
  <c r="I54" i="80"/>
  <c r="Z57" i="80"/>
  <c r="AB57" i="80" s="1"/>
  <c r="I57" i="80"/>
  <c r="Z14" i="80"/>
  <c r="AB14" i="80" s="1"/>
  <c r="I14" i="80"/>
  <c r="K47" i="80"/>
  <c r="Z21" i="80"/>
  <c r="AB21" i="80" s="1"/>
  <c r="I21" i="80"/>
  <c r="Z10" i="80"/>
  <c r="AB10" i="80" s="1"/>
  <c r="I10" i="80"/>
  <c r="Z19" i="80"/>
  <c r="AB19" i="80" s="1"/>
  <c r="I19" i="80"/>
  <c r="Z58" i="80"/>
  <c r="I58" i="80"/>
  <c r="Z13" i="80"/>
  <c r="AB13" i="80" s="1"/>
  <c r="I13" i="80"/>
  <c r="Z11" i="80"/>
  <c r="AB11" i="80" s="1"/>
  <c r="I11" i="80"/>
  <c r="Z60" i="80"/>
  <c r="AB60" i="80" s="1"/>
  <c r="I60" i="80"/>
  <c r="Z16" i="80"/>
  <c r="AB16" i="80" s="1"/>
  <c r="I16" i="80"/>
  <c r="Z20" i="80"/>
  <c r="AB20" i="80" s="1"/>
  <c r="I20" i="80"/>
  <c r="Z53" i="80"/>
  <c r="AB53" i="80" s="1"/>
  <c r="I53" i="80"/>
  <c r="Z17" i="80"/>
  <c r="AB17" i="80" s="1"/>
  <c r="I17" i="80"/>
  <c r="Z51" i="80"/>
  <c r="AB51" i="80" s="1"/>
  <c r="I51" i="80"/>
  <c r="Z15" i="80"/>
  <c r="AB15" i="80" s="1"/>
  <c r="I15" i="80"/>
  <c r="Z12" i="80"/>
  <c r="AB12" i="80" s="1"/>
  <c r="I12" i="80"/>
  <c r="Z9" i="80"/>
  <c r="AB9" i="80" s="1"/>
  <c r="I9" i="80"/>
  <c r="Z61" i="80"/>
  <c r="AB61" i="80" s="1"/>
  <c r="I61" i="80"/>
  <c r="K7" i="97"/>
  <c r="I16" i="106"/>
  <c r="N50" i="98"/>
  <c r="M49" i="98"/>
  <c r="T18" i="97"/>
  <c r="S16" i="97"/>
  <c r="L46" i="95"/>
  <c r="M89" i="95"/>
  <c r="L16" i="97"/>
  <c r="M17" i="97"/>
  <c r="L17" i="55"/>
  <c r="K16" i="55"/>
  <c r="M22" i="99"/>
  <c r="N23" i="99"/>
  <c r="O48" i="95"/>
  <c r="N76" i="4"/>
  <c r="N71" i="4" s="1"/>
  <c r="N110" i="99"/>
  <c r="Z110" i="99"/>
  <c r="M44" i="105"/>
  <c r="L13" i="102"/>
  <c r="L19" i="102"/>
  <c r="L89" i="98"/>
  <c r="K46" i="98"/>
  <c r="N111" i="99"/>
  <c r="Z111" i="99"/>
  <c r="K71" i="123"/>
  <c r="K58" i="123"/>
  <c r="N22" i="4"/>
  <c r="N45" i="95"/>
  <c r="K51" i="123"/>
  <c r="K38" i="123"/>
  <c r="N47" i="98"/>
  <c r="N43" i="105"/>
  <c r="O48" i="98"/>
  <c r="N77" i="105"/>
  <c r="N72" i="105" s="1"/>
  <c r="N37" i="98"/>
  <c r="M36" i="98"/>
  <c r="M4" i="98" s="1"/>
  <c r="N15" i="105" s="1"/>
  <c r="M101" i="99"/>
  <c r="Z101" i="99"/>
  <c r="M36" i="95"/>
  <c r="M4" i="95" s="1"/>
  <c r="N15" i="4" s="1"/>
  <c r="M7" i="98"/>
  <c r="N8" i="98"/>
  <c r="O34" i="105"/>
  <c r="O31" i="99"/>
  <c r="N50" i="95"/>
  <c r="M49" i="95"/>
  <c r="N22" i="105"/>
  <c r="N45" i="98"/>
  <c r="M7" i="95"/>
  <c r="N42" i="4"/>
  <c r="N47" i="95"/>
  <c r="U18" i="55"/>
  <c r="T16" i="55"/>
  <c r="H21" i="104"/>
  <c r="J16" i="106" s="1"/>
  <c r="H48" i="129"/>
  <c r="G39" i="123"/>
  <c r="C52" i="129"/>
  <c r="Q25" i="100"/>
  <c r="P58" i="100"/>
  <c r="AB31" i="4"/>
  <c r="AB30" i="89"/>
  <c r="AC31" i="4" s="1"/>
  <c r="E13" i="106"/>
  <c r="E13" i="46"/>
  <c r="K20" i="106"/>
  <c r="K20" i="46"/>
  <c r="G99" i="123"/>
  <c r="P83" i="103"/>
  <c r="Q84" i="103"/>
  <c r="Q43" i="103"/>
  <c r="P42" i="103"/>
  <c r="N10" i="102"/>
  <c r="I22" i="104"/>
  <c r="P8" i="103"/>
  <c r="Q9" i="103"/>
  <c r="P61" i="103"/>
  <c r="J47" i="129" s="1"/>
  <c r="Q62" i="103"/>
  <c r="Q35" i="103"/>
  <c r="AB45" i="97"/>
  <c r="K61" i="104"/>
  <c r="J71" i="104"/>
  <c r="J26" i="104"/>
  <c r="L34" i="106"/>
  <c r="P21" i="97"/>
  <c r="P8" i="97" s="1"/>
  <c r="AB42" i="97"/>
  <c r="J6" i="97"/>
  <c r="O58" i="97"/>
  <c r="P67" i="103"/>
  <c r="P65" i="103" s="1"/>
  <c r="P54" i="97"/>
  <c r="L20" i="97"/>
  <c r="K19" i="97"/>
  <c r="Q81" i="103"/>
  <c r="Q79" i="103" s="1"/>
  <c r="M34" i="46" s="1"/>
  <c r="Q55" i="97"/>
  <c r="P59" i="97"/>
  <c r="I17" i="103"/>
  <c r="I21" i="104"/>
  <c r="N78" i="103"/>
  <c r="M27" i="102" s="1"/>
  <c r="N56" i="97"/>
  <c r="M60" i="97"/>
  <c r="H59" i="104"/>
  <c r="N26" i="102"/>
  <c r="O73" i="95"/>
  <c r="P75" i="95"/>
  <c r="U33" i="89"/>
  <c r="U74" i="4" s="1"/>
  <c r="T74" i="4"/>
  <c r="U32" i="89"/>
  <c r="T73" i="4"/>
  <c r="U34" i="89"/>
  <c r="U75" i="4" s="1"/>
  <c r="T75" i="4"/>
  <c r="P74" i="95"/>
  <c r="O76" i="95"/>
  <c r="I39" i="89"/>
  <c r="P19" i="89"/>
  <c r="N22" i="89"/>
  <c r="O23" i="89"/>
  <c r="P31" i="89"/>
  <c r="Q34" i="4" s="1"/>
  <c r="U70" i="89"/>
  <c r="V70" i="89" s="1"/>
  <c r="W70" i="89" s="1"/>
  <c r="X70" i="89" s="1"/>
  <c r="Y70" i="89" s="1"/>
  <c r="Z70" i="89" s="1"/>
  <c r="AA70" i="89" s="1"/>
  <c r="AB70" i="89" s="1"/>
  <c r="T71" i="89"/>
  <c r="L70" i="80"/>
  <c r="L26" i="80"/>
  <c r="L47" i="80" s="1"/>
  <c r="M26" i="80"/>
  <c r="M47" i="80" s="1"/>
  <c r="N6" i="80"/>
  <c r="T53" i="79"/>
  <c r="U53" i="79" s="1"/>
  <c r="V53" i="79" s="1"/>
  <c r="W53" i="79" s="1"/>
  <c r="X53" i="79" s="1"/>
  <c r="Y53" i="79" s="1"/>
  <c r="Z53" i="79" s="1"/>
  <c r="AD53" i="79" s="1"/>
  <c r="M69" i="79"/>
  <c r="N50" i="79"/>
  <c r="O50" i="79" s="1"/>
  <c r="P50" i="79" s="1"/>
  <c r="Q50" i="79" s="1"/>
  <c r="R50" i="79" s="1"/>
  <c r="S50" i="79" s="1"/>
  <c r="T50" i="79" s="1"/>
  <c r="U50" i="79" s="1"/>
  <c r="V50" i="79" s="1"/>
  <c r="W50" i="79" s="1"/>
  <c r="X50" i="79" s="1"/>
  <c r="Y50" i="79" s="1"/>
  <c r="Z50" i="79" s="1"/>
  <c r="AD50" i="79" s="1"/>
  <c r="M25" i="79"/>
  <c r="N7" i="79"/>
  <c r="O7" i="79" s="1"/>
  <c r="P7" i="79" s="1"/>
  <c r="Q7" i="79" s="1"/>
  <c r="R7" i="79" s="1"/>
  <c r="S7" i="79" s="1"/>
  <c r="T7" i="79" s="1"/>
  <c r="U7" i="79" s="1"/>
  <c r="V7" i="79" s="1"/>
  <c r="W7" i="79" s="1"/>
  <c r="X7" i="79" s="1"/>
  <c r="Y7" i="79" s="1"/>
  <c r="Z7" i="79" s="1"/>
  <c r="AD8" i="80"/>
  <c r="D21" i="80"/>
  <c r="E21" i="80" s="1"/>
  <c r="AD21" i="80"/>
  <c r="D24" i="80"/>
  <c r="E24" i="80" s="1"/>
  <c r="AD24" i="80"/>
  <c r="AD56" i="80"/>
  <c r="D56" i="80"/>
  <c r="E56" i="80" s="1"/>
  <c r="AD57" i="80"/>
  <c r="D57" i="80"/>
  <c r="E57" i="80" s="1"/>
  <c r="AD62" i="80"/>
  <c r="D62" i="80"/>
  <c r="E62" i="80" s="1"/>
  <c r="D20" i="80"/>
  <c r="E20" i="80" s="1"/>
  <c r="AD20" i="80"/>
  <c r="D13" i="80"/>
  <c r="E13" i="80" s="1"/>
  <c r="AD13" i="80"/>
  <c r="D10" i="80"/>
  <c r="E10" i="80" s="1"/>
  <c r="D19" i="80"/>
  <c r="E19" i="80" s="1"/>
  <c r="AD19" i="80"/>
  <c r="AD59" i="80"/>
  <c r="D59" i="80"/>
  <c r="E59" i="80" s="1"/>
  <c r="AD67" i="80"/>
  <c r="D67" i="80"/>
  <c r="E67" i="80" s="1"/>
  <c r="D7" i="80"/>
  <c r="E7" i="80" s="1"/>
  <c r="AD7" i="80"/>
  <c r="D14" i="80"/>
  <c r="E14" i="80" s="1"/>
  <c r="AD14" i="80"/>
  <c r="D22" i="80"/>
  <c r="E22" i="80" s="1"/>
  <c r="AD22" i="80"/>
  <c r="AD51" i="80"/>
  <c r="AD66" i="80"/>
  <c r="D66" i="80"/>
  <c r="E66" i="80" s="1"/>
  <c r="D17" i="80"/>
  <c r="E17" i="80" s="1"/>
  <c r="AD17" i="80"/>
  <c r="D25" i="80"/>
  <c r="E25" i="80" s="1"/>
  <c r="AD25" i="80"/>
  <c r="AD52" i="80"/>
  <c r="D52" i="80"/>
  <c r="E52" i="80" s="1"/>
  <c r="AD68" i="80"/>
  <c r="D68" i="80"/>
  <c r="E68" i="80" s="1"/>
  <c r="AD69" i="80"/>
  <c r="D69" i="80"/>
  <c r="E69" i="80" s="1"/>
  <c r="AD63" i="80"/>
  <c r="D63" i="80"/>
  <c r="E63" i="80" s="1"/>
  <c r="D15" i="80"/>
  <c r="E15" i="80" s="1"/>
  <c r="AD15" i="80"/>
  <c r="D23" i="80"/>
  <c r="E23" i="80" s="1"/>
  <c r="AD23" i="80"/>
  <c r="AD64" i="80"/>
  <c r="D64" i="80"/>
  <c r="E64" i="80" s="1"/>
  <c r="AD65" i="80"/>
  <c r="D65" i="80"/>
  <c r="E65" i="80" s="1"/>
  <c r="D9" i="80"/>
  <c r="E9" i="80" s="1"/>
  <c r="AD9" i="80"/>
  <c r="D18" i="80"/>
  <c r="E18" i="80" s="1"/>
  <c r="AD18" i="80"/>
  <c r="D54" i="80"/>
  <c r="E54" i="80" s="1"/>
  <c r="AD55" i="80"/>
  <c r="D55" i="80"/>
  <c r="E55" i="80" s="1"/>
  <c r="AD60" i="80"/>
  <c r="D60" i="80"/>
  <c r="E60" i="80" s="1"/>
  <c r="M70" i="80"/>
  <c r="N50" i="80"/>
  <c r="AD64" i="79"/>
  <c r="D64" i="79"/>
  <c r="E64" i="79" s="1"/>
  <c r="AD60" i="79"/>
  <c r="D60" i="79"/>
  <c r="E60" i="79" s="1"/>
  <c r="D54" i="79"/>
  <c r="E54" i="79" s="1"/>
  <c r="AD54" i="79"/>
  <c r="AD63" i="79"/>
  <c r="D63" i="79"/>
  <c r="E63" i="79" s="1"/>
  <c r="D59" i="79"/>
  <c r="E59" i="79" s="1"/>
  <c r="AD59" i="79"/>
  <c r="AD68" i="79"/>
  <c r="D68" i="79"/>
  <c r="E68" i="79" s="1"/>
  <c r="AD62" i="79"/>
  <c r="D62" i="79"/>
  <c r="E62" i="79" s="1"/>
  <c r="D58" i="79"/>
  <c r="E58" i="79" s="1"/>
  <c r="AD58" i="79"/>
  <c r="AD52" i="79"/>
  <c r="D52" i="79"/>
  <c r="E52" i="79" s="1"/>
  <c r="AD51" i="79"/>
  <c r="D51" i="79"/>
  <c r="E51" i="79" s="1"/>
  <c r="D56" i="79"/>
  <c r="E56" i="79" s="1"/>
  <c r="AD56" i="79"/>
  <c r="AD67" i="79"/>
  <c r="D67" i="79"/>
  <c r="E67" i="79" s="1"/>
  <c r="AD66" i="79"/>
  <c r="D66" i="79"/>
  <c r="E66" i="79" s="1"/>
  <c r="D65" i="79"/>
  <c r="E65" i="79" s="1"/>
  <c r="AD65" i="79"/>
  <c r="V49" i="79"/>
  <c r="U69" i="79"/>
  <c r="T69" i="79"/>
  <c r="D50" i="79"/>
  <c r="E50" i="79" s="1"/>
  <c r="D57" i="79"/>
  <c r="E57" i="79" s="1"/>
  <c r="D55" i="79"/>
  <c r="E55" i="79" s="1"/>
  <c r="D61" i="79"/>
  <c r="E61" i="79" s="1"/>
  <c r="D53" i="79"/>
  <c r="E53" i="79" s="1"/>
  <c r="L69" i="79"/>
  <c r="D15" i="79"/>
  <c r="E15" i="79" s="1"/>
  <c r="AD15" i="79"/>
  <c r="AD12" i="79"/>
  <c r="D12" i="79"/>
  <c r="E12" i="79" s="1"/>
  <c r="AD10" i="79"/>
  <c r="D10" i="79"/>
  <c r="E10" i="79" s="1"/>
  <c r="D17" i="79"/>
  <c r="E17" i="79" s="1"/>
  <c r="AD17" i="79"/>
  <c r="AD20" i="79"/>
  <c r="D20" i="79"/>
  <c r="E20" i="79" s="1"/>
  <c r="AD9" i="79"/>
  <c r="D9" i="79"/>
  <c r="E9" i="79" s="1"/>
  <c r="D23" i="79"/>
  <c r="E23" i="79" s="1"/>
  <c r="AD23" i="79"/>
  <c r="D21" i="79"/>
  <c r="E21" i="79" s="1"/>
  <c r="D13" i="79"/>
  <c r="E13" i="79" s="1"/>
  <c r="D18" i="79"/>
  <c r="E18" i="79" s="1"/>
  <c r="AD18" i="79"/>
  <c r="N25" i="79"/>
  <c r="N46" i="79" s="1"/>
  <c r="D22" i="79"/>
  <c r="E22" i="79" s="1"/>
  <c r="D14" i="79"/>
  <c r="E14" i="79" s="1"/>
  <c r="D6" i="79"/>
  <c r="E6" i="79" s="1"/>
  <c r="D19" i="79"/>
  <c r="E19" i="79" s="1"/>
  <c r="D11" i="79"/>
  <c r="E11" i="79" s="1"/>
  <c r="O5" i="79"/>
  <c r="D24" i="79"/>
  <c r="E24" i="79" s="1"/>
  <c r="D16" i="79"/>
  <c r="E16" i="79" s="1"/>
  <c r="D8" i="79"/>
  <c r="E8" i="79" s="1"/>
  <c r="L7" i="97" l="1"/>
  <c r="D53" i="80"/>
  <c r="E53" i="80" s="1"/>
  <c r="AD12" i="80"/>
  <c r="AD53" i="80"/>
  <c r="AD54" i="80"/>
  <c r="D12" i="80"/>
  <c r="E12" i="80" s="1"/>
  <c r="D8" i="80"/>
  <c r="E8" i="80" s="1"/>
  <c r="D58" i="80"/>
  <c r="E58" i="80" s="1"/>
  <c r="AB58" i="80"/>
  <c r="AD11" i="80"/>
  <c r="AD16" i="80"/>
  <c r="D61" i="80"/>
  <c r="E61" i="80" s="1"/>
  <c r="AD61" i="80"/>
  <c r="D11" i="80"/>
  <c r="E11" i="80" s="1"/>
  <c r="D16" i="80"/>
  <c r="E16" i="80" s="1"/>
  <c r="D51" i="80"/>
  <c r="E51" i="80" s="1"/>
  <c r="AD10" i="80"/>
  <c r="K6" i="123"/>
  <c r="J16" i="46"/>
  <c r="N17" i="97"/>
  <c r="M16" i="97"/>
  <c r="N36" i="95"/>
  <c r="N4" i="95" s="1"/>
  <c r="O15" i="4" s="1"/>
  <c r="M19" i="102"/>
  <c r="M13" i="102"/>
  <c r="N44" i="105"/>
  <c r="AA110" i="99"/>
  <c r="O110" i="99"/>
  <c r="O43" i="105"/>
  <c r="O47" i="98"/>
  <c r="O111" i="99"/>
  <c r="AA111" i="99"/>
  <c r="L58" i="123"/>
  <c r="L71" i="123"/>
  <c r="M46" i="95"/>
  <c r="N89" i="95"/>
  <c r="V18" i="55"/>
  <c r="U16" i="55"/>
  <c r="O50" i="95"/>
  <c r="N49" i="95"/>
  <c r="N101" i="99"/>
  <c r="AA101" i="99"/>
  <c r="O76" i="4"/>
  <c r="O71" i="4" s="1"/>
  <c r="P48" i="95"/>
  <c r="O22" i="105"/>
  <c r="O45" i="98"/>
  <c r="O42" i="4"/>
  <c r="O47" i="95"/>
  <c r="P34" i="105"/>
  <c r="P31" i="99"/>
  <c r="K23" i="123"/>
  <c r="M89" i="98"/>
  <c r="L46" i="98"/>
  <c r="N22" i="99"/>
  <c r="O23" i="99"/>
  <c r="O37" i="98"/>
  <c r="N36" i="98"/>
  <c r="N4" i="98" s="1"/>
  <c r="O15" i="105" s="1"/>
  <c r="O22" i="4"/>
  <c r="O45" i="95"/>
  <c r="U18" i="97"/>
  <c r="T16" i="97"/>
  <c r="O8" i="98"/>
  <c r="N7" i="98"/>
  <c r="L51" i="123"/>
  <c r="L38" i="123"/>
  <c r="N7" i="95"/>
  <c r="O77" i="105"/>
  <c r="O72" i="105" s="1"/>
  <c r="P48" i="98"/>
  <c r="M17" i="55"/>
  <c r="L16" i="55"/>
  <c r="O50" i="98"/>
  <c r="N49" i="98"/>
  <c r="R25" i="100"/>
  <c r="Q58" i="100"/>
  <c r="J21" i="104"/>
  <c r="L16" i="46" s="1"/>
  <c r="J48" i="129"/>
  <c r="J39" i="89"/>
  <c r="E23" i="127" s="1"/>
  <c r="D23" i="127"/>
  <c r="U73" i="4"/>
  <c r="V32" i="89"/>
  <c r="W32" i="89" s="1"/>
  <c r="X32" i="89" s="1"/>
  <c r="Y32" i="89" s="1"/>
  <c r="Z32" i="89" s="1"/>
  <c r="AA32" i="89" s="1"/>
  <c r="AB32" i="89" s="1"/>
  <c r="K16" i="106"/>
  <c r="K16" i="46"/>
  <c r="L20" i="106"/>
  <c r="L20" i="46"/>
  <c r="H99" i="123"/>
  <c r="G101" i="123"/>
  <c r="AB101" i="123" s="1"/>
  <c r="O78" i="103"/>
  <c r="N27" i="102" s="1"/>
  <c r="O56" i="97"/>
  <c r="N60" i="97"/>
  <c r="I59" i="104"/>
  <c r="Q21" i="97"/>
  <c r="Q8" i="97" s="1"/>
  <c r="R35" i="103"/>
  <c r="Q61" i="103"/>
  <c r="K47" i="129" s="1"/>
  <c r="R62" i="103"/>
  <c r="M20" i="97"/>
  <c r="L19" i="97"/>
  <c r="K6" i="97"/>
  <c r="O10" i="102"/>
  <c r="J22" i="104"/>
  <c r="R43" i="103"/>
  <c r="Q42" i="103"/>
  <c r="Q67" i="103"/>
  <c r="P58" i="97"/>
  <c r="Q54" i="97"/>
  <c r="R84" i="103"/>
  <c r="Q83" i="103"/>
  <c r="R81" i="103"/>
  <c r="R79" i="103" s="1"/>
  <c r="N34" i="46" s="1"/>
  <c r="Q59" i="97"/>
  <c r="R55" i="97"/>
  <c r="L61" i="104"/>
  <c r="K26" i="104"/>
  <c r="M34" i="106"/>
  <c r="K71" i="104"/>
  <c r="Q8" i="103"/>
  <c r="R9" i="103"/>
  <c r="O26" i="102"/>
  <c r="Q74" i="95"/>
  <c r="Q75" i="95"/>
  <c r="P76" i="95"/>
  <c r="P73" i="95"/>
  <c r="O22" i="89"/>
  <c r="P23" i="89"/>
  <c r="U71" i="89"/>
  <c r="V71" i="89" s="1"/>
  <c r="W71" i="89" s="1"/>
  <c r="X71" i="89" s="1"/>
  <c r="Y71" i="89" s="1"/>
  <c r="Z71" i="89" s="1"/>
  <c r="AA71" i="89" s="1"/>
  <c r="AB71" i="89" s="1"/>
  <c r="Q31" i="89"/>
  <c r="R34" i="4" s="1"/>
  <c r="Q19" i="89"/>
  <c r="L3" i="80"/>
  <c r="N26" i="80"/>
  <c r="N47" i="80" s="1"/>
  <c r="O6" i="80"/>
  <c r="S69" i="79"/>
  <c r="D7" i="79"/>
  <c r="E7" i="79" s="1"/>
  <c r="AD7" i="79"/>
  <c r="N70" i="80"/>
  <c r="O50" i="80"/>
  <c r="V69" i="79"/>
  <c r="W49" i="79"/>
  <c r="N69" i="79"/>
  <c r="O25" i="79"/>
  <c r="O46" i="79" s="1"/>
  <c r="P5" i="79"/>
  <c r="L16" i="106" l="1"/>
  <c r="L6" i="123"/>
  <c r="L23" i="123"/>
  <c r="M71" i="123"/>
  <c r="M58" i="123"/>
  <c r="O7" i="95"/>
  <c r="Q34" i="105"/>
  <c r="Q31" i="99"/>
  <c r="O101" i="99"/>
  <c r="P101" i="99" s="1"/>
  <c r="Q101" i="99" s="1"/>
  <c r="R101" i="99" s="1"/>
  <c r="S101" i="99" s="1"/>
  <c r="T101" i="99" s="1"/>
  <c r="AB101" i="99"/>
  <c r="P50" i="98"/>
  <c r="O49" i="98"/>
  <c r="P37" i="98"/>
  <c r="O36" i="98"/>
  <c r="O4" i="98" s="1"/>
  <c r="P15" i="105" s="1"/>
  <c r="P47" i="95"/>
  <c r="P42" i="4"/>
  <c r="K39" i="89"/>
  <c r="L39" i="89" s="1"/>
  <c r="O22" i="99"/>
  <c r="P23" i="99"/>
  <c r="O49" i="95"/>
  <c r="P50" i="95"/>
  <c r="P111" i="99"/>
  <c r="Q111" i="99" s="1"/>
  <c r="R111" i="99" s="1"/>
  <c r="S111" i="99" s="1"/>
  <c r="T111" i="99" s="1"/>
  <c r="AB111" i="99"/>
  <c r="P22" i="4"/>
  <c r="P45" i="95"/>
  <c r="M16" i="55"/>
  <c r="N17" i="55"/>
  <c r="O7" i="98"/>
  <c r="P22" i="105"/>
  <c r="P45" i="98"/>
  <c r="P43" i="105"/>
  <c r="P47" i="98"/>
  <c r="O36" i="95"/>
  <c r="O4" i="95" s="1"/>
  <c r="P15" i="4" s="1"/>
  <c r="P77" i="105"/>
  <c r="P72" i="105" s="1"/>
  <c r="Q48" i="98"/>
  <c r="W18" i="55"/>
  <c r="W16" i="55" s="1"/>
  <c r="V16" i="55"/>
  <c r="N19" i="102"/>
  <c r="N13" i="102"/>
  <c r="O44" i="105"/>
  <c r="M51" i="123"/>
  <c r="M38" i="123"/>
  <c r="V18" i="97"/>
  <c r="U16" i="97"/>
  <c r="M46" i="98"/>
  <c r="N89" i="98"/>
  <c r="P76" i="4"/>
  <c r="P71" i="4" s="1"/>
  <c r="Q48" i="95"/>
  <c r="N46" i="95"/>
  <c r="O89" i="95"/>
  <c r="P110" i="99"/>
  <c r="Q110" i="99" s="1"/>
  <c r="R110" i="99" s="1"/>
  <c r="S110" i="99" s="1"/>
  <c r="T110" i="99" s="1"/>
  <c r="AB110" i="99"/>
  <c r="N16" i="97"/>
  <c r="O17" i="97"/>
  <c r="O16" i="97" s="1"/>
  <c r="S25" i="100"/>
  <c r="R58" i="100"/>
  <c r="G102" i="123"/>
  <c r="I99" i="123"/>
  <c r="M20" i="106"/>
  <c r="M20" i="46"/>
  <c r="S81" i="103"/>
  <c r="S79" i="103" s="1"/>
  <c r="O34" i="46" s="1"/>
  <c r="S55" i="97"/>
  <c r="R59" i="97"/>
  <c r="Q58" i="97"/>
  <c r="R67" i="103"/>
  <c r="R54" i="97"/>
  <c r="L71" i="104"/>
  <c r="L26" i="104"/>
  <c r="N34" i="106"/>
  <c r="S35" i="103"/>
  <c r="M19" i="97"/>
  <c r="Q65" i="103"/>
  <c r="P26" i="102"/>
  <c r="P78" i="103"/>
  <c r="O27" i="102" s="1"/>
  <c r="P56" i="97"/>
  <c r="O60" i="97"/>
  <c r="J59" i="104"/>
  <c r="R83" i="103"/>
  <c r="S84" i="103"/>
  <c r="L6" i="97"/>
  <c r="R61" i="103"/>
  <c r="L47" i="129" s="1"/>
  <c r="S62" i="103"/>
  <c r="S43" i="103"/>
  <c r="R42" i="103"/>
  <c r="P10" i="102"/>
  <c r="K22" i="104"/>
  <c r="S9" i="103"/>
  <c r="R8" i="103"/>
  <c r="R21" i="97"/>
  <c r="R8" i="97" s="1"/>
  <c r="Q73" i="95"/>
  <c r="Q76" i="95"/>
  <c r="R75" i="95"/>
  <c r="R74" i="95"/>
  <c r="R19" i="89"/>
  <c r="Q23" i="89"/>
  <c r="P22" i="89"/>
  <c r="R31" i="89"/>
  <c r="S34" i="4" s="1"/>
  <c r="O26" i="80"/>
  <c r="O47" i="80" s="1"/>
  <c r="P6" i="80"/>
  <c r="O70" i="80"/>
  <c r="P50" i="80"/>
  <c r="W69" i="79"/>
  <c r="X49" i="79"/>
  <c r="O69" i="79"/>
  <c r="P25" i="79"/>
  <c r="P46" i="79" s="1"/>
  <c r="Q5" i="79"/>
  <c r="M23" i="123" l="1"/>
  <c r="M6" i="123"/>
  <c r="F23" i="127"/>
  <c r="O89" i="98"/>
  <c r="N46" i="98"/>
  <c r="Q43" i="105"/>
  <c r="Q47" i="98"/>
  <c r="Q22" i="4"/>
  <c r="Q45" i="95"/>
  <c r="P44" i="105"/>
  <c r="O13" i="102"/>
  <c r="O19" i="102"/>
  <c r="Q22" i="105"/>
  <c r="Q45" i="98"/>
  <c r="Q42" i="4"/>
  <c r="Q47" i="95"/>
  <c r="P89" i="95"/>
  <c r="O46" i="95"/>
  <c r="W18" i="97"/>
  <c r="V16" i="97"/>
  <c r="Q77" i="105"/>
  <c r="Q72" i="105" s="1"/>
  <c r="R48" i="98"/>
  <c r="Q50" i="95"/>
  <c r="P49" i="95"/>
  <c r="P36" i="98"/>
  <c r="P4" i="98" s="1"/>
  <c r="Q15" i="105" s="1"/>
  <c r="Q37" i="98"/>
  <c r="R34" i="105"/>
  <c r="R31" i="99"/>
  <c r="N38" i="123"/>
  <c r="N51" i="123"/>
  <c r="P7" i="95"/>
  <c r="Q76" i="4"/>
  <c r="Q71" i="4" s="1"/>
  <c r="R48" i="95"/>
  <c r="O17" i="55"/>
  <c r="O16" i="55" s="1"/>
  <c r="N16" i="55"/>
  <c r="Q23" i="99"/>
  <c r="P22" i="99"/>
  <c r="Q50" i="98"/>
  <c r="P49" i="98"/>
  <c r="N71" i="123"/>
  <c r="N58" i="123"/>
  <c r="P36" i="95"/>
  <c r="P4" i="95" s="1"/>
  <c r="Q15" i="4" s="1"/>
  <c r="K21" i="104"/>
  <c r="M16" i="46" s="1"/>
  <c r="K48" i="129"/>
  <c r="T25" i="100"/>
  <c r="S58" i="100"/>
  <c r="M39" i="89"/>
  <c r="G23" i="127"/>
  <c r="N20" i="97"/>
  <c r="N19" i="97" s="1"/>
  <c r="M7" i="97"/>
  <c r="M6" i="97" s="1"/>
  <c r="N20" i="106"/>
  <c r="N20" i="46"/>
  <c r="J99" i="123"/>
  <c r="R65" i="103"/>
  <c r="Q26" i="102"/>
  <c r="T43" i="103"/>
  <c r="S42" i="103"/>
  <c r="Q78" i="103"/>
  <c r="P27" i="102" s="1"/>
  <c r="Q56" i="97"/>
  <c r="P60" i="97"/>
  <c r="K59" i="104"/>
  <c r="T81" i="103"/>
  <c r="T79" i="103" s="1"/>
  <c r="P34" i="46" s="1"/>
  <c r="S59" i="97"/>
  <c r="T55" i="97"/>
  <c r="R58" i="97"/>
  <c r="S67" i="103"/>
  <c r="S65" i="103" s="1"/>
  <c r="M48" i="129" s="1"/>
  <c r="S54" i="97"/>
  <c r="S8" i="103"/>
  <c r="T9" i="103"/>
  <c r="T84" i="103"/>
  <c r="S83" i="103"/>
  <c r="O34" i="106"/>
  <c r="M71" i="104"/>
  <c r="M61" i="104"/>
  <c r="X61" i="104" s="1"/>
  <c r="M26" i="104"/>
  <c r="O20" i="46" s="1"/>
  <c r="S61" i="103"/>
  <c r="M47" i="129" s="1"/>
  <c r="T62" i="103"/>
  <c r="T35" i="103"/>
  <c r="S21" i="97"/>
  <c r="S8" i="97" s="1"/>
  <c r="L22" i="104"/>
  <c r="Q10" i="102"/>
  <c r="S74" i="95"/>
  <c r="S75" i="95"/>
  <c r="R76" i="95"/>
  <c r="R73" i="95"/>
  <c r="S31" i="89"/>
  <c r="T34" i="4" s="1"/>
  <c r="Q22" i="89"/>
  <c r="R23" i="89"/>
  <c r="S19" i="89"/>
  <c r="P26" i="80"/>
  <c r="P47" i="80" s="1"/>
  <c r="Q6" i="80"/>
  <c r="Q50" i="80"/>
  <c r="P70" i="80"/>
  <c r="X69" i="79"/>
  <c r="Y49" i="79"/>
  <c r="P69" i="79"/>
  <c r="Q25" i="79"/>
  <c r="R5" i="79"/>
  <c r="N23" i="123" l="1"/>
  <c r="M16" i="106"/>
  <c r="N6" i="123"/>
  <c r="R22" i="4"/>
  <c r="R45" i="95"/>
  <c r="O58" i="123"/>
  <c r="O71" i="123"/>
  <c r="W16" i="97"/>
  <c r="X18" i="97"/>
  <c r="X16" i="97" s="1"/>
  <c r="Q89" i="95"/>
  <c r="P46" i="95"/>
  <c r="R42" i="4"/>
  <c r="R47" i="95"/>
  <c r="R50" i="98"/>
  <c r="Q49" i="98"/>
  <c r="R23" i="99"/>
  <c r="Q22" i="99"/>
  <c r="R43" i="105"/>
  <c r="R47" i="98"/>
  <c r="Q36" i="95"/>
  <c r="Q4" i="95" s="1"/>
  <c r="R15" i="4" s="1"/>
  <c r="S34" i="105"/>
  <c r="S31" i="99"/>
  <c r="R77" i="105"/>
  <c r="R72" i="105" s="1"/>
  <c r="S48" i="98"/>
  <c r="R22" i="105"/>
  <c r="R45" i="98"/>
  <c r="P13" i="102"/>
  <c r="P19" i="102"/>
  <c r="Q44" i="105"/>
  <c r="R50" i="95"/>
  <c r="Q49" i="95"/>
  <c r="O51" i="123"/>
  <c r="O38" i="123"/>
  <c r="Q7" i="95"/>
  <c r="R76" i="4"/>
  <c r="R71" i="4" s="1"/>
  <c r="S48" i="95"/>
  <c r="R37" i="98"/>
  <c r="Q36" i="98"/>
  <c r="Q4" i="98" s="1"/>
  <c r="R15" i="105" s="1"/>
  <c r="P89" i="98"/>
  <c r="O46" i="98"/>
  <c r="U25" i="100"/>
  <c r="T58" i="100"/>
  <c r="L21" i="104"/>
  <c r="N16" i="46" s="1"/>
  <c r="L48" i="129"/>
  <c r="Q46" i="79"/>
  <c r="Q3" i="79"/>
  <c r="N39" i="89"/>
  <c r="H23" i="127"/>
  <c r="K99" i="123"/>
  <c r="M21" i="104"/>
  <c r="H101" i="123"/>
  <c r="I101" i="123"/>
  <c r="X26" i="104"/>
  <c r="O20" i="106"/>
  <c r="U81" i="103"/>
  <c r="U79" i="103" s="1"/>
  <c r="Q34" i="46" s="1"/>
  <c r="U55" i="97"/>
  <c r="T59" i="97"/>
  <c r="T42" i="103"/>
  <c r="U43" i="103"/>
  <c r="U35" i="103"/>
  <c r="T83" i="103"/>
  <c r="U84" i="103"/>
  <c r="T61" i="103"/>
  <c r="N47" i="129" s="1"/>
  <c r="U62" i="103"/>
  <c r="T8" i="103"/>
  <c r="U9" i="103"/>
  <c r="N61" i="104"/>
  <c r="N71" i="104"/>
  <c r="N26" i="104"/>
  <c r="P34" i="106"/>
  <c r="R78" i="103"/>
  <c r="Q27" i="102" s="1"/>
  <c r="R56" i="97"/>
  <c r="Q60" i="97"/>
  <c r="L59" i="104"/>
  <c r="T21" i="97"/>
  <c r="T8" i="97" s="1"/>
  <c r="M22" i="104"/>
  <c r="R10" i="102"/>
  <c r="T54" i="97"/>
  <c r="T67" i="103"/>
  <c r="S58" i="97"/>
  <c r="R26" i="102"/>
  <c r="S73" i="95"/>
  <c r="S76" i="95"/>
  <c r="T75" i="95"/>
  <c r="T74" i="95"/>
  <c r="T31" i="89"/>
  <c r="U34" i="4" s="1"/>
  <c r="T19" i="89"/>
  <c r="R22" i="89"/>
  <c r="S23" i="89"/>
  <c r="R6" i="80"/>
  <c r="Q26" i="80"/>
  <c r="Q47" i="80" s="1"/>
  <c r="R50" i="80"/>
  <c r="Q70" i="80"/>
  <c r="Y69" i="79"/>
  <c r="Z49" i="79"/>
  <c r="R69" i="79"/>
  <c r="Q69" i="79"/>
  <c r="S5" i="79"/>
  <c r="R25" i="79"/>
  <c r="N16" i="106" l="1"/>
  <c r="O6" i="123"/>
  <c r="O23" i="123"/>
  <c r="P38" i="123"/>
  <c r="P51" i="123"/>
  <c r="R22" i="99"/>
  <c r="S23" i="99"/>
  <c r="R89" i="95"/>
  <c r="Q46" i="95"/>
  <c r="S37" i="98"/>
  <c r="R36" i="98"/>
  <c r="R4" i="98" s="1"/>
  <c r="S15" i="105" s="1"/>
  <c r="S50" i="95"/>
  <c r="R49" i="95"/>
  <c r="T34" i="105"/>
  <c r="T31" i="99"/>
  <c r="T48" i="95"/>
  <c r="S76" i="4"/>
  <c r="S71" i="4" s="1"/>
  <c r="T48" i="98"/>
  <c r="S77" i="105"/>
  <c r="S72" i="105" s="1"/>
  <c r="P71" i="123"/>
  <c r="P58" i="123"/>
  <c r="R36" i="95"/>
  <c r="R4" i="95" s="1"/>
  <c r="S15" i="4" s="1"/>
  <c r="S50" i="98"/>
  <c r="R49" i="98"/>
  <c r="Q89" i="98"/>
  <c r="R7" i="95"/>
  <c r="S22" i="105"/>
  <c r="S45" i="98"/>
  <c r="S43" i="105"/>
  <c r="S47" i="98"/>
  <c r="S47" i="95"/>
  <c r="S42" i="4"/>
  <c r="S22" i="4"/>
  <c r="S45" i="95"/>
  <c r="Q19" i="102"/>
  <c r="Q13" i="102"/>
  <c r="R44" i="105"/>
  <c r="V25" i="100"/>
  <c r="U58" i="100"/>
  <c r="R46" i="79"/>
  <c r="R3" i="79"/>
  <c r="N52" i="89" s="1"/>
  <c r="I23" i="127"/>
  <c r="O39" i="89"/>
  <c r="C21" i="108"/>
  <c r="N26" i="97"/>
  <c r="J101" i="123"/>
  <c r="I102" i="123"/>
  <c r="L99" i="123"/>
  <c r="H102" i="123"/>
  <c r="O16" i="106"/>
  <c r="O16" i="46"/>
  <c r="P20" i="106"/>
  <c r="P20" i="46"/>
  <c r="N22" i="104"/>
  <c r="S10" i="102"/>
  <c r="V35" i="103"/>
  <c r="V55" i="97"/>
  <c r="W81" i="103" s="1"/>
  <c r="W79" i="103" s="1"/>
  <c r="U59" i="97"/>
  <c r="V81" i="103"/>
  <c r="V79" i="103" s="1"/>
  <c r="R34" i="46" s="1"/>
  <c r="V43" i="103"/>
  <c r="W43" i="103" s="1"/>
  <c r="U42" i="103"/>
  <c r="O26" i="104"/>
  <c r="O61" i="104"/>
  <c r="O71" i="104"/>
  <c r="Q34" i="106"/>
  <c r="U61" i="103"/>
  <c r="O47" i="129" s="1"/>
  <c r="V62" i="103"/>
  <c r="W62" i="103" s="1"/>
  <c r="S78" i="103"/>
  <c r="R27" i="102" s="1"/>
  <c r="R60" i="97"/>
  <c r="S56" i="97"/>
  <c r="M59" i="104"/>
  <c r="X59" i="104" s="1"/>
  <c r="T65" i="103"/>
  <c r="S26" i="102"/>
  <c r="U21" i="97"/>
  <c r="U8" i="97" s="1"/>
  <c r="U83" i="103"/>
  <c r="V84" i="103"/>
  <c r="W84" i="103" s="1"/>
  <c r="U54" i="97"/>
  <c r="U67" i="103"/>
  <c r="U65" i="103" s="1"/>
  <c r="O48" i="129" s="1"/>
  <c r="T58" i="97"/>
  <c r="V9" i="103"/>
  <c r="W9" i="103" s="1"/>
  <c r="U8" i="103"/>
  <c r="T76" i="95"/>
  <c r="U74" i="95"/>
  <c r="V74" i="95" s="1"/>
  <c r="U75" i="95"/>
  <c r="T73" i="95"/>
  <c r="U31" i="89"/>
  <c r="S22" i="89"/>
  <c r="T23" i="89"/>
  <c r="U19" i="89"/>
  <c r="V19" i="89" s="1"/>
  <c r="W19" i="89" s="1"/>
  <c r="X19" i="89" s="1"/>
  <c r="Y19" i="89" s="1"/>
  <c r="Z19" i="89" s="1"/>
  <c r="AA19" i="89" s="1"/>
  <c r="AB19" i="89" s="1"/>
  <c r="R26" i="80"/>
  <c r="R47" i="80" s="1"/>
  <c r="S6" i="80"/>
  <c r="R70" i="80"/>
  <c r="S50" i="80"/>
  <c r="AD49" i="79"/>
  <c r="AD69" i="79" s="1"/>
  <c r="Z69" i="79"/>
  <c r="D49" i="79"/>
  <c r="E49" i="79" s="1"/>
  <c r="S25" i="79"/>
  <c r="T5" i="79"/>
  <c r="T37" i="98" l="1"/>
  <c r="S36" i="98"/>
  <c r="S4" i="98" s="1"/>
  <c r="T15" i="105" s="1"/>
  <c r="T22" i="105"/>
  <c r="T45" i="98"/>
  <c r="T76" i="4"/>
  <c r="T71" i="4" s="1"/>
  <c r="U48" i="95"/>
  <c r="S36" i="95"/>
  <c r="S4" i="95" s="1"/>
  <c r="T15" i="4" s="1"/>
  <c r="R46" i="95"/>
  <c r="S89" i="95"/>
  <c r="T22" i="4"/>
  <c r="T45" i="95"/>
  <c r="U34" i="105"/>
  <c r="U31" i="99"/>
  <c r="T23" i="99"/>
  <c r="S22" i="99"/>
  <c r="T47" i="98"/>
  <c r="T43" i="105"/>
  <c r="R13" i="5"/>
  <c r="S43" i="4"/>
  <c r="R19" i="5"/>
  <c r="Q51" i="123"/>
  <c r="Q38" i="123"/>
  <c r="P23" i="123"/>
  <c r="Q71" i="123"/>
  <c r="Q58" i="123"/>
  <c r="R19" i="102"/>
  <c r="R13" i="102"/>
  <c r="S44" i="105"/>
  <c r="T50" i="98"/>
  <c r="S49" i="98"/>
  <c r="S7" i="95"/>
  <c r="T47" i="95"/>
  <c r="T42" i="4"/>
  <c r="R89" i="98"/>
  <c r="T77" i="105"/>
  <c r="T72" i="105" s="1"/>
  <c r="U48" i="98"/>
  <c r="S49" i="95"/>
  <c r="T50" i="95"/>
  <c r="P6" i="123"/>
  <c r="N21" i="104"/>
  <c r="P16" i="106" s="1"/>
  <c r="N48" i="129"/>
  <c r="W25" i="100"/>
  <c r="V58" i="100"/>
  <c r="E21" i="108"/>
  <c r="F21" i="108" s="1"/>
  <c r="C21" i="126"/>
  <c r="E21" i="126" s="1"/>
  <c r="P39" i="89"/>
  <c r="J23" i="127"/>
  <c r="S46" i="79"/>
  <c r="S3" i="79"/>
  <c r="O52" i="89" s="1"/>
  <c r="N7" i="97"/>
  <c r="O20" i="97"/>
  <c r="O19" i="97" s="1"/>
  <c r="J102" i="123"/>
  <c r="O21" i="104"/>
  <c r="Q16" i="106" s="1"/>
  <c r="V34" i="4"/>
  <c r="V31" i="89"/>
  <c r="W61" i="103"/>
  <c r="X62" i="103"/>
  <c r="W35" i="103"/>
  <c r="V75" i="95"/>
  <c r="W75" i="95" s="1"/>
  <c r="X9" i="103"/>
  <c r="W8" i="103"/>
  <c r="Q20" i="106"/>
  <c r="Q20" i="46"/>
  <c r="M99" i="123"/>
  <c r="W83" i="103"/>
  <c r="X84" i="103"/>
  <c r="W42" i="103"/>
  <c r="X43" i="103"/>
  <c r="Q61" i="104"/>
  <c r="Q71" i="104"/>
  <c r="T78" i="103"/>
  <c r="S27" i="102" s="1"/>
  <c r="S60" i="97"/>
  <c r="T56" i="97"/>
  <c r="N59" i="104"/>
  <c r="V42" i="103"/>
  <c r="Q26" i="104"/>
  <c r="P26" i="104"/>
  <c r="P71" i="104"/>
  <c r="P61" i="104"/>
  <c r="R34" i="106"/>
  <c r="W74" i="95"/>
  <c r="V61" i="103"/>
  <c r="V8" i="103"/>
  <c r="O22" i="104"/>
  <c r="T10" i="102"/>
  <c r="W55" i="97"/>
  <c r="X81" i="103" s="1"/>
  <c r="X79" i="103" s="1"/>
  <c r="V59" i="97"/>
  <c r="V54" i="97"/>
  <c r="W67" i="103" s="1"/>
  <c r="W65" i="103" s="1"/>
  <c r="U58" i="97"/>
  <c r="V67" i="103"/>
  <c r="U26" i="102" s="1"/>
  <c r="V83" i="103"/>
  <c r="V21" i="97"/>
  <c r="V8" i="97" s="1"/>
  <c r="T26" i="102"/>
  <c r="U76" i="95"/>
  <c r="U73" i="95"/>
  <c r="V73" i="95" s="1"/>
  <c r="U23" i="89"/>
  <c r="T22" i="89"/>
  <c r="S26" i="80"/>
  <c r="S47" i="80" s="1"/>
  <c r="T6" i="80"/>
  <c r="T50" i="80"/>
  <c r="S70" i="80"/>
  <c r="U5" i="79"/>
  <c r="T25" i="79"/>
  <c r="Q23" i="123" l="1"/>
  <c r="P16" i="46"/>
  <c r="R51" i="123"/>
  <c r="R38" i="123"/>
  <c r="U50" i="98"/>
  <c r="T49" i="98"/>
  <c r="V34" i="105"/>
  <c r="V31" i="99"/>
  <c r="S89" i="98"/>
  <c r="T36" i="95"/>
  <c r="T4" i="95" s="1"/>
  <c r="U15" i="4" s="1"/>
  <c r="U22" i="4"/>
  <c r="U45" i="95"/>
  <c r="V48" i="95"/>
  <c r="U76" i="4"/>
  <c r="U71" i="4" s="1"/>
  <c r="S19" i="5"/>
  <c r="S13" i="5"/>
  <c r="T43" i="4"/>
  <c r="R71" i="123"/>
  <c r="R58" i="123"/>
  <c r="U42" i="4"/>
  <c r="U47" i="95"/>
  <c r="S13" i="102"/>
  <c r="T44" i="105"/>
  <c r="S19" i="102"/>
  <c r="T89" i="95"/>
  <c r="S46" i="95"/>
  <c r="U22" i="105"/>
  <c r="U45" i="98"/>
  <c r="U50" i="95"/>
  <c r="T49" i="95"/>
  <c r="U43" i="105"/>
  <c r="U47" i="98"/>
  <c r="T7" i="95"/>
  <c r="V48" i="98"/>
  <c r="U77" i="105"/>
  <c r="U72" i="105" s="1"/>
  <c r="Q6" i="123"/>
  <c r="T22" i="99"/>
  <c r="U23" i="99"/>
  <c r="U37" i="98"/>
  <c r="T36" i="98"/>
  <c r="T4" i="98" s="1"/>
  <c r="U15" i="105" s="1"/>
  <c r="U22" i="89"/>
  <c r="V23" i="89"/>
  <c r="X25" i="100"/>
  <c r="W58" i="100"/>
  <c r="Q39" i="89"/>
  <c r="K23" i="127"/>
  <c r="T46" i="79"/>
  <c r="T3" i="79"/>
  <c r="P52" i="89" s="1"/>
  <c r="N6" i="97"/>
  <c r="Q16" i="46"/>
  <c r="V76" i="95"/>
  <c r="W31" i="89"/>
  <c r="W34" i="4"/>
  <c r="X35" i="103"/>
  <c r="X83" i="103"/>
  <c r="Y84" i="103"/>
  <c r="X8" i="103"/>
  <c r="Y9" i="103"/>
  <c r="N99" i="123"/>
  <c r="V26" i="102"/>
  <c r="X61" i="103"/>
  <c r="W10" i="102" s="1"/>
  <c r="Y62" i="103"/>
  <c r="K101" i="123"/>
  <c r="Q5" i="108" s="1"/>
  <c r="L101" i="123"/>
  <c r="V10" i="102"/>
  <c r="R20" i="106"/>
  <c r="R20" i="46"/>
  <c r="X42" i="103"/>
  <c r="Y43" i="103"/>
  <c r="R71" i="104"/>
  <c r="R26" i="104"/>
  <c r="R61" i="104"/>
  <c r="X74" i="95"/>
  <c r="P22" i="104"/>
  <c r="U10" i="102"/>
  <c r="X75" i="95"/>
  <c r="V65" i="103"/>
  <c r="X55" i="97"/>
  <c r="Y81" i="103" s="1"/>
  <c r="Y79" i="103" s="1"/>
  <c r="W59" i="97"/>
  <c r="U78" i="103"/>
  <c r="T27" i="102" s="1"/>
  <c r="U56" i="97"/>
  <c r="T60" i="97"/>
  <c r="O59" i="104"/>
  <c r="W21" i="97"/>
  <c r="W8" i="97" s="1"/>
  <c r="W73" i="95"/>
  <c r="W54" i="97"/>
  <c r="X67" i="103" s="1"/>
  <c r="X65" i="103" s="1"/>
  <c r="R21" i="104" s="1"/>
  <c r="V58" i="97"/>
  <c r="T26" i="80"/>
  <c r="T47" i="80" s="1"/>
  <c r="U6" i="80"/>
  <c r="T70" i="80"/>
  <c r="U50" i="80"/>
  <c r="U25" i="79"/>
  <c r="V5" i="79"/>
  <c r="U22" i="99" l="1"/>
  <c r="V23" i="99"/>
  <c r="U7" i="95"/>
  <c r="T46" i="95"/>
  <c r="U89" i="95"/>
  <c r="V47" i="98"/>
  <c r="V43" i="105"/>
  <c r="U44" i="105"/>
  <c r="T19" i="102"/>
  <c r="T13" i="102"/>
  <c r="T89" i="98"/>
  <c r="S38" i="123"/>
  <c r="S51" i="123"/>
  <c r="S71" i="123"/>
  <c r="S58" i="123"/>
  <c r="W34" i="105"/>
  <c r="W31" i="99"/>
  <c r="V77" i="105"/>
  <c r="V72" i="105" s="1"/>
  <c r="W48" i="98"/>
  <c r="W48" i="95"/>
  <c r="V76" i="4"/>
  <c r="V71" i="4" s="1"/>
  <c r="V50" i="95"/>
  <c r="U49" i="95"/>
  <c r="V45" i="98"/>
  <c r="V22" i="105"/>
  <c r="T19" i="5"/>
  <c r="T13" i="5"/>
  <c r="U43" i="4"/>
  <c r="V45" i="95"/>
  <c r="V22" i="4"/>
  <c r="V50" i="98"/>
  <c r="U49" i="98"/>
  <c r="V42" i="4"/>
  <c r="V47" i="95"/>
  <c r="U36" i="98"/>
  <c r="U4" i="98" s="1"/>
  <c r="V15" i="105" s="1"/>
  <c r="V37" i="98"/>
  <c r="R6" i="123"/>
  <c r="U36" i="95"/>
  <c r="U4" i="95" s="1"/>
  <c r="V15" i="4" s="1"/>
  <c r="R23" i="123"/>
  <c r="V22" i="89"/>
  <c r="W23" i="89"/>
  <c r="Y25" i="100"/>
  <c r="X58" i="100"/>
  <c r="U46" i="79"/>
  <c r="U3" i="79"/>
  <c r="Q52" i="89" s="1"/>
  <c r="R39" i="89"/>
  <c r="L23" i="127"/>
  <c r="W26" i="102"/>
  <c r="W76" i="95"/>
  <c r="X31" i="89"/>
  <c r="X34" i="4"/>
  <c r="Y61" i="103"/>
  <c r="X10" i="102" s="1"/>
  <c r="Z62" i="103"/>
  <c r="K102" i="123"/>
  <c r="Y83" i="103"/>
  <c r="Z84" i="103"/>
  <c r="L102" i="123"/>
  <c r="S61" i="104"/>
  <c r="S71" i="104"/>
  <c r="S26" i="104"/>
  <c r="Z9" i="103"/>
  <c r="Y8" i="103"/>
  <c r="Y42" i="103"/>
  <c r="Z43" i="103"/>
  <c r="Y35" i="103"/>
  <c r="O99" i="123"/>
  <c r="V56" i="97"/>
  <c r="W78" i="103" s="1"/>
  <c r="U60" i="97"/>
  <c r="V78" i="103"/>
  <c r="P59" i="104"/>
  <c r="Y75" i="95"/>
  <c r="X73" i="95"/>
  <c r="Y74" i="95"/>
  <c r="X54" i="97"/>
  <c r="Y67" i="103" s="1"/>
  <c r="Y65" i="103" s="1"/>
  <c r="S21" i="104" s="1"/>
  <c r="W58" i="97"/>
  <c r="X21" i="97"/>
  <c r="X8" i="97" s="1"/>
  <c r="Y55" i="97"/>
  <c r="Z81" i="103" s="1"/>
  <c r="Z79" i="103" s="1"/>
  <c r="X59" i="97"/>
  <c r="P21" i="104"/>
  <c r="Q21" i="104"/>
  <c r="Q22" i="104"/>
  <c r="V6" i="80"/>
  <c r="U26" i="80"/>
  <c r="U47" i="80" s="1"/>
  <c r="U70" i="80"/>
  <c r="V50" i="80"/>
  <c r="V25" i="79"/>
  <c r="W5" i="79"/>
  <c r="V36" i="98" l="1"/>
  <c r="V4" i="98" s="1"/>
  <c r="W15" i="105" s="1"/>
  <c r="W37" i="98"/>
  <c r="V49" i="95"/>
  <c r="W50" i="95"/>
  <c r="V44" i="105"/>
  <c r="U13" i="102"/>
  <c r="U19" i="102"/>
  <c r="W45" i="95"/>
  <c r="W22" i="4"/>
  <c r="T58" i="123"/>
  <c r="T71" i="123"/>
  <c r="S23" i="123"/>
  <c r="W47" i="98"/>
  <c r="W43" i="105"/>
  <c r="W76" i="4"/>
  <c r="W71" i="4" s="1"/>
  <c r="X48" i="95"/>
  <c r="S6" i="123"/>
  <c r="V89" i="95"/>
  <c r="U46" i="95"/>
  <c r="W77" i="105"/>
  <c r="W72" i="105" s="1"/>
  <c r="X48" i="98"/>
  <c r="W42" i="4"/>
  <c r="W47" i="95"/>
  <c r="T38" i="123"/>
  <c r="T51" i="123"/>
  <c r="U89" i="98"/>
  <c r="V7" i="95"/>
  <c r="V43" i="4"/>
  <c r="U19" i="5"/>
  <c r="U13" i="5"/>
  <c r="X31" i="99"/>
  <c r="X34" i="105"/>
  <c r="V36" i="95"/>
  <c r="V4" i="95" s="1"/>
  <c r="W15" i="4" s="1"/>
  <c r="W22" i="105"/>
  <c r="W45" i="98"/>
  <c r="V22" i="99"/>
  <c r="W23" i="99"/>
  <c r="W50" i="98"/>
  <c r="V49" i="98"/>
  <c r="W22" i="89"/>
  <c r="X23" i="89"/>
  <c r="Z25" i="100"/>
  <c r="Y58" i="100"/>
  <c r="V46" i="79"/>
  <c r="V3" i="79"/>
  <c r="R52" i="89" s="1"/>
  <c r="S39" i="89"/>
  <c r="M23" i="127"/>
  <c r="V27" i="102"/>
  <c r="X76" i="95"/>
  <c r="Y31" i="89"/>
  <c r="Y34" i="4"/>
  <c r="X26" i="102"/>
  <c r="Z42" i="103"/>
  <c r="AA43" i="103"/>
  <c r="Z61" i="103"/>
  <c r="Y10" i="102" s="1"/>
  <c r="AA62" i="103"/>
  <c r="AA84" i="103"/>
  <c r="Z83" i="103"/>
  <c r="Z8" i="103"/>
  <c r="AA9" i="103"/>
  <c r="M101" i="123"/>
  <c r="N101" i="123"/>
  <c r="T26" i="104"/>
  <c r="T61" i="104"/>
  <c r="T71" i="104"/>
  <c r="R16" i="106"/>
  <c r="R16" i="46"/>
  <c r="Z35" i="103"/>
  <c r="Z74" i="95"/>
  <c r="Y21" i="97"/>
  <c r="Y8" i="97" s="1"/>
  <c r="Y54" i="97"/>
  <c r="Z67" i="103" s="1"/>
  <c r="Z65" i="103" s="1"/>
  <c r="T21" i="104" s="1"/>
  <c r="X58" i="97"/>
  <c r="Z55" i="97"/>
  <c r="AA81" i="103" s="1"/>
  <c r="AA79" i="103" s="1"/>
  <c r="Y59" i="97"/>
  <c r="U27" i="102"/>
  <c r="Z75" i="95"/>
  <c r="Y73" i="95"/>
  <c r="R22" i="104"/>
  <c r="W56" i="97"/>
  <c r="X78" i="103" s="1"/>
  <c r="W27" i="102" s="1"/>
  <c r="V60" i="97"/>
  <c r="Q59" i="104"/>
  <c r="W6" i="80"/>
  <c r="V26" i="80"/>
  <c r="V47" i="80" s="1"/>
  <c r="V70" i="80"/>
  <c r="W50" i="80"/>
  <c r="W25" i="79"/>
  <c r="X5" i="79"/>
  <c r="T6" i="123" l="1"/>
  <c r="T23" i="123"/>
  <c r="W7" i="95"/>
  <c r="V13" i="102"/>
  <c r="V19" i="102"/>
  <c r="W44" i="105"/>
  <c r="W36" i="95"/>
  <c r="W4" i="95" s="1"/>
  <c r="X15" i="4" s="1"/>
  <c r="V89" i="98"/>
  <c r="X43" i="105"/>
  <c r="X47" i="98"/>
  <c r="V19" i="5"/>
  <c r="W43" i="4"/>
  <c r="V13" i="5"/>
  <c r="U58" i="123"/>
  <c r="U71" i="123"/>
  <c r="U38" i="123"/>
  <c r="U51" i="123"/>
  <c r="X50" i="95"/>
  <c r="W49" i="95"/>
  <c r="X45" i="95"/>
  <c r="X22" i="4"/>
  <c r="X50" i="98"/>
  <c r="W49" i="98"/>
  <c r="Y34" i="105"/>
  <c r="Y31" i="99"/>
  <c r="X45" i="98"/>
  <c r="X22" i="105"/>
  <c r="X23" i="99"/>
  <c r="W22" i="99"/>
  <c r="W89" i="95"/>
  <c r="V46" i="95"/>
  <c r="X37" i="98"/>
  <c r="W36" i="98"/>
  <c r="W4" i="98" s="1"/>
  <c r="X15" i="105" s="1"/>
  <c r="X76" i="4"/>
  <c r="X71" i="4" s="1"/>
  <c r="Y48" i="95"/>
  <c r="Y48" i="98"/>
  <c r="X77" i="105"/>
  <c r="X72" i="105" s="1"/>
  <c r="X47" i="95"/>
  <c r="X42" i="4"/>
  <c r="X22" i="89"/>
  <c r="Y23" i="89"/>
  <c r="AA25" i="100"/>
  <c r="Z58" i="100"/>
  <c r="T39" i="89"/>
  <c r="N23" i="127"/>
  <c r="W46" i="79"/>
  <c r="W3" i="79"/>
  <c r="S52" i="89" s="1"/>
  <c r="Y26" i="102"/>
  <c r="Y76" i="95"/>
  <c r="Z31" i="89"/>
  <c r="Z34" i="4"/>
  <c r="AA61" i="103"/>
  <c r="Z10" i="102" s="1"/>
  <c r="AB62" i="103"/>
  <c r="AB84" i="103"/>
  <c r="AA83" i="103"/>
  <c r="AB43" i="103"/>
  <c r="AA42" i="103"/>
  <c r="AA8" i="103"/>
  <c r="AB9" i="103"/>
  <c r="U26" i="104"/>
  <c r="U61" i="104"/>
  <c r="U71" i="104"/>
  <c r="AA35" i="103"/>
  <c r="N102" i="123"/>
  <c r="M102" i="123"/>
  <c r="AA55" i="97"/>
  <c r="AB81" i="103" s="1"/>
  <c r="AB79" i="103" s="1"/>
  <c r="Z59" i="97"/>
  <c r="Z73" i="95"/>
  <c r="S22" i="104"/>
  <c r="AA74" i="95"/>
  <c r="AA75" i="95"/>
  <c r="Z54" i="97"/>
  <c r="AA67" i="103" s="1"/>
  <c r="AA65" i="103" s="1"/>
  <c r="U21" i="104" s="1"/>
  <c r="Y58" i="97"/>
  <c r="X56" i="97"/>
  <c r="Y78" i="103" s="1"/>
  <c r="X27" i="102" s="1"/>
  <c r="W60" i="97"/>
  <c r="R59" i="104"/>
  <c r="Z21" i="97"/>
  <c r="Z8" i="97" s="1"/>
  <c r="X6" i="80"/>
  <c r="W26" i="80"/>
  <c r="W47" i="80" s="1"/>
  <c r="W70" i="80"/>
  <c r="X50" i="80"/>
  <c r="X25" i="79"/>
  <c r="Y5" i="79"/>
  <c r="U23" i="123" l="1"/>
  <c r="V51" i="123"/>
  <c r="V38" i="123"/>
  <c r="W89" i="98"/>
  <c r="Y77" i="105"/>
  <c r="Y72" i="105" s="1"/>
  <c r="Z48" i="98"/>
  <c r="X22" i="99"/>
  <c r="Y23" i="99"/>
  <c r="Y45" i="95"/>
  <c r="Y22" i="4"/>
  <c r="Z48" i="95"/>
  <c r="Y76" i="4"/>
  <c r="Y71" i="4" s="1"/>
  <c r="X36" i="95"/>
  <c r="X4" i="95" s="1"/>
  <c r="Y15" i="4" s="1"/>
  <c r="V71" i="123"/>
  <c r="V58" i="123"/>
  <c r="Y22" i="105"/>
  <c r="Y45" i="98"/>
  <c r="Y43" i="105"/>
  <c r="Y47" i="98"/>
  <c r="Z34" i="105"/>
  <c r="Z31" i="99"/>
  <c r="W19" i="102"/>
  <c r="W13" i="102"/>
  <c r="X44" i="105"/>
  <c r="Y50" i="95"/>
  <c r="X49" i="95"/>
  <c r="Y37" i="98"/>
  <c r="X36" i="98"/>
  <c r="X4" i="98" s="1"/>
  <c r="Y15" i="105" s="1"/>
  <c r="U6" i="123"/>
  <c r="W19" i="5"/>
  <c r="X43" i="4"/>
  <c r="W13" i="5"/>
  <c r="Y42" i="4"/>
  <c r="Y47" i="95"/>
  <c r="W46" i="95"/>
  <c r="X89" i="95"/>
  <c r="Y50" i="98"/>
  <c r="X49" i="98"/>
  <c r="X7" i="95"/>
  <c r="Y22" i="89"/>
  <c r="Z23" i="89"/>
  <c r="AB25" i="100"/>
  <c r="AA58" i="100"/>
  <c r="X46" i="79"/>
  <c r="X3" i="79"/>
  <c r="T52" i="89" s="1"/>
  <c r="U39" i="89"/>
  <c r="I57" i="89" s="1"/>
  <c r="J57" i="89" s="1"/>
  <c r="K57" i="89" s="1"/>
  <c r="L57" i="89" s="1"/>
  <c r="M57" i="89" s="1"/>
  <c r="N57" i="89" s="1"/>
  <c r="O57" i="89" s="1"/>
  <c r="P57" i="89" s="1"/>
  <c r="Q57" i="89" s="1"/>
  <c r="R57" i="89" s="1"/>
  <c r="S57" i="89" s="1"/>
  <c r="T57" i="89" s="1"/>
  <c r="O23" i="127"/>
  <c r="Z76" i="95"/>
  <c r="AA31" i="89"/>
  <c r="AA34" i="4"/>
  <c r="AB42" i="103"/>
  <c r="AC43" i="103"/>
  <c r="AC42" i="103" s="1"/>
  <c r="AB61" i="103"/>
  <c r="AA10" i="102" s="1"/>
  <c r="AC62" i="103"/>
  <c r="AC61" i="103" s="1"/>
  <c r="P99" i="123"/>
  <c r="O101" i="123"/>
  <c r="AB83" i="103"/>
  <c r="AC84" i="103"/>
  <c r="AC83" i="103" s="1"/>
  <c r="V26" i="104"/>
  <c r="V71" i="104"/>
  <c r="V61" i="104"/>
  <c r="Z26" i="102"/>
  <c r="AB8" i="103"/>
  <c r="AC9" i="103"/>
  <c r="AC8" i="103" s="1"/>
  <c r="AB35" i="103"/>
  <c r="AA21" i="97"/>
  <c r="AA8" i="97" s="1"/>
  <c r="AA54" i="97"/>
  <c r="AB67" i="103" s="1"/>
  <c r="AB65" i="103" s="1"/>
  <c r="V21" i="104" s="1"/>
  <c r="Z58" i="97"/>
  <c r="AB55" i="97"/>
  <c r="AA59" i="97"/>
  <c r="AB75" i="95"/>
  <c r="T22" i="104"/>
  <c r="AA73" i="95"/>
  <c r="AB74" i="95"/>
  <c r="Y56" i="97"/>
  <c r="Z78" i="103" s="1"/>
  <c r="Y27" i="102" s="1"/>
  <c r="X60" i="97"/>
  <c r="S59" i="104"/>
  <c r="X26" i="80"/>
  <c r="X47" i="80" s="1"/>
  <c r="Y6" i="80"/>
  <c r="I6" i="80" s="1"/>
  <c r="Y50" i="80"/>
  <c r="I50" i="80" s="1"/>
  <c r="X70" i="80"/>
  <c r="Y25" i="79"/>
  <c r="Z5" i="79"/>
  <c r="I81" i="89" l="1"/>
  <c r="W81" i="89" s="1"/>
  <c r="I91" i="89"/>
  <c r="V91" i="89" s="1"/>
  <c r="Z23" i="99"/>
  <c r="Y22" i="99"/>
  <c r="Y89" i="95"/>
  <c r="X46" i="95"/>
  <c r="Z50" i="98"/>
  <c r="Y49" i="98"/>
  <c r="AA31" i="99"/>
  <c r="AA34" i="105"/>
  <c r="Z77" i="105"/>
  <c r="Z72" i="105" s="1"/>
  <c r="AA48" i="98"/>
  <c r="Z47" i="95"/>
  <c r="Z42" i="4"/>
  <c r="Y36" i="95"/>
  <c r="Y4" i="95" s="1"/>
  <c r="Z15" i="4" s="1"/>
  <c r="W38" i="123"/>
  <c r="W51" i="123"/>
  <c r="Y43" i="4"/>
  <c r="X13" i="5"/>
  <c r="X19" i="5"/>
  <c r="Z37" i="98"/>
  <c r="Y36" i="98"/>
  <c r="Y4" i="98" s="1"/>
  <c r="Z15" i="105" s="1"/>
  <c r="Z43" i="105"/>
  <c r="Z47" i="98"/>
  <c r="W71" i="123"/>
  <c r="W58" i="123"/>
  <c r="X89" i="98"/>
  <c r="Y44" i="105"/>
  <c r="X13" i="102"/>
  <c r="X19" i="102"/>
  <c r="AA48" i="95"/>
  <c r="Z76" i="4"/>
  <c r="Z71" i="4" s="1"/>
  <c r="Y7" i="95"/>
  <c r="Z50" i="95"/>
  <c r="Y49" i="95"/>
  <c r="Z45" i="98"/>
  <c r="Z22" i="105"/>
  <c r="V6" i="123"/>
  <c r="Z22" i="4"/>
  <c r="Z45" i="95"/>
  <c r="V23" i="123"/>
  <c r="Z22" i="89"/>
  <c r="AA23" i="89"/>
  <c r="AC25" i="100"/>
  <c r="AC58" i="100" s="1"/>
  <c r="AB58" i="100"/>
  <c r="V39" i="89"/>
  <c r="W39" i="89" s="1"/>
  <c r="X39" i="89" s="1"/>
  <c r="Y39" i="89" s="1"/>
  <c r="Z39" i="89" s="1"/>
  <c r="AA39" i="89" s="1"/>
  <c r="AB39" i="89" s="1"/>
  <c r="I93" i="89"/>
  <c r="I92" i="89"/>
  <c r="I80" i="89"/>
  <c r="J80" i="89" s="1"/>
  <c r="K80" i="89" s="1"/>
  <c r="L80" i="89" s="1"/>
  <c r="M80" i="89" s="1"/>
  <c r="N80" i="89" s="1"/>
  <c r="O80" i="89" s="1"/>
  <c r="P80" i="89" s="1"/>
  <c r="Q80" i="89" s="1"/>
  <c r="R80" i="89" s="1"/>
  <c r="S80" i="89" s="1"/>
  <c r="T80" i="89" s="1"/>
  <c r="I90" i="89"/>
  <c r="I59" i="89"/>
  <c r="J59" i="89" s="1"/>
  <c r="K59" i="89" s="1"/>
  <c r="L59" i="89" s="1"/>
  <c r="M59" i="89" s="1"/>
  <c r="N59" i="89" s="1"/>
  <c r="O59" i="89" s="1"/>
  <c r="P59" i="89" s="1"/>
  <c r="Q59" i="89" s="1"/>
  <c r="R59" i="89" s="1"/>
  <c r="S59" i="89" s="1"/>
  <c r="T59" i="89" s="1"/>
  <c r="Y46" i="79"/>
  <c r="Y3" i="79"/>
  <c r="U52" i="89" s="1"/>
  <c r="AA76" i="95"/>
  <c r="AB31" i="89"/>
  <c r="AC34" i="4" s="1"/>
  <c r="AB34" i="4"/>
  <c r="O102" i="123"/>
  <c r="AB59" i="97"/>
  <c r="AC81" i="103"/>
  <c r="AC79" i="103" s="1"/>
  <c r="AA26" i="102"/>
  <c r="AC35" i="103"/>
  <c r="AB10" i="102"/>
  <c r="AB21" i="97"/>
  <c r="AB8" i="97" s="1"/>
  <c r="Z56" i="97"/>
  <c r="AA78" i="103" s="1"/>
  <c r="Z27" i="102" s="1"/>
  <c r="Y60" i="97"/>
  <c r="T59" i="104"/>
  <c r="U22" i="104"/>
  <c r="AB54" i="97"/>
  <c r="AC67" i="103" s="1"/>
  <c r="AC65" i="103" s="1"/>
  <c r="W21" i="104" s="1"/>
  <c r="AA58" i="97"/>
  <c r="AB73" i="95"/>
  <c r="Y26" i="80"/>
  <c r="Y47" i="80" s="1"/>
  <c r="Z6" i="80"/>
  <c r="AB6" i="80" s="1"/>
  <c r="Z50" i="80"/>
  <c r="AB50" i="80" s="1"/>
  <c r="Y70" i="80"/>
  <c r="D5" i="79"/>
  <c r="E5" i="79" s="1"/>
  <c r="AD5" i="79"/>
  <c r="AD25" i="79" s="1"/>
  <c r="Z25" i="79"/>
  <c r="J81" i="89" l="1"/>
  <c r="J91" i="89"/>
  <c r="K91" i="89" s="1"/>
  <c r="W6" i="123"/>
  <c r="W23" i="123"/>
  <c r="AA45" i="98"/>
  <c r="AA22" i="105"/>
  <c r="AA43" i="105"/>
  <c r="AA47" i="98"/>
  <c r="AB31" i="99"/>
  <c r="AC34" i="105" s="1"/>
  <c r="AB34" i="105"/>
  <c r="Y19" i="102"/>
  <c r="Z44" i="105"/>
  <c r="Y13" i="102"/>
  <c r="AA50" i="95"/>
  <c r="Z49" i="95"/>
  <c r="Z36" i="95"/>
  <c r="Z4" i="95" s="1"/>
  <c r="AA15" i="4" s="1"/>
  <c r="AA50" i="98"/>
  <c r="Z49" i="98"/>
  <c r="AA37" i="98"/>
  <c r="Z36" i="98"/>
  <c r="Z4" i="98" s="1"/>
  <c r="AA15" i="105" s="1"/>
  <c r="Z43" i="4"/>
  <c r="Y13" i="5"/>
  <c r="Y19" i="5"/>
  <c r="AA22" i="4"/>
  <c r="AA45" i="95"/>
  <c r="Z7" i="95"/>
  <c r="AA42" i="4"/>
  <c r="AA47" i="95"/>
  <c r="Y46" i="95"/>
  <c r="Z89" i="95"/>
  <c r="X71" i="123"/>
  <c r="X58" i="123"/>
  <c r="Y89" i="98"/>
  <c r="AA77" i="105"/>
  <c r="AA72" i="105" s="1"/>
  <c r="AB48" i="98"/>
  <c r="AB77" i="105" s="1"/>
  <c r="AB72" i="105" s="1"/>
  <c r="AA76" i="4"/>
  <c r="AA71" i="4" s="1"/>
  <c r="AB48" i="95"/>
  <c r="AB76" i="4" s="1"/>
  <c r="AB71" i="4" s="1"/>
  <c r="X51" i="123"/>
  <c r="X38" i="123"/>
  <c r="AA23" i="99"/>
  <c r="Z22" i="99"/>
  <c r="AA22" i="89"/>
  <c r="AB23" i="89"/>
  <c r="AB22" i="89" s="1"/>
  <c r="J92" i="89"/>
  <c r="V92" i="89"/>
  <c r="J93" i="89"/>
  <c r="V93" i="89"/>
  <c r="Z46" i="79"/>
  <c r="Z3" i="79"/>
  <c r="V52" i="89" s="1"/>
  <c r="V90" i="89"/>
  <c r="J90" i="89"/>
  <c r="X81" i="89"/>
  <c r="K81" i="89"/>
  <c r="AB76" i="95"/>
  <c r="AB26" i="102"/>
  <c r="W26" i="104"/>
  <c r="W61" i="104"/>
  <c r="W71" i="104"/>
  <c r="AA56" i="97"/>
  <c r="AB78" i="103" s="1"/>
  <c r="AA27" i="102" s="1"/>
  <c r="Z60" i="97"/>
  <c r="U59" i="104"/>
  <c r="W22" i="104"/>
  <c r="V22" i="104"/>
  <c r="AB58" i="97"/>
  <c r="Z26" i="80"/>
  <c r="Z47" i="80" s="1"/>
  <c r="D6" i="80"/>
  <c r="E6" i="80" s="1"/>
  <c r="AD6" i="80"/>
  <c r="AD26" i="80" s="1"/>
  <c r="AD50" i="80"/>
  <c r="AD70" i="80" s="1"/>
  <c r="D50" i="80"/>
  <c r="E50" i="80" s="1"/>
  <c r="Z70" i="80"/>
  <c r="W91" i="89" l="1"/>
  <c r="X6" i="123"/>
  <c r="X23" i="123"/>
  <c r="AA89" i="95"/>
  <c r="Z46" i="95"/>
  <c r="AB36" i="95"/>
  <c r="AB4" i="95" s="1"/>
  <c r="AC15" i="4" s="1"/>
  <c r="AA36" i="95"/>
  <c r="AA4" i="95" s="1"/>
  <c r="AB15" i="4" s="1"/>
  <c r="Z38" i="123"/>
  <c r="Z51" i="123"/>
  <c r="AB42" i="4"/>
  <c r="AB47" i="95"/>
  <c r="AC42" i="4" s="1"/>
  <c r="AB47" i="98"/>
  <c r="AC43" i="105" s="1"/>
  <c r="AB43" i="105"/>
  <c r="Y51" i="123"/>
  <c r="Y38" i="123"/>
  <c r="Z19" i="5"/>
  <c r="AA43" i="4"/>
  <c r="Z13" i="5"/>
  <c r="Z13" i="102"/>
  <c r="Z19" i="102"/>
  <c r="AA44" i="105"/>
  <c r="Z71" i="123"/>
  <c r="Z58" i="123"/>
  <c r="AB37" i="98"/>
  <c r="AB36" i="98" s="1"/>
  <c r="AB4" i="98" s="1"/>
  <c r="AC15" i="105" s="1"/>
  <c r="AA36" i="98"/>
  <c r="AA4" i="98" s="1"/>
  <c r="AB15" i="105" s="1"/>
  <c r="AA49" i="95"/>
  <c r="AB50" i="95"/>
  <c r="AB49" i="95" s="1"/>
  <c r="Y71" i="123"/>
  <c r="Y58" i="123"/>
  <c r="AB23" i="99"/>
  <c r="AB22" i="99" s="1"/>
  <c r="AA22" i="99"/>
  <c r="Z89" i="98"/>
  <c r="AB7" i="95"/>
  <c r="AA7" i="95"/>
  <c r="AB22" i="105"/>
  <c r="AB45" i="98"/>
  <c r="AC22" i="105" s="1"/>
  <c r="AB45" i="95"/>
  <c r="AC22" i="4" s="1"/>
  <c r="AB22" i="4"/>
  <c r="AB50" i="98"/>
  <c r="AB49" i="98" s="1"/>
  <c r="AA49" i="98"/>
  <c r="X91" i="89"/>
  <c r="L91" i="89"/>
  <c r="L81" i="89"/>
  <c r="Y81" i="89"/>
  <c r="K93" i="89"/>
  <c r="W93" i="89"/>
  <c r="K90" i="89"/>
  <c r="W90" i="89"/>
  <c r="W92" i="89"/>
  <c r="K92" i="89"/>
  <c r="P101" i="123"/>
  <c r="Q99" i="123"/>
  <c r="AB56" i="97"/>
  <c r="AC78" i="103" s="1"/>
  <c r="AB27" i="102" s="1"/>
  <c r="AA60" i="97"/>
  <c r="V59" i="104"/>
  <c r="Y6" i="123" l="1"/>
  <c r="Z23" i="123"/>
  <c r="AB19" i="5"/>
  <c r="AC43" i="4"/>
  <c r="AB13" i="5"/>
  <c r="AB43" i="4"/>
  <c r="AA19" i="5"/>
  <c r="AA13" i="5"/>
  <c r="Y23" i="123"/>
  <c r="Z6" i="123"/>
  <c r="AB44" i="105"/>
  <c r="AA19" i="102"/>
  <c r="AA13" i="102"/>
  <c r="AA89" i="98"/>
  <c r="AC44" i="105"/>
  <c r="AB19" i="102"/>
  <c r="AB13" i="102"/>
  <c r="AB89" i="95"/>
  <c r="AB46" i="95" s="1"/>
  <c r="AA46" i="95"/>
  <c r="X93" i="89"/>
  <c r="L93" i="89"/>
  <c r="L90" i="89"/>
  <c r="X90" i="89"/>
  <c r="M81" i="89"/>
  <c r="Z81" i="89"/>
  <c r="M91" i="89"/>
  <c r="Y91" i="89"/>
  <c r="L92" i="89"/>
  <c r="X92" i="89"/>
  <c r="P102" i="123"/>
  <c r="AB60" i="97"/>
  <c r="W59" i="104"/>
  <c r="AB89" i="98" l="1"/>
  <c r="N91" i="89"/>
  <c r="Z91" i="89"/>
  <c r="M90" i="89"/>
  <c r="Y90" i="89"/>
  <c r="N81" i="89"/>
  <c r="AA81" i="89"/>
  <c r="Y93" i="89"/>
  <c r="M93" i="89"/>
  <c r="M92" i="89"/>
  <c r="Y92" i="89"/>
  <c r="N93" i="89" l="1"/>
  <c r="Z93" i="89"/>
  <c r="N90" i="89"/>
  <c r="Z90" i="89"/>
  <c r="O81" i="89"/>
  <c r="P81" i="89" s="1"/>
  <c r="Q81" i="89" s="1"/>
  <c r="R81" i="89" s="1"/>
  <c r="S81" i="89" s="1"/>
  <c r="T81" i="89" s="1"/>
  <c r="AB81" i="89"/>
  <c r="N92" i="89"/>
  <c r="Z92" i="89"/>
  <c r="AA91" i="89"/>
  <c r="O91" i="89"/>
  <c r="Q101" i="123"/>
  <c r="R99" i="123"/>
  <c r="J25" i="79"/>
  <c r="O92" i="89" l="1"/>
  <c r="AA92" i="89"/>
  <c r="O90" i="89"/>
  <c r="AA90" i="89"/>
  <c r="P91" i="89"/>
  <c r="Q91" i="89" s="1"/>
  <c r="R91" i="89" s="1"/>
  <c r="S91" i="89" s="1"/>
  <c r="T91" i="89" s="1"/>
  <c r="AB91" i="89"/>
  <c r="O93" i="89"/>
  <c r="AA93" i="89"/>
  <c r="Q102" i="123"/>
  <c r="S99" i="123"/>
  <c r="K25" i="79"/>
  <c r="K3" i="80" l="1"/>
  <c r="K4" i="80"/>
  <c r="P90" i="89"/>
  <c r="Q90" i="89" s="1"/>
  <c r="R90" i="89" s="1"/>
  <c r="S90" i="89" s="1"/>
  <c r="T90" i="89" s="1"/>
  <c r="AB90" i="89"/>
  <c r="AB93" i="89"/>
  <c r="P93" i="89"/>
  <c r="Q93" i="89" s="1"/>
  <c r="R93" i="89" s="1"/>
  <c r="S93" i="89" s="1"/>
  <c r="T93" i="89" s="1"/>
  <c r="P92" i="89"/>
  <c r="Q92" i="89" s="1"/>
  <c r="R92" i="89" s="1"/>
  <c r="S92" i="89" s="1"/>
  <c r="T92" i="89" s="1"/>
  <c r="AB92" i="89"/>
  <c r="T101" i="123"/>
  <c r="R101" i="123"/>
  <c r="S101" i="123"/>
  <c r="T99" i="123"/>
  <c r="J4" i="80" l="1"/>
  <c r="J3" i="80"/>
  <c r="T102" i="123"/>
  <c r="U99" i="123"/>
  <c r="R102" i="123"/>
  <c r="S102" i="123"/>
  <c r="K3" i="79"/>
  <c r="AE70" i="80"/>
  <c r="J3" i="79"/>
  <c r="AE69" i="79"/>
  <c r="L25" i="79"/>
  <c r="V99" i="123" l="1"/>
  <c r="E40" i="89"/>
  <c r="E56" i="99"/>
  <c r="F47" i="100" s="1"/>
  <c r="F40" i="89"/>
  <c r="F56" i="99"/>
  <c r="G47" i="100" s="1"/>
  <c r="L46" i="79"/>
  <c r="M46" i="79"/>
  <c r="L3" i="79"/>
  <c r="M3" i="79"/>
  <c r="H40" i="89" l="1"/>
  <c r="G56" i="99"/>
  <c r="H65" i="99" s="1"/>
  <c r="G40" i="89"/>
  <c r="F71" i="95"/>
  <c r="G47" i="73"/>
  <c r="E71" i="95"/>
  <c r="F47" i="73"/>
  <c r="F51" i="89"/>
  <c r="F53" i="89" s="1"/>
  <c r="F68" i="89"/>
  <c r="E51" i="89"/>
  <c r="W99" i="123"/>
  <c r="E68" i="89"/>
  <c r="U101" i="123"/>
  <c r="V101" i="123"/>
  <c r="E70" i="99"/>
  <c r="E88" i="99"/>
  <c r="E71" i="98"/>
  <c r="F71" i="98"/>
  <c r="F70" i="99"/>
  <c r="F88" i="99"/>
  <c r="N3" i="79"/>
  <c r="P65" i="99" l="1"/>
  <c r="I65" i="99"/>
  <c r="G71" i="95"/>
  <c r="H71" i="95" s="1"/>
  <c r="H72" i="95" s="1"/>
  <c r="H47" i="73"/>
  <c r="G51" i="89"/>
  <c r="G68" i="89"/>
  <c r="H68" i="89" s="1"/>
  <c r="H5" i="89" s="1"/>
  <c r="G71" i="98"/>
  <c r="G72" i="98" s="1"/>
  <c r="H47" i="100"/>
  <c r="H49" i="100" s="1"/>
  <c r="G70" i="99"/>
  <c r="G88" i="99"/>
  <c r="H88" i="99" s="1"/>
  <c r="C24" i="127"/>
  <c r="C37" i="127" s="1"/>
  <c r="H60" i="89"/>
  <c r="H42" i="89"/>
  <c r="C4" i="132" s="1"/>
  <c r="C3" i="132" s="1"/>
  <c r="M3" i="80" s="1"/>
  <c r="H49" i="89"/>
  <c r="H52" i="89" s="1"/>
  <c r="F73" i="89"/>
  <c r="F64" i="89"/>
  <c r="F72" i="95"/>
  <c r="F63" i="89"/>
  <c r="V102" i="123"/>
  <c r="X99" i="123"/>
  <c r="U102" i="123"/>
  <c r="E63" i="89"/>
  <c r="E64" i="89"/>
  <c r="E53" i="89"/>
  <c r="H53" i="89" s="1"/>
  <c r="U53" i="89" s="1"/>
  <c r="F93" i="99"/>
  <c r="G49" i="100"/>
  <c r="F83" i="99"/>
  <c r="F84" i="99"/>
  <c r="F72" i="99"/>
  <c r="F72" i="98"/>
  <c r="F49" i="100"/>
  <c r="E83" i="99"/>
  <c r="E84" i="99"/>
  <c r="E72" i="99"/>
  <c r="H72" i="99" s="1"/>
  <c r="O3" i="79"/>
  <c r="K52" i="89" s="1"/>
  <c r="G93" i="99" l="1"/>
  <c r="H56" i="99"/>
  <c r="C3" i="128" s="1"/>
  <c r="C9" i="132"/>
  <c r="C10" i="132"/>
  <c r="C15" i="132"/>
  <c r="C5" i="132"/>
  <c r="C14" i="132"/>
  <c r="C8" i="132"/>
  <c r="C6" i="132"/>
  <c r="C7" i="132"/>
  <c r="C12" i="132"/>
  <c r="C11" i="132"/>
  <c r="C13" i="132"/>
  <c r="H18" i="95"/>
  <c r="H71" i="98"/>
  <c r="G72" i="95"/>
  <c r="I71" i="95"/>
  <c r="J71" i="95" s="1"/>
  <c r="K71" i="95" s="1"/>
  <c r="J65" i="99"/>
  <c r="I66" i="99"/>
  <c r="Q65" i="99"/>
  <c r="H64" i="99"/>
  <c r="H41" i="99" s="1"/>
  <c r="H63" i="99"/>
  <c r="H40" i="99" s="1"/>
  <c r="I88" i="99"/>
  <c r="H62" i="99"/>
  <c r="H39" i="99" s="1"/>
  <c r="G84" i="99"/>
  <c r="H84" i="99" s="1"/>
  <c r="G83" i="99"/>
  <c r="H83" i="99" s="1"/>
  <c r="G72" i="99"/>
  <c r="H35" i="89"/>
  <c r="H31" i="95"/>
  <c r="H44" i="89"/>
  <c r="H46" i="89"/>
  <c r="I68" i="89"/>
  <c r="G53" i="89"/>
  <c r="G63" i="89"/>
  <c r="H63" i="89" s="1"/>
  <c r="U63" i="89" s="1"/>
  <c r="V63" i="89" s="1"/>
  <c r="W63" i="89" s="1"/>
  <c r="X63" i="89" s="1"/>
  <c r="Y63" i="89" s="1"/>
  <c r="Z63" i="89" s="1"/>
  <c r="AA63" i="89" s="1"/>
  <c r="AB63" i="89" s="1"/>
  <c r="G64" i="89"/>
  <c r="H64" i="89" s="1"/>
  <c r="C25" i="127"/>
  <c r="H59" i="99"/>
  <c r="C5" i="127" s="1"/>
  <c r="G73" i="89"/>
  <c r="V53" i="89"/>
  <c r="W53" i="89" s="1"/>
  <c r="X53" i="89" s="1"/>
  <c r="H51" i="89"/>
  <c r="H50" i="89" s="1"/>
  <c r="C38" i="127" s="1"/>
  <c r="C39" i="127" s="1"/>
  <c r="I53" i="89"/>
  <c r="J53" i="89" s="1"/>
  <c r="K53" i="89" s="1"/>
  <c r="L53" i="89" s="1"/>
  <c r="M53" i="89" s="1"/>
  <c r="N53" i="89" s="1"/>
  <c r="O53" i="89" s="1"/>
  <c r="P53" i="89" s="1"/>
  <c r="Q53" i="89" s="1"/>
  <c r="R53" i="89" s="1"/>
  <c r="S53" i="89" s="1"/>
  <c r="T53" i="89" s="1"/>
  <c r="W101" i="123"/>
  <c r="Y99" i="123"/>
  <c r="P3" i="79"/>
  <c r="H18" i="98" l="1"/>
  <c r="H5" i="99"/>
  <c r="H31" i="98" s="1"/>
  <c r="H70" i="99"/>
  <c r="H75" i="99" s="1"/>
  <c r="I71" i="98"/>
  <c r="J71" i="98" s="1"/>
  <c r="K71" i="98" s="1"/>
  <c r="L71" i="98" s="1"/>
  <c r="M71" i="98" s="1"/>
  <c r="N71" i="98" s="1"/>
  <c r="O71" i="98" s="1"/>
  <c r="P71" i="98" s="1"/>
  <c r="Q71" i="98" s="1"/>
  <c r="R71" i="98" s="1"/>
  <c r="S71" i="98" s="1"/>
  <c r="T71" i="98" s="1"/>
  <c r="U71" i="98" s="1"/>
  <c r="V71" i="98" s="1"/>
  <c r="W71" i="98" s="1"/>
  <c r="C14" i="128"/>
  <c r="C16" i="127" s="1"/>
  <c r="C11" i="128"/>
  <c r="C13" i="127" s="1"/>
  <c r="C8" i="128"/>
  <c r="C10" i="127" s="1"/>
  <c r="C10" i="128"/>
  <c r="C12" i="127" s="1"/>
  <c r="C9" i="128"/>
  <c r="C11" i="127" s="1"/>
  <c r="C5" i="128"/>
  <c r="C13" i="128"/>
  <c r="C15" i="127" s="1"/>
  <c r="C15" i="128"/>
  <c r="C7" i="128"/>
  <c r="C9" i="127" s="1"/>
  <c r="C6" i="128"/>
  <c r="C8" i="127" s="1"/>
  <c r="C12" i="128"/>
  <c r="C14" i="127" s="1"/>
  <c r="H80" i="99"/>
  <c r="C4" i="127"/>
  <c r="H49" i="99"/>
  <c r="H50" i="99"/>
  <c r="H68" i="99"/>
  <c r="C16" i="132"/>
  <c r="H72" i="98"/>
  <c r="H38" i="99"/>
  <c r="I35" i="105" s="1"/>
  <c r="R65" i="99"/>
  <c r="K65" i="99"/>
  <c r="J66" i="99"/>
  <c r="U64" i="89"/>
  <c r="V64" i="89" s="1"/>
  <c r="W64" i="89" s="1"/>
  <c r="X64" i="89" s="1"/>
  <c r="Y64" i="89" s="1"/>
  <c r="Z64" i="89" s="1"/>
  <c r="AA64" i="89" s="1"/>
  <c r="AB64" i="89" s="1"/>
  <c r="L52" i="89"/>
  <c r="M52" i="89"/>
  <c r="I63" i="99"/>
  <c r="I40" i="99" s="1"/>
  <c r="I64" i="99"/>
  <c r="I41" i="99" s="1"/>
  <c r="J88" i="99"/>
  <c r="U84" i="99"/>
  <c r="I84" i="99" s="1"/>
  <c r="I46" i="89"/>
  <c r="J68" i="89"/>
  <c r="I44" i="89"/>
  <c r="I12" i="4"/>
  <c r="H28" i="89"/>
  <c r="I35" i="4" s="1"/>
  <c r="I33" i="4" s="1"/>
  <c r="U83" i="99"/>
  <c r="I83" i="99" s="1"/>
  <c r="H54" i="89"/>
  <c r="H7" i="89" s="1"/>
  <c r="H55" i="89"/>
  <c r="H10" i="89" s="1"/>
  <c r="H61" i="89"/>
  <c r="H12" i="95" s="1"/>
  <c r="I47" i="73"/>
  <c r="W102" i="123"/>
  <c r="Z99" i="123"/>
  <c r="Y53" i="89"/>
  <c r="H6" i="89"/>
  <c r="H43" i="89"/>
  <c r="H45" i="89" s="1"/>
  <c r="L71" i="95"/>
  <c r="H71" i="99" l="1"/>
  <c r="H69" i="99"/>
  <c r="I47" i="100" s="1"/>
  <c r="I49" i="100" s="1"/>
  <c r="J73" i="100" s="1"/>
  <c r="O73" i="100" s="1"/>
  <c r="H35" i="99"/>
  <c r="I12" i="105" s="1"/>
  <c r="H74" i="99"/>
  <c r="H7" i="99" s="1"/>
  <c r="C16" i="128"/>
  <c r="C7" i="127"/>
  <c r="C17" i="127" s="1"/>
  <c r="H48" i="99"/>
  <c r="C30" i="104" s="1"/>
  <c r="C31" i="104" s="1"/>
  <c r="I64" i="89"/>
  <c r="J64" i="89" s="1"/>
  <c r="K64" i="89" s="1"/>
  <c r="L64" i="89" s="1"/>
  <c r="M64" i="89" s="1"/>
  <c r="N64" i="89" s="1"/>
  <c r="O64" i="89" s="1"/>
  <c r="P64" i="89" s="1"/>
  <c r="Q64" i="89" s="1"/>
  <c r="R64" i="89" s="1"/>
  <c r="S64" i="89" s="1"/>
  <c r="T64" i="89" s="1"/>
  <c r="L65" i="99"/>
  <c r="K66" i="99"/>
  <c r="S65" i="99"/>
  <c r="V83" i="99"/>
  <c r="J83" i="99"/>
  <c r="V84" i="99"/>
  <c r="J84" i="99"/>
  <c r="J64" i="99"/>
  <c r="J41" i="99" s="1"/>
  <c r="K88" i="99"/>
  <c r="J46" i="89"/>
  <c r="K68" i="89"/>
  <c r="J44" i="89"/>
  <c r="H62" i="89"/>
  <c r="I48" i="73"/>
  <c r="AA101" i="123"/>
  <c r="X101" i="123"/>
  <c r="Y101" i="123"/>
  <c r="AA99" i="123"/>
  <c r="Z101" i="123"/>
  <c r="X71" i="98"/>
  <c r="H10" i="99"/>
  <c r="H14" i="99" s="1"/>
  <c r="H19" i="98" s="1"/>
  <c r="I48" i="100"/>
  <c r="I51" i="100" s="1"/>
  <c r="J75" i="100" s="1"/>
  <c r="O75" i="100" s="1"/>
  <c r="P75" i="100" s="1"/>
  <c r="Q75" i="100" s="1"/>
  <c r="Z53" i="89"/>
  <c r="I24" i="100"/>
  <c r="I59" i="100" s="1"/>
  <c r="H13" i="89"/>
  <c r="H23" i="95" s="1"/>
  <c r="H11" i="89"/>
  <c r="H12" i="89"/>
  <c r="H15" i="89"/>
  <c r="H14" i="89"/>
  <c r="H19" i="95" s="1"/>
  <c r="M71" i="95"/>
  <c r="H6" i="99" l="1"/>
  <c r="H15" i="99" s="1"/>
  <c r="H81" i="99"/>
  <c r="H82" i="99" s="1"/>
  <c r="H60" i="99"/>
  <c r="C18" i="127"/>
  <c r="C19" i="127" s="1"/>
  <c r="H28" i="99"/>
  <c r="I36" i="105" s="1"/>
  <c r="I33" i="105" s="1"/>
  <c r="P73" i="100"/>
  <c r="Q73" i="100" s="1"/>
  <c r="K73" i="100"/>
  <c r="L73" i="100" s="1"/>
  <c r="M73" i="100" s="1"/>
  <c r="N73" i="100" s="1"/>
  <c r="K75" i="100"/>
  <c r="J65" i="100"/>
  <c r="J69" i="100"/>
  <c r="N69" i="100" s="1"/>
  <c r="J67" i="100"/>
  <c r="J71" i="100"/>
  <c r="N71" i="100" s="1"/>
  <c r="O71" i="100" s="1"/>
  <c r="P71" i="100" s="1"/>
  <c r="Q71" i="100" s="1"/>
  <c r="J51" i="100"/>
  <c r="Q67" i="100" s="1"/>
  <c r="Q51" i="100" s="1"/>
  <c r="J49" i="100"/>
  <c r="K49" i="100" s="1"/>
  <c r="T65" i="99"/>
  <c r="M65" i="99"/>
  <c r="L66" i="99"/>
  <c r="W84" i="99"/>
  <c r="K84" i="99"/>
  <c r="K46" i="89"/>
  <c r="K44" i="89"/>
  <c r="L68" i="89"/>
  <c r="K64" i="99"/>
  <c r="K41" i="99" s="1"/>
  <c r="L88" i="99"/>
  <c r="W83" i="99"/>
  <c r="K83" i="99"/>
  <c r="AA102" i="123"/>
  <c r="Y102" i="123"/>
  <c r="X102" i="123"/>
  <c r="Z102" i="123"/>
  <c r="H26" i="95"/>
  <c r="H30" i="95" s="1"/>
  <c r="I12" i="100"/>
  <c r="I27" i="100"/>
  <c r="I20" i="105" s="1"/>
  <c r="I18" i="105"/>
  <c r="AA53" i="89"/>
  <c r="H21" i="98"/>
  <c r="H22" i="98"/>
  <c r="H20" i="98"/>
  <c r="Y71" i="98"/>
  <c r="H4" i="89"/>
  <c r="H24" i="95"/>
  <c r="H25" i="95"/>
  <c r="N71" i="95"/>
  <c r="H20" i="95"/>
  <c r="H21" i="95"/>
  <c r="H22" i="95"/>
  <c r="H13" i="99" l="1"/>
  <c r="H23" i="98" s="1"/>
  <c r="H24" i="98" s="1"/>
  <c r="H12" i="99"/>
  <c r="H11" i="99"/>
  <c r="H26" i="98" s="1"/>
  <c r="H27" i="98" s="1"/>
  <c r="H12" i="98"/>
  <c r="L75" i="100"/>
  <c r="M75" i="100" s="1"/>
  <c r="N75" i="100" s="1"/>
  <c r="O69" i="100"/>
  <c r="P69" i="100" s="1"/>
  <c r="Q69" i="100" s="1"/>
  <c r="K71" i="100"/>
  <c r="L71" i="100" s="1"/>
  <c r="M71" i="100" s="1"/>
  <c r="K69" i="100"/>
  <c r="L69" i="100" s="1"/>
  <c r="M69" i="100" s="1"/>
  <c r="Q65" i="100"/>
  <c r="Q49" i="100" s="1"/>
  <c r="R49" i="100" s="1"/>
  <c r="S49" i="100" s="1"/>
  <c r="T49" i="100" s="1"/>
  <c r="U49" i="100" s="1"/>
  <c r="K67" i="100"/>
  <c r="K65" i="100"/>
  <c r="N65" i="99"/>
  <c r="M66" i="99"/>
  <c r="U65" i="99"/>
  <c r="H17" i="89"/>
  <c r="H3" i="89" s="1"/>
  <c r="C3" i="129"/>
  <c r="X83" i="99"/>
  <c r="L83" i="99"/>
  <c r="L46" i="89"/>
  <c r="L44" i="89"/>
  <c r="M68" i="89"/>
  <c r="L64" i="99"/>
  <c r="L41" i="99" s="1"/>
  <c r="M88" i="99"/>
  <c r="X84" i="99"/>
  <c r="L84" i="99"/>
  <c r="K51" i="100"/>
  <c r="H17" i="95"/>
  <c r="Q4" i="108"/>
  <c r="Q7" i="108" s="1"/>
  <c r="Z71" i="98"/>
  <c r="I17" i="105"/>
  <c r="AB53" i="89"/>
  <c r="O71" i="95"/>
  <c r="H25" i="98" l="1"/>
  <c r="H17" i="98"/>
  <c r="H4" i="99"/>
  <c r="H17" i="99" s="1"/>
  <c r="H3" i="99" s="1"/>
  <c r="H30" i="98"/>
  <c r="H28" i="98"/>
  <c r="H29" i="98"/>
  <c r="V65" i="99"/>
  <c r="O65" i="99"/>
  <c r="N66" i="99"/>
  <c r="E28" i="46"/>
  <c r="C35" i="129"/>
  <c r="Y84" i="99"/>
  <c r="M84" i="99"/>
  <c r="Y83" i="99"/>
  <c r="M83" i="99"/>
  <c r="M64" i="99"/>
  <c r="M41" i="99" s="1"/>
  <c r="N88" i="99"/>
  <c r="M46" i="89"/>
  <c r="N68" i="89"/>
  <c r="M44" i="89"/>
  <c r="V49" i="100"/>
  <c r="W49" i="100" s="1"/>
  <c r="X49" i="100" s="1"/>
  <c r="Y49" i="100" s="1"/>
  <c r="Z49" i="100" s="1"/>
  <c r="AA49" i="100" s="1"/>
  <c r="AB49" i="100" s="1"/>
  <c r="AC49" i="100" s="1"/>
  <c r="D18" i="126"/>
  <c r="R51" i="100"/>
  <c r="S51" i="100" s="1"/>
  <c r="T51" i="100" s="1"/>
  <c r="U51" i="100" s="1"/>
  <c r="G107" i="123"/>
  <c r="H20" i="99"/>
  <c r="H18" i="99" s="1"/>
  <c r="H48" i="97"/>
  <c r="H54" i="98"/>
  <c r="H44" i="98" s="1"/>
  <c r="I32" i="105" s="1"/>
  <c r="I30" i="105" s="1"/>
  <c r="E28" i="106"/>
  <c r="AA71" i="98"/>
  <c r="P71" i="95"/>
  <c r="C32" i="129" l="1"/>
  <c r="I10" i="105"/>
  <c r="E25" i="46" s="1"/>
  <c r="E26" i="46" s="1"/>
  <c r="O66" i="99"/>
  <c r="P66" i="99" s="1"/>
  <c r="Q66" i="99" s="1"/>
  <c r="R66" i="99" s="1"/>
  <c r="S66" i="99" s="1"/>
  <c r="T66" i="99" s="1"/>
  <c r="U66" i="99" s="1"/>
  <c r="V66" i="99" s="1"/>
  <c r="W65" i="99"/>
  <c r="N64" i="99"/>
  <c r="N41" i="99" s="1"/>
  <c r="O88" i="99"/>
  <c r="N46" i="89"/>
  <c r="O68" i="89"/>
  <c r="N44" i="89"/>
  <c r="Z83" i="99"/>
  <c r="N83" i="99"/>
  <c r="Z84" i="99"/>
  <c r="N84" i="99"/>
  <c r="V51" i="100"/>
  <c r="W51" i="100" s="1"/>
  <c r="X51" i="100" s="1"/>
  <c r="Y51" i="100" s="1"/>
  <c r="Z51" i="100" s="1"/>
  <c r="AA51" i="100" s="1"/>
  <c r="AB51" i="100" s="1"/>
  <c r="AC51" i="100" s="1"/>
  <c r="D20" i="126"/>
  <c r="E20" i="126" s="1"/>
  <c r="I75" i="103"/>
  <c r="I76" i="103" s="1"/>
  <c r="AB71" i="98"/>
  <c r="Q71" i="95"/>
  <c r="E25" i="106" l="1"/>
  <c r="E26" i="106" s="1"/>
  <c r="I9" i="105"/>
  <c r="H47" i="97" s="1"/>
  <c r="I34" i="103" s="1"/>
  <c r="C68" i="104"/>
  <c r="X65" i="99"/>
  <c r="W66" i="99"/>
  <c r="O46" i="89"/>
  <c r="P68" i="89"/>
  <c r="O44" i="89"/>
  <c r="AA84" i="99"/>
  <c r="O84" i="99"/>
  <c r="O64" i="99"/>
  <c r="O41" i="99" s="1"/>
  <c r="P88" i="99"/>
  <c r="AA83" i="99"/>
  <c r="O83" i="99"/>
  <c r="G108" i="123"/>
  <c r="R71" i="95"/>
  <c r="C33" i="129" l="1"/>
  <c r="G47" i="123"/>
  <c r="H50" i="97"/>
  <c r="I24" i="103" s="1"/>
  <c r="I23" i="103" s="1"/>
  <c r="H17" i="102" s="1"/>
  <c r="Y65" i="99"/>
  <c r="X66" i="99"/>
  <c r="P64" i="99"/>
  <c r="P41" i="99" s="1"/>
  <c r="Q88" i="99"/>
  <c r="AB84" i="99"/>
  <c r="P84" i="99"/>
  <c r="Q84" i="99" s="1"/>
  <c r="R84" i="99" s="1"/>
  <c r="S84" i="99" s="1"/>
  <c r="T84" i="99" s="1"/>
  <c r="AB83" i="99"/>
  <c r="P83" i="99"/>
  <c r="Q83" i="99" s="1"/>
  <c r="R83" i="99" s="1"/>
  <c r="S83" i="99" s="1"/>
  <c r="T83" i="99" s="1"/>
  <c r="P44" i="89"/>
  <c r="P46" i="89"/>
  <c r="Q68" i="89"/>
  <c r="G100" i="123"/>
  <c r="G109" i="123"/>
  <c r="G112" i="123"/>
  <c r="I33" i="103"/>
  <c r="H15" i="102"/>
  <c r="C59" i="129" s="1"/>
  <c r="S71" i="95"/>
  <c r="Z65" i="99" l="1"/>
  <c r="Y66" i="99"/>
  <c r="R68" i="89"/>
  <c r="Q46" i="89"/>
  <c r="Q44" i="89"/>
  <c r="Q64" i="99"/>
  <c r="Q41" i="99" s="1"/>
  <c r="R88" i="99"/>
  <c r="G97" i="123"/>
  <c r="G110" i="123"/>
  <c r="T71" i="95"/>
  <c r="AA65" i="99" l="1"/>
  <c r="Z66" i="99"/>
  <c r="S88" i="99"/>
  <c r="R64" i="99"/>
  <c r="R41" i="99" s="1"/>
  <c r="S68" i="89"/>
  <c r="R46" i="89"/>
  <c r="R44" i="89"/>
  <c r="G113" i="123"/>
  <c r="U71" i="95"/>
  <c r="V71" i="95" s="1"/>
  <c r="AB65" i="99" l="1"/>
  <c r="AA66" i="99"/>
  <c r="T68" i="89"/>
  <c r="S46" i="89"/>
  <c r="S44" i="89"/>
  <c r="T88" i="99"/>
  <c r="S64" i="99"/>
  <c r="S41" i="99" s="1"/>
  <c r="W71" i="95"/>
  <c r="AB66" i="99" l="1"/>
  <c r="U88" i="99"/>
  <c r="T64" i="99"/>
  <c r="T41" i="99" s="1"/>
  <c r="U68" i="89"/>
  <c r="T46" i="89"/>
  <c r="T44" i="89"/>
  <c r="X71" i="95"/>
  <c r="V88" i="99" l="1"/>
  <c r="U64" i="99"/>
  <c r="U41" i="99" s="1"/>
  <c r="V68" i="89"/>
  <c r="U46" i="89"/>
  <c r="U44" i="89"/>
  <c r="Y71" i="95"/>
  <c r="W68" i="89" l="1"/>
  <c r="V46" i="89"/>
  <c r="V44" i="89"/>
  <c r="W88" i="99"/>
  <c r="V64" i="99"/>
  <c r="V41" i="99" s="1"/>
  <c r="Z71" i="95"/>
  <c r="I26" i="73"/>
  <c r="J26" i="73" s="1"/>
  <c r="K26" i="73" s="1"/>
  <c r="I25" i="73"/>
  <c r="E2" i="73"/>
  <c r="F2" i="73" s="1"/>
  <c r="G2" i="73" s="1"/>
  <c r="H2" i="73" s="1"/>
  <c r="I2" i="73" s="1"/>
  <c r="J2" i="73" s="1"/>
  <c r="K2" i="73" s="1"/>
  <c r="L2" i="73" s="1"/>
  <c r="M2" i="73" s="1"/>
  <c r="N2" i="73" s="1"/>
  <c r="O2" i="73" s="1"/>
  <c r="P2" i="73" s="1"/>
  <c r="Q2" i="73" s="1"/>
  <c r="R2" i="73" s="1"/>
  <c r="S2" i="73" s="1"/>
  <c r="T2" i="73" s="1"/>
  <c r="U2" i="73" s="1"/>
  <c r="V2" i="73" s="1"/>
  <c r="B39" i="73"/>
  <c r="B40" i="73"/>
  <c r="B41" i="73"/>
  <c r="B42" i="73"/>
  <c r="B43" i="73"/>
  <c r="B44" i="73"/>
  <c r="J30" i="73"/>
  <c r="I30" i="73"/>
  <c r="I31" i="73" s="1"/>
  <c r="I32" i="73" s="1"/>
  <c r="I33" i="73" s="1"/>
  <c r="I34" i="73" s="1"/>
  <c r="I35" i="73" s="1"/>
  <c r="I36" i="73" s="1"/>
  <c r="I37" i="73" s="1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G25" i="5"/>
  <c r="C12" i="5"/>
  <c r="I43" i="4"/>
  <c r="J43" i="4"/>
  <c r="K43" i="4"/>
  <c r="L43" i="4"/>
  <c r="M43" i="4"/>
  <c r="N43" i="4"/>
  <c r="O43" i="4"/>
  <c r="P43" i="4"/>
  <c r="Q43" i="4"/>
  <c r="R43" i="4"/>
  <c r="D45" i="4"/>
  <c r="D44" i="4" s="1"/>
  <c r="E45" i="4"/>
  <c r="F45" i="4"/>
  <c r="G45" i="4"/>
  <c r="C45" i="4"/>
  <c r="C44" i="4" s="1"/>
  <c r="D14" i="4"/>
  <c r="E14" i="4"/>
  <c r="F14" i="4"/>
  <c r="G14" i="4"/>
  <c r="G13" i="4" s="1"/>
  <c r="C14" i="4"/>
  <c r="D23" i="4"/>
  <c r="C9" i="5" s="1"/>
  <c r="E23" i="4"/>
  <c r="F23" i="4"/>
  <c r="G23" i="4"/>
  <c r="C23" i="4"/>
  <c r="D36" i="4"/>
  <c r="E36" i="4"/>
  <c r="F36" i="4"/>
  <c r="G36" i="4"/>
  <c r="C36" i="4"/>
  <c r="D6" i="4"/>
  <c r="E6" i="4"/>
  <c r="E8" i="4" s="1"/>
  <c r="F6" i="4"/>
  <c r="G6" i="4"/>
  <c r="D7" i="4"/>
  <c r="D8" i="4" s="1"/>
  <c r="E7" i="4"/>
  <c r="F7" i="4"/>
  <c r="G7" i="4"/>
  <c r="D10" i="4"/>
  <c r="E10" i="4"/>
  <c r="E3" i="77" s="1"/>
  <c r="F10" i="4"/>
  <c r="F3" i="77" s="1"/>
  <c r="F4" i="77" s="1"/>
  <c r="G10" i="4"/>
  <c r="G3" i="77" s="1"/>
  <c r="G4" i="77" s="1"/>
  <c r="D12" i="4"/>
  <c r="E12" i="4"/>
  <c r="F12" i="4"/>
  <c r="G12" i="4"/>
  <c r="D15" i="4"/>
  <c r="E15" i="4"/>
  <c r="F15" i="4"/>
  <c r="G15" i="4"/>
  <c r="D18" i="4"/>
  <c r="C67" i="95" s="1"/>
  <c r="E18" i="4"/>
  <c r="D67" i="95" s="1"/>
  <c r="F18" i="4"/>
  <c r="E67" i="95" s="1"/>
  <c r="H67" i="95" s="1"/>
  <c r="H67" i="98" s="1"/>
  <c r="H13" i="98" s="1"/>
  <c r="H6" i="98" s="1"/>
  <c r="H3" i="98" s="1"/>
  <c r="I14" i="105" s="1"/>
  <c r="I13" i="105" s="1"/>
  <c r="G18" i="4"/>
  <c r="D20" i="4"/>
  <c r="D17" i="4" s="1"/>
  <c r="E20" i="4"/>
  <c r="E25" i="73" s="1"/>
  <c r="F20" i="4"/>
  <c r="F17" i="4" s="1"/>
  <c r="G20" i="4"/>
  <c r="D22" i="4"/>
  <c r="E22" i="4"/>
  <c r="F22" i="4"/>
  <c r="G22" i="4"/>
  <c r="E9" i="5"/>
  <c r="D25" i="4"/>
  <c r="D24" i="4" s="1"/>
  <c r="C25" i="5" s="1"/>
  <c r="E25" i="4"/>
  <c r="E24" i="4" s="1"/>
  <c r="D25" i="5" s="1"/>
  <c r="F25" i="4"/>
  <c r="F24" i="4" s="1"/>
  <c r="G25" i="4"/>
  <c r="G24" i="4" s="1"/>
  <c r="D27" i="4"/>
  <c r="E27" i="4"/>
  <c r="F27" i="4"/>
  <c r="G27" i="4"/>
  <c r="D31" i="4"/>
  <c r="E31" i="4"/>
  <c r="F31" i="4"/>
  <c r="G31" i="4"/>
  <c r="D32" i="4"/>
  <c r="E32" i="4"/>
  <c r="F32" i="4"/>
  <c r="G32" i="4"/>
  <c r="D34" i="4"/>
  <c r="E34" i="4"/>
  <c r="F34" i="4"/>
  <c r="G34" i="4"/>
  <c r="D35" i="4"/>
  <c r="E35" i="4"/>
  <c r="F35" i="4"/>
  <c r="G35" i="4"/>
  <c r="D41" i="4"/>
  <c r="C20" i="5" s="1"/>
  <c r="E41" i="4"/>
  <c r="E43" i="4" s="1"/>
  <c r="F41" i="4"/>
  <c r="G41" i="4"/>
  <c r="D42" i="4"/>
  <c r="C19" i="5" s="1"/>
  <c r="E42" i="4"/>
  <c r="D19" i="5" s="1"/>
  <c r="F42" i="4"/>
  <c r="E19" i="5" s="1"/>
  <c r="G42" i="4"/>
  <c r="E44" i="4"/>
  <c r="F44" i="4"/>
  <c r="G44" i="4"/>
  <c r="D48" i="4"/>
  <c r="E48" i="4"/>
  <c r="F48" i="4"/>
  <c r="G48" i="4"/>
  <c r="D50" i="4"/>
  <c r="E50" i="4"/>
  <c r="E53" i="4" s="1"/>
  <c r="F50" i="4"/>
  <c r="G50" i="4"/>
  <c r="C35" i="4"/>
  <c r="C42" i="4"/>
  <c r="C32" i="4"/>
  <c r="C22" i="4"/>
  <c r="C20" i="4"/>
  <c r="C18" i="4"/>
  <c r="C15" i="4"/>
  <c r="C7" i="4"/>
  <c r="C34" i="4"/>
  <c r="C33" i="4" s="1"/>
  <c r="C48" i="4"/>
  <c r="C41" i="4"/>
  <c r="C43" i="4" s="1"/>
  <c r="C31" i="4"/>
  <c r="C25" i="4"/>
  <c r="C24" i="4" s="1"/>
  <c r="C12" i="4"/>
  <c r="C6" i="4"/>
  <c r="C10" i="4"/>
  <c r="C3" i="77" s="1"/>
  <c r="G70" i="3"/>
  <c r="F70" i="3"/>
  <c r="E15" i="3"/>
  <c r="D8" i="55" s="1"/>
  <c r="D5" i="55" s="1"/>
  <c r="F9" i="3"/>
  <c r="F14" i="3"/>
  <c r="D9" i="3"/>
  <c r="E9" i="3"/>
  <c r="E12" i="3" s="1"/>
  <c r="E8" i="3" s="1"/>
  <c r="G9" i="3"/>
  <c r="G12" i="3" s="1"/>
  <c r="G8" i="3" s="1"/>
  <c r="H9" i="3"/>
  <c r="D14" i="3"/>
  <c r="E14" i="3"/>
  <c r="G14" i="3"/>
  <c r="H14" i="3"/>
  <c r="I14" i="3" s="1"/>
  <c r="D15" i="3"/>
  <c r="C8" i="55" s="1"/>
  <c r="C5" i="55" s="1"/>
  <c r="F15" i="3"/>
  <c r="E8" i="55" s="1"/>
  <c r="E5" i="55" s="1"/>
  <c r="G15" i="3"/>
  <c r="H15" i="3"/>
  <c r="G8" i="55" s="1"/>
  <c r="D16" i="3"/>
  <c r="E16" i="3"/>
  <c r="F16" i="3"/>
  <c r="G16" i="3"/>
  <c r="H16" i="3"/>
  <c r="D19" i="3"/>
  <c r="D18" i="3" s="1"/>
  <c r="E19" i="3"/>
  <c r="E18" i="3" s="1"/>
  <c r="F19" i="3"/>
  <c r="F18" i="3" s="1"/>
  <c r="G19" i="3"/>
  <c r="G18" i="3" s="1"/>
  <c r="H19" i="3"/>
  <c r="H18" i="3" s="1"/>
  <c r="D24" i="3"/>
  <c r="D23" i="3" s="1"/>
  <c r="C45" i="55" s="1"/>
  <c r="C40" i="55" s="1"/>
  <c r="E24" i="3"/>
  <c r="E23" i="3" s="1"/>
  <c r="F24" i="3"/>
  <c r="F23" i="3" s="1"/>
  <c r="G24" i="3"/>
  <c r="G23" i="3" s="1"/>
  <c r="H24" i="3"/>
  <c r="H23" i="3" s="1"/>
  <c r="D27" i="3"/>
  <c r="E27" i="3"/>
  <c r="F27" i="3"/>
  <c r="G27" i="3"/>
  <c r="H27" i="3"/>
  <c r="D34" i="3"/>
  <c r="C42" i="55" s="1"/>
  <c r="C37" i="55" s="1"/>
  <c r="E34" i="3"/>
  <c r="F34" i="3"/>
  <c r="G34" i="3"/>
  <c r="H34" i="3"/>
  <c r="D35" i="3"/>
  <c r="E35" i="3"/>
  <c r="F35" i="3"/>
  <c r="G35" i="3"/>
  <c r="H35" i="3"/>
  <c r="I35" i="3" s="1"/>
  <c r="J35" i="3" s="1"/>
  <c r="K35" i="3" s="1"/>
  <c r="L35" i="3" s="1"/>
  <c r="M35" i="3" s="1"/>
  <c r="N35" i="3" s="1"/>
  <c r="O35" i="3" s="1"/>
  <c r="P35" i="3" s="1"/>
  <c r="Q35" i="3" s="1"/>
  <c r="R35" i="3" s="1"/>
  <c r="S35" i="3" s="1"/>
  <c r="T35" i="3" s="1"/>
  <c r="U35" i="3" s="1"/>
  <c r="V35" i="3" s="1"/>
  <c r="D38" i="3"/>
  <c r="E38" i="3"/>
  <c r="F38" i="3"/>
  <c r="G38" i="3"/>
  <c r="H38" i="3"/>
  <c r="I38" i="3" s="1"/>
  <c r="J38" i="3" s="1"/>
  <c r="K38" i="3" s="1"/>
  <c r="L38" i="3" s="1"/>
  <c r="M38" i="3" s="1"/>
  <c r="N38" i="3" s="1"/>
  <c r="O38" i="3" s="1"/>
  <c r="P38" i="3" s="1"/>
  <c r="Q38" i="3" s="1"/>
  <c r="R38" i="3" s="1"/>
  <c r="S38" i="3" s="1"/>
  <c r="T38" i="3" s="1"/>
  <c r="U38" i="3" s="1"/>
  <c r="V38" i="3" s="1"/>
  <c r="W38" i="3" s="1"/>
  <c r="X38" i="3" s="1"/>
  <c r="Y38" i="3" s="1"/>
  <c r="Z38" i="3" s="1"/>
  <c r="AA38" i="3" s="1"/>
  <c r="AB38" i="3" s="1"/>
  <c r="AC38" i="3" s="1"/>
  <c r="D41" i="3"/>
  <c r="D6" i="5" s="1"/>
  <c r="E41" i="3"/>
  <c r="F41" i="3"/>
  <c r="G41" i="3"/>
  <c r="H41" i="3"/>
  <c r="D43" i="3"/>
  <c r="E43" i="3"/>
  <c r="F43" i="3"/>
  <c r="G43" i="3"/>
  <c r="H43" i="3"/>
  <c r="I43" i="3" s="1"/>
  <c r="J43" i="3" s="1"/>
  <c r="K43" i="3" s="1"/>
  <c r="L43" i="3" s="1"/>
  <c r="M43" i="3" s="1"/>
  <c r="N43" i="3" s="1"/>
  <c r="O43" i="3" s="1"/>
  <c r="P43" i="3" s="1"/>
  <c r="Q43" i="3" s="1"/>
  <c r="R43" i="3" s="1"/>
  <c r="S43" i="3" s="1"/>
  <c r="D44" i="3"/>
  <c r="E44" i="3"/>
  <c r="F44" i="3"/>
  <c r="G44" i="3"/>
  <c r="H44" i="3"/>
  <c r="I44" i="3" s="1"/>
  <c r="J44" i="3" s="1"/>
  <c r="K44" i="3" s="1"/>
  <c r="L44" i="3" s="1"/>
  <c r="M44" i="3" s="1"/>
  <c r="N44" i="3" s="1"/>
  <c r="O44" i="3" s="1"/>
  <c r="P44" i="3" s="1"/>
  <c r="Q44" i="3" s="1"/>
  <c r="R44" i="3" s="1"/>
  <c r="S44" i="3" s="1"/>
  <c r="T44" i="3" s="1"/>
  <c r="U44" i="3" s="1"/>
  <c r="V44" i="3" s="1"/>
  <c r="W44" i="3" s="1"/>
  <c r="X44" i="3" s="1"/>
  <c r="Y44" i="3" s="1"/>
  <c r="Z44" i="3" s="1"/>
  <c r="AA44" i="3" s="1"/>
  <c r="AB44" i="3" s="1"/>
  <c r="AC44" i="3" s="1"/>
  <c r="D46" i="3"/>
  <c r="E46" i="3"/>
  <c r="D49" i="3"/>
  <c r="E49" i="3"/>
  <c r="F49" i="3"/>
  <c r="G49" i="3"/>
  <c r="H49" i="3"/>
  <c r="D52" i="3"/>
  <c r="E52" i="3"/>
  <c r="F52" i="3"/>
  <c r="G52" i="3"/>
  <c r="H52" i="3"/>
  <c r="D55" i="3"/>
  <c r="E55" i="3"/>
  <c r="F55" i="3"/>
  <c r="G55" i="3"/>
  <c r="H55" i="3"/>
  <c r="D58" i="3"/>
  <c r="E58" i="3"/>
  <c r="F58" i="3"/>
  <c r="G58" i="3"/>
  <c r="H58" i="3"/>
  <c r="D59" i="3"/>
  <c r="E59" i="3"/>
  <c r="F59" i="3"/>
  <c r="G59" i="3"/>
  <c r="H59" i="3"/>
  <c r="D62" i="3"/>
  <c r="E62" i="3"/>
  <c r="F62" i="3"/>
  <c r="G62" i="3"/>
  <c r="H62" i="3"/>
  <c r="I62" i="3" s="1"/>
  <c r="J62" i="3" s="1"/>
  <c r="K62" i="3" s="1"/>
  <c r="L62" i="3" s="1"/>
  <c r="M62" i="3" s="1"/>
  <c r="N62" i="3" s="1"/>
  <c r="O62" i="3" s="1"/>
  <c r="P62" i="3" s="1"/>
  <c r="Q62" i="3" s="1"/>
  <c r="R62" i="3" s="1"/>
  <c r="S62" i="3" s="1"/>
  <c r="T62" i="3" s="1"/>
  <c r="D64" i="3"/>
  <c r="E64" i="3"/>
  <c r="F64" i="3"/>
  <c r="F61" i="3" s="1"/>
  <c r="G64" i="3"/>
  <c r="H64" i="3"/>
  <c r="I64" i="3" s="1"/>
  <c r="J64" i="3" s="1"/>
  <c r="K64" i="3" s="1"/>
  <c r="L64" i="3" s="1"/>
  <c r="M64" i="3" s="1"/>
  <c r="N64" i="3" s="1"/>
  <c r="O64" i="3" s="1"/>
  <c r="P64" i="3" s="1"/>
  <c r="Q64" i="3" s="1"/>
  <c r="R64" i="3" s="1"/>
  <c r="S64" i="3" s="1"/>
  <c r="T64" i="3" s="1"/>
  <c r="U64" i="3" s="1"/>
  <c r="V64" i="3" s="1"/>
  <c r="W64" i="3" s="1"/>
  <c r="X64" i="3" s="1"/>
  <c r="Y64" i="3" s="1"/>
  <c r="Z64" i="3" s="1"/>
  <c r="AA64" i="3" s="1"/>
  <c r="AB64" i="3" s="1"/>
  <c r="AC64" i="3" s="1"/>
  <c r="D67" i="3"/>
  <c r="C49" i="55" s="1"/>
  <c r="E67" i="3"/>
  <c r="D49" i="55" s="1"/>
  <c r="F67" i="3"/>
  <c r="E49" i="55" s="1"/>
  <c r="G67" i="3"/>
  <c r="F49" i="55" s="1"/>
  <c r="H67" i="3"/>
  <c r="G49" i="55" s="1"/>
  <c r="D68" i="3"/>
  <c r="E68" i="3"/>
  <c r="F68" i="3"/>
  <c r="G68" i="3"/>
  <c r="H68" i="3"/>
  <c r="I68" i="3" s="1"/>
  <c r="J68" i="3" s="1"/>
  <c r="K68" i="3" s="1"/>
  <c r="L68" i="3" s="1"/>
  <c r="M68" i="3" s="1"/>
  <c r="N68" i="3" s="1"/>
  <c r="O68" i="3" s="1"/>
  <c r="P68" i="3" s="1"/>
  <c r="Q68" i="3" s="1"/>
  <c r="R68" i="3" s="1"/>
  <c r="S68" i="3" s="1"/>
  <c r="T68" i="3" s="1"/>
  <c r="U68" i="3" s="1"/>
  <c r="V68" i="3" s="1"/>
  <c r="W68" i="3" s="1"/>
  <c r="X68" i="3" s="1"/>
  <c r="Y68" i="3" s="1"/>
  <c r="Z68" i="3" s="1"/>
  <c r="AA68" i="3" s="1"/>
  <c r="AB68" i="3" s="1"/>
  <c r="AC68" i="3" s="1"/>
  <c r="D72" i="3"/>
  <c r="C44" i="55" s="1"/>
  <c r="C39" i="55" s="1"/>
  <c r="E72" i="3"/>
  <c r="F72" i="3"/>
  <c r="G72" i="3"/>
  <c r="H72" i="3"/>
  <c r="D75" i="3"/>
  <c r="E75" i="3"/>
  <c r="F75" i="3"/>
  <c r="G75" i="3"/>
  <c r="H75" i="3"/>
  <c r="D76" i="3"/>
  <c r="E76" i="3"/>
  <c r="F76" i="3"/>
  <c r="G76" i="3"/>
  <c r="H76" i="3"/>
  <c r="D77" i="3"/>
  <c r="E77" i="3"/>
  <c r="F77" i="3"/>
  <c r="G77" i="3"/>
  <c r="H77" i="3"/>
  <c r="I77" i="3" s="1"/>
  <c r="J77" i="3" s="1"/>
  <c r="K77" i="3" s="1"/>
  <c r="L77" i="3" s="1"/>
  <c r="M77" i="3" s="1"/>
  <c r="N77" i="3" s="1"/>
  <c r="O77" i="3" s="1"/>
  <c r="P77" i="3" s="1"/>
  <c r="Q77" i="3" s="1"/>
  <c r="R77" i="3" s="1"/>
  <c r="S77" i="3" s="1"/>
  <c r="T77" i="3" s="1"/>
  <c r="U77" i="3" s="1"/>
  <c r="V77" i="3" s="1"/>
  <c r="W77" i="3" s="1"/>
  <c r="X77" i="3" s="1"/>
  <c r="Y77" i="3" s="1"/>
  <c r="Z77" i="3" s="1"/>
  <c r="AA77" i="3" s="1"/>
  <c r="AB77" i="3" s="1"/>
  <c r="AC77" i="3" s="1"/>
  <c r="D81" i="3"/>
  <c r="E81" i="3"/>
  <c r="E82" i="3" s="1"/>
  <c r="F81" i="3"/>
  <c r="G81" i="3"/>
  <c r="H81" i="3"/>
  <c r="G82" i="3"/>
  <c r="D84" i="3"/>
  <c r="E84" i="3"/>
  <c r="F84" i="3"/>
  <c r="G84" i="3"/>
  <c r="H84" i="3"/>
  <c r="I84" i="3" s="1"/>
  <c r="J84" i="3" s="1"/>
  <c r="K84" i="3" s="1"/>
  <c r="L84" i="3" s="1"/>
  <c r="M84" i="3" s="1"/>
  <c r="N84" i="3" s="1"/>
  <c r="O84" i="3" s="1"/>
  <c r="P84" i="3" s="1"/>
  <c r="Q84" i="3" s="1"/>
  <c r="R84" i="3" s="1"/>
  <c r="S84" i="3" s="1"/>
  <c r="D85" i="3"/>
  <c r="E85" i="3"/>
  <c r="F85" i="3"/>
  <c r="G85" i="3"/>
  <c r="H85" i="3"/>
  <c r="I85" i="3" s="1"/>
  <c r="J85" i="3" s="1"/>
  <c r="K85" i="3" s="1"/>
  <c r="L85" i="3" s="1"/>
  <c r="M85" i="3" s="1"/>
  <c r="N85" i="3" s="1"/>
  <c r="O85" i="3" s="1"/>
  <c r="P85" i="3" s="1"/>
  <c r="Q85" i="3" s="1"/>
  <c r="R85" i="3" s="1"/>
  <c r="S85" i="3" s="1"/>
  <c r="T85" i="3" s="1"/>
  <c r="U85" i="3" s="1"/>
  <c r="V85" i="3" s="1"/>
  <c r="W85" i="3" s="1"/>
  <c r="X85" i="3" s="1"/>
  <c r="Y85" i="3" s="1"/>
  <c r="Z85" i="3" s="1"/>
  <c r="AA85" i="3" s="1"/>
  <c r="AB85" i="3" s="1"/>
  <c r="AC85" i="3" s="1"/>
  <c r="C68" i="3"/>
  <c r="C84" i="3"/>
  <c r="C83" i="3" s="1"/>
  <c r="C85" i="3"/>
  <c r="C81" i="3"/>
  <c r="C82" i="3" s="1"/>
  <c r="C79" i="3" s="1"/>
  <c r="C77" i="3"/>
  <c r="C76" i="3"/>
  <c r="C75" i="3"/>
  <c r="C72" i="3"/>
  <c r="C67" i="3"/>
  <c r="C65" i="3" s="1"/>
  <c r="C64" i="3"/>
  <c r="C62" i="3"/>
  <c r="C58" i="3"/>
  <c r="C59" i="3"/>
  <c r="C44" i="3"/>
  <c r="C43" i="3"/>
  <c r="C41" i="3"/>
  <c r="C6" i="5" s="1"/>
  <c r="C38" i="3"/>
  <c r="C35" i="3"/>
  <c r="C34" i="3"/>
  <c r="C24" i="3"/>
  <c r="C23" i="3" s="1"/>
  <c r="C19" i="3"/>
  <c r="C18" i="3" s="1"/>
  <c r="C16" i="3"/>
  <c r="C15" i="3"/>
  <c r="C14" i="3"/>
  <c r="C9" i="3"/>
  <c r="C12" i="3" s="1"/>
  <c r="C8" i="3" s="1"/>
  <c r="C27" i="3"/>
  <c r="C46" i="3"/>
  <c r="C49" i="3"/>
  <c r="C52" i="3"/>
  <c r="C55" i="3"/>
  <c r="C5" i="4"/>
  <c r="D5" i="4"/>
  <c r="C27" i="4"/>
  <c r="C50" i="4"/>
  <c r="C5" i="5"/>
  <c r="D5" i="5"/>
  <c r="E6" i="5"/>
  <c r="D9" i="5"/>
  <c r="E20" i="5"/>
  <c r="C22" i="5"/>
  <c r="D22" i="5"/>
  <c r="E22" i="5"/>
  <c r="C34" i="5"/>
  <c r="D34" i="5"/>
  <c r="E34" i="5"/>
  <c r="J31" i="73" l="1"/>
  <c r="J30" i="100"/>
  <c r="J16" i="100" s="1"/>
  <c r="K16" i="100" s="1"/>
  <c r="L16" i="100" s="1"/>
  <c r="M16" i="100" s="1"/>
  <c r="N16" i="100" s="1"/>
  <c r="O16" i="100" s="1"/>
  <c r="P16" i="100" s="1"/>
  <c r="Q16" i="100" s="1"/>
  <c r="R16" i="100" s="1"/>
  <c r="S16" i="100" s="1"/>
  <c r="T16" i="100" s="1"/>
  <c r="U16" i="100" s="1"/>
  <c r="V16" i="100" s="1"/>
  <c r="W16" i="100" s="1"/>
  <c r="X16" i="100" s="1"/>
  <c r="Y16" i="100" s="1"/>
  <c r="Z16" i="100" s="1"/>
  <c r="AA16" i="100" s="1"/>
  <c r="AB16" i="100" s="1"/>
  <c r="AC16" i="100" s="1"/>
  <c r="H49" i="97"/>
  <c r="I72" i="103" s="1"/>
  <c r="C34" i="129"/>
  <c r="C36" i="129" s="1"/>
  <c r="I16" i="105"/>
  <c r="J25" i="73"/>
  <c r="I58" i="73"/>
  <c r="X88" i="99"/>
  <c r="W64" i="99"/>
  <c r="W41" i="99" s="1"/>
  <c r="X68" i="89"/>
  <c r="W46" i="89"/>
  <c r="W44" i="89"/>
  <c r="X18" i="55"/>
  <c r="X16" i="55" s="1"/>
  <c r="W35" i="3"/>
  <c r="AA71" i="95"/>
  <c r="E28" i="55"/>
  <c r="U62" i="3"/>
  <c r="T61" i="3"/>
  <c r="N18" i="129" s="1"/>
  <c r="D28" i="55"/>
  <c r="T84" i="3"/>
  <c r="S83" i="3"/>
  <c r="G65" i="3"/>
  <c r="G5" i="55"/>
  <c r="G28" i="55" s="1"/>
  <c r="H21" i="55" s="1"/>
  <c r="G17" i="3"/>
  <c r="F8" i="55"/>
  <c r="F5" i="55" s="1"/>
  <c r="F28" i="55" s="1"/>
  <c r="H12" i="3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U12" i="3" s="1"/>
  <c r="V12" i="3" s="1"/>
  <c r="W12" i="3" s="1"/>
  <c r="I9" i="3"/>
  <c r="J9" i="3" s="1"/>
  <c r="K9" i="3" s="1"/>
  <c r="L9" i="3" s="1"/>
  <c r="M9" i="3" s="1"/>
  <c r="N9" i="3" s="1"/>
  <c r="O9" i="3" s="1"/>
  <c r="P9" i="3" s="1"/>
  <c r="Q9" i="3" s="1"/>
  <c r="R9" i="3" s="1"/>
  <c r="S9" i="3" s="1"/>
  <c r="T43" i="3"/>
  <c r="S42" i="3"/>
  <c r="F7" i="55"/>
  <c r="J14" i="3"/>
  <c r="S61" i="3"/>
  <c r="M18" i="129" s="1"/>
  <c r="E30" i="5"/>
  <c r="C29" i="5"/>
  <c r="C61" i="3"/>
  <c r="D17" i="3"/>
  <c r="D13" i="3" s="1"/>
  <c r="D82" i="3"/>
  <c r="D79" i="3" s="1"/>
  <c r="C50" i="55"/>
  <c r="C43" i="55"/>
  <c r="C38" i="55" s="1"/>
  <c r="F48" i="3"/>
  <c r="E42" i="3"/>
  <c r="H78" i="3"/>
  <c r="G51" i="55" s="1"/>
  <c r="C17" i="4"/>
  <c r="G9" i="4"/>
  <c r="D20" i="5"/>
  <c r="G17" i="4"/>
  <c r="F67" i="95"/>
  <c r="E13" i="5"/>
  <c r="I67" i="95"/>
  <c r="I67" i="98" s="1"/>
  <c r="D53" i="4"/>
  <c r="G43" i="4"/>
  <c r="F25" i="5"/>
  <c r="F8" i="4"/>
  <c r="C57" i="95"/>
  <c r="C44" i="95" s="1"/>
  <c r="C83" i="89"/>
  <c r="F53" i="4"/>
  <c r="F43" i="4"/>
  <c r="E25" i="5"/>
  <c r="G25" i="73"/>
  <c r="E57" i="95"/>
  <c r="E83" i="89"/>
  <c r="H83" i="89" s="1"/>
  <c r="E13" i="4"/>
  <c r="E79" i="3"/>
  <c r="F83" i="3"/>
  <c r="G61" i="3"/>
  <c r="D30" i="5"/>
  <c r="C17" i="3"/>
  <c r="C40" i="3"/>
  <c r="C33" i="3" s="1"/>
  <c r="C22" i="3" s="1"/>
  <c r="G40" i="3"/>
  <c r="G33" i="3" s="1"/>
  <c r="G22" i="3" s="1"/>
  <c r="G83" i="3"/>
  <c r="H42" i="3"/>
  <c r="H40" i="3"/>
  <c r="H33" i="3" s="1"/>
  <c r="H22" i="3" s="1"/>
  <c r="F42" i="3"/>
  <c r="D61" i="3"/>
  <c r="H48" i="3"/>
  <c r="E48" i="3"/>
  <c r="D83" i="3"/>
  <c r="C16" i="5" s="1"/>
  <c r="D42" i="3"/>
  <c r="E40" i="3"/>
  <c r="E33" i="3" s="1"/>
  <c r="E22" i="3" s="1"/>
  <c r="E61" i="3"/>
  <c r="D48" i="3"/>
  <c r="E26" i="5"/>
  <c r="G79" i="3"/>
  <c r="C42" i="3"/>
  <c r="H61" i="3"/>
  <c r="H17" i="3"/>
  <c r="H13" i="3" s="1"/>
  <c r="H83" i="3"/>
  <c r="E83" i="3"/>
  <c r="H65" i="3"/>
  <c r="E65" i="3"/>
  <c r="D65" i="3"/>
  <c r="G48" i="3"/>
  <c r="G42" i="3"/>
  <c r="D25" i="73"/>
  <c r="D33" i="4"/>
  <c r="F25" i="73"/>
  <c r="F30" i="4"/>
  <c r="D9" i="4"/>
  <c r="D3" i="77"/>
  <c r="D43" i="4"/>
  <c r="E30" i="4"/>
  <c r="L26" i="73"/>
  <c r="G53" i="4"/>
  <c r="D30" i="4"/>
  <c r="F33" i="4"/>
  <c r="C30" i="4"/>
  <c r="E33" i="4"/>
  <c r="G8" i="4"/>
  <c r="G16" i="4" s="1"/>
  <c r="G37" i="4" s="1"/>
  <c r="D13" i="5"/>
  <c r="C8" i="4"/>
  <c r="G33" i="4"/>
  <c r="G30" i="4"/>
  <c r="E17" i="4"/>
  <c r="F9" i="4"/>
  <c r="C13" i="4"/>
  <c r="D13" i="4"/>
  <c r="D16" i="4" s="1"/>
  <c r="D37" i="4" s="1"/>
  <c r="E9" i="4"/>
  <c r="F13" i="4"/>
  <c r="C13" i="5"/>
  <c r="C53" i="4"/>
  <c r="C21" i="5"/>
  <c r="C18" i="5" s="1"/>
  <c r="C9" i="4"/>
  <c r="C11" i="5"/>
  <c r="F65" i="3"/>
  <c r="F17" i="3"/>
  <c r="F13" i="3" s="1"/>
  <c r="F12" i="3"/>
  <c r="F8" i="3" s="1"/>
  <c r="D26" i="5"/>
  <c r="F40" i="3"/>
  <c r="F33" i="3" s="1"/>
  <c r="F22" i="3" s="1"/>
  <c r="E17" i="3"/>
  <c r="E13" i="3" s="1"/>
  <c r="E7" i="3" s="1"/>
  <c r="E29" i="5"/>
  <c r="H82" i="3"/>
  <c r="H79" i="3" s="1"/>
  <c r="G78" i="3"/>
  <c r="D40" i="3"/>
  <c r="G13" i="3"/>
  <c r="G7" i="3" s="1"/>
  <c r="D12" i="3"/>
  <c r="D8" i="3" s="1"/>
  <c r="F78" i="3"/>
  <c r="F82" i="3"/>
  <c r="F79" i="3" s="1"/>
  <c r="E78" i="3"/>
  <c r="D78" i="3"/>
  <c r="C51" i="55" s="1"/>
  <c r="E10" i="5"/>
  <c r="D17" i="5"/>
  <c r="E17" i="5"/>
  <c r="D29" i="5"/>
  <c r="C78" i="3"/>
  <c r="C71" i="3" s="1"/>
  <c r="C60" i="3" s="1"/>
  <c r="C26" i="5"/>
  <c r="C48" i="3"/>
  <c r="C13" i="3"/>
  <c r="C7" i="3" s="1"/>
  <c r="C30" i="5"/>
  <c r="C28" i="5" s="1"/>
  <c r="C17" i="5"/>
  <c r="J32" i="73" l="1"/>
  <c r="J31" i="100"/>
  <c r="J17" i="100" s="1"/>
  <c r="K17" i="100" s="1"/>
  <c r="L17" i="100" s="1"/>
  <c r="M17" i="100" s="1"/>
  <c r="N17" i="100" s="1"/>
  <c r="O17" i="100" s="1"/>
  <c r="P17" i="100" s="1"/>
  <c r="Q17" i="100" s="1"/>
  <c r="R17" i="100" s="1"/>
  <c r="S17" i="100" s="1"/>
  <c r="T17" i="100" s="1"/>
  <c r="U17" i="100" s="1"/>
  <c r="V17" i="100" s="1"/>
  <c r="W17" i="100" s="1"/>
  <c r="X17" i="100" s="1"/>
  <c r="Y17" i="100" s="1"/>
  <c r="Z17" i="100" s="1"/>
  <c r="AA17" i="100" s="1"/>
  <c r="AB17" i="100" s="1"/>
  <c r="AC17" i="100" s="1"/>
  <c r="H71" i="3"/>
  <c r="H8" i="3"/>
  <c r="E27" i="46"/>
  <c r="I69" i="105"/>
  <c r="I38" i="105"/>
  <c r="E27" i="106"/>
  <c r="I71" i="103"/>
  <c r="H16" i="102"/>
  <c r="H14" i="102" s="1"/>
  <c r="K25" i="73"/>
  <c r="J58" i="73"/>
  <c r="Y68" i="89"/>
  <c r="X44" i="89"/>
  <c r="X46" i="89"/>
  <c r="X64" i="99"/>
  <c r="X41" i="99" s="1"/>
  <c r="Y88" i="99"/>
  <c r="AB71" i="95"/>
  <c r="X35" i="3"/>
  <c r="X12" i="3"/>
  <c r="Y12" i="3" s="1"/>
  <c r="Z12" i="3" s="1"/>
  <c r="AA12" i="3" s="1"/>
  <c r="AB12" i="3" s="1"/>
  <c r="AC12" i="3" s="1"/>
  <c r="G7" i="55"/>
  <c r="G4" i="55" s="1"/>
  <c r="E7" i="55"/>
  <c r="E6" i="55" s="1"/>
  <c r="U43" i="3"/>
  <c r="T42" i="3"/>
  <c r="T9" i="3"/>
  <c r="S8" i="3"/>
  <c r="U84" i="3"/>
  <c r="T83" i="3"/>
  <c r="E28" i="5"/>
  <c r="K14" i="3"/>
  <c r="C7" i="55"/>
  <c r="F4" i="55"/>
  <c r="F6" i="55"/>
  <c r="D7" i="55"/>
  <c r="H15" i="55"/>
  <c r="H55" i="95" s="1"/>
  <c r="S10" i="5"/>
  <c r="N22" i="2"/>
  <c r="V62" i="3"/>
  <c r="U61" i="3"/>
  <c r="O18" i="129" s="1"/>
  <c r="E27" i="5"/>
  <c r="E15" i="5"/>
  <c r="D15" i="5"/>
  <c r="D28" i="5"/>
  <c r="F71" i="3"/>
  <c r="F60" i="3" s="1"/>
  <c r="F47" i="3" s="1"/>
  <c r="E51" i="55"/>
  <c r="G71" i="3"/>
  <c r="G60" i="3" s="1"/>
  <c r="G47" i="3" s="1"/>
  <c r="F51" i="55"/>
  <c r="E71" i="3"/>
  <c r="E60" i="3" s="1"/>
  <c r="E47" i="3" s="1"/>
  <c r="D51" i="55"/>
  <c r="D16" i="5"/>
  <c r="E16" i="4"/>
  <c r="C16" i="4"/>
  <c r="C68" i="4" s="1"/>
  <c r="C69" i="4" s="1"/>
  <c r="E44" i="95"/>
  <c r="J67" i="95"/>
  <c r="J67" i="98" s="1"/>
  <c r="K67" i="98" s="1"/>
  <c r="L67" i="98" s="1"/>
  <c r="M67" i="98" s="1"/>
  <c r="N67" i="98" s="1"/>
  <c r="O67" i="98" s="1"/>
  <c r="P67" i="98" s="1"/>
  <c r="Q67" i="98" s="1"/>
  <c r="R67" i="98" s="1"/>
  <c r="S67" i="98" s="1"/>
  <c r="T67" i="98" s="1"/>
  <c r="U67" i="98" s="1"/>
  <c r="V67" i="98" s="1"/>
  <c r="W67" i="98" s="1"/>
  <c r="X67" i="98" s="1"/>
  <c r="Y67" i="98" s="1"/>
  <c r="Z67" i="98" s="1"/>
  <c r="AA67" i="98" s="1"/>
  <c r="AB67" i="98" s="1"/>
  <c r="D57" i="95"/>
  <c r="D83" i="89"/>
  <c r="U83" i="89"/>
  <c r="F57" i="95"/>
  <c r="F83" i="89"/>
  <c r="D7" i="3"/>
  <c r="G6" i="3"/>
  <c r="D10" i="5"/>
  <c r="H60" i="3"/>
  <c r="H47" i="3" s="1"/>
  <c r="E16" i="5"/>
  <c r="C10" i="5"/>
  <c r="C8" i="5" s="1"/>
  <c r="D27" i="5"/>
  <c r="D71" i="3"/>
  <c r="D60" i="3" s="1"/>
  <c r="D47" i="3" s="1"/>
  <c r="E6" i="3"/>
  <c r="F16" i="4"/>
  <c r="C37" i="4"/>
  <c r="C47" i="4" s="1"/>
  <c r="C54" i="4" s="1"/>
  <c r="M26" i="73"/>
  <c r="F37" i="4"/>
  <c r="F55" i="4" s="1"/>
  <c r="E37" i="4"/>
  <c r="E55" i="4" s="1"/>
  <c r="D55" i="4"/>
  <c r="D47" i="4"/>
  <c r="D54" i="4" s="1"/>
  <c r="G55" i="4"/>
  <c r="G47" i="4"/>
  <c r="G54" i="4" s="1"/>
  <c r="D57" i="4"/>
  <c r="D61" i="4" s="1"/>
  <c r="D62" i="4" s="1"/>
  <c r="D63" i="4"/>
  <c r="D64" i="4" s="1"/>
  <c r="F7" i="3"/>
  <c r="F6" i="3" s="1"/>
  <c r="H7" i="3"/>
  <c r="H6" i="3" s="1"/>
  <c r="D33" i="3"/>
  <c r="D22" i="3" s="1"/>
  <c r="C15" i="5"/>
  <c r="C14" i="5" s="1"/>
  <c r="C27" i="5"/>
  <c r="C47" i="3"/>
  <c r="C6" i="3"/>
  <c r="J33" i="73" l="1"/>
  <c r="J32" i="100"/>
  <c r="J18" i="100" s="1"/>
  <c r="K18" i="100" s="1"/>
  <c r="L18" i="100" s="1"/>
  <c r="M18" i="100" s="1"/>
  <c r="N18" i="100" s="1"/>
  <c r="O18" i="100" s="1"/>
  <c r="P18" i="100" s="1"/>
  <c r="Q18" i="100" s="1"/>
  <c r="R18" i="100" s="1"/>
  <c r="S18" i="100" s="1"/>
  <c r="T18" i="100" s="1"/>
  <c r="U18" i="100" s="1"/>
  <c r="V18" i="100" s="1"/>
  <c r="W18" i="100" s="1"/>
  <c r="X18" i="100" s="1"/>
  <c r="Y18" i="100" s="1"/>
  <c r="Z18" i="100" s="1"/>
  <c r="AA18" i="100" s="1"/>
  <c r="AB18" i="100" s="1"/>
  <c r="AC18" i="100" s="1"/>
  <c r="C58" i="129"/>
  <c r="G40" i="123"/>
  <c r="C53" i="129"/>
  <c r="I60" i="103"/>
  <c r="C49" i="129"/>
  <c r="E32" i="106"/>
  <c r="C19" i="104"/>
  <c r="E32" i="46"/>
  <c r="I56" i="105"/>
  <c r="I58" i="105"/>
  <c r="I64" i="105"/>
  <c r="I65" i="105" s="1"/>
  <c r="G48" i="123"/>
  <c r="I70" i="105"/>
  <c r="G49" i="123" s="1"/>
  <c r="L25" i="73"/>
  <c r="K58" i="73"/>
  <c r="Y64" i="99"/>
  <c r="Y41" i="99" s="1"/>
  <c r="Z88" i="99"/>
  <c r="Z68" i="89"/>
  <c r="Y44" i="89"/>
  <c r="Y46" i="89"/>
  <c r="G6" i="55"/>
  <c r="Y35" i="3"/>
  <c r="V61" i="3"/>
  <c r="P22" i="2" s="1"/>
  <c r="W62" i="3"/>
  <c r="E4" i="55"/>
  <c r="E3" i="55" s="1"/>
  <c r="E14" i="5"/>
  <c r="D60" i="123" s="1"/>
  <c r="F3" i="55"/>
  <c r="U9" i="3"/>
  <c r="T8" i="3"/>
  <c r="V84" i="3"/>
  <c r="U83" i="3"/>
  <c r="G3" i="55"/>
  <c r="G27" i="55"/>
  <c r="H20" i="55" s="1"/>
  <c r="C4" i="55"/>
  <c r="C3" i="55" s="1"/>
  <c r="C6" i="55"/>
  <c r="T10" i="5"/>
  <c r="O22" i="2"/>
  <c r="D4" i="55"/>
  <c r="D6" i="55"/>
  <c r="L14" i="3"/>
  <c r="V43" i="3"/>
  <c r="U42" i="3"/>
  <c r="E24" i="5"/>
  <c r="C24" i="5"/>
  <c r="C23" i="5" s="1"/>
  <c r="D14" i="5"/>
  <c r="C60" i="123" s="1"/>
  <c r="D6" i="3"/>
  <c r="D24" i="5"/>
  <c r="C55" i="4"/>
  <c r="D97" i="95"/>
  <c r="D44" i="95"/>
  <c r="K67" i="95"/>
  <c r="E97" i="95"/>
  <c r="C63" i="4"/>
  <c r="C64" i="4" s="1"/>
  <c r="F97" i="95"/>
  <c r="F44" i="95"/>
  <c r="G97" i="95"/>
  <c r="C57" i="4"/>
  <c r="C61" i="4" s="1"/>
  <c r="C62" i="4" s="1"/>
  <c r="I83" i="89"/>
  <c r="E47" i="4"/>
  <c r="E54" i="4" s="1"/>
  <c r="N26" i="73"/>
  <c r="F47" i="4"/>
  <c r="F54" i="4" s="1"/>
  <c r="C7" i="5"/>
  <c r="D90" i="3"/>
  <c r="D87" i="3"/>
  <c r="C90" i="3"/>
  <c r="C87" i="3"/>
  <c r="J34" i="73" l="1"/>
  <c r="J33" i="100"/>
  <c r="J19" i="100" s="1"/>
  <c r="K19" i="100" s="1"/>
  <c r="L19" i="100" s="1"/>
  <c r="M19" i="100" s="1"/>
  <c r="N19" i="100" s="1"/>
  <c r="O19" i="100" s="1"/>
  <c r="P19" i="100" s="1"/>
  <c r="Q19" i="100" s="1"/>
  <c r="R19" i="100" s="1"/>
  <c r="S19" i="100" s="1"/>
  <c r="T19" i="100" s="1"/>
  <c r="U19" i="100" s="1"/>
  <c r="V19" i="100" s="1"/>
  <c r="W19" i="100" s="1"/>
  <c r="X19" i="100" s="1"/>
  <c r="Y19" i="100" s="1"/>
  <c r="Z19" i="100" s="1"/>
  <c r="AA19" i="100" s="1"/>
  <c r="AB19" i="100" s="1"/>
  <c r="AC19" i="100" s="1"/>
  <c r="E14" i="106"/>
  <c r="E14" i="46"/>
  <c r="G52" i="123"/>
  <c r="I71" i="105"/>
  <c r="G50" i="123" s="1"/>
  <c r="I62" i="105"/>
  <c r="C39" i="129"/>
  <c r="C37" i="129" s="1"/>
  <c r="I46" i="105"/>
  <c r="I45" i="105" s="1"/>
  <c r="H7" i="102"/>
  <c r="M25" i="73"/>
  <c r="L58" i="73"/>
  <c r="AA68" i="89"/>
  <c r="Z44" i="89"/>
  <c r="Z46" i="89"/>
  <c r="Z64" i="99"/>
  <c r="Z41" i="99" s="1"/>
  <c r="AA88" i="99"/>
  <c r="U10" i="5"/>
  <c r="V42" i="3"/>
  <c r="W43" i="3"/>
  <c r="X62" i="3"/>
  <c r="W61" i="3"/>
  <c r="Z35" i="3"/>
  <c r="J83" i="89"/>
  <c r="V83" i="89"/>
  <c r="V83" i="3"/>
  <c r="W84" i="3"/>
  <c r="F27" i="55"/>
  <c r="C31" i="5"/>
  <c r="C32" i="5" s="1"/>
  <c r="C38" i="5" s="1"/>
  <c r="H14" i="55"/>
  <c r="H19" i="55"/>
  <c r="V9" i="3"/>
  <c r="U8" i="3"/>
  <c r="D3" i="55"/>
  <c r="D27" i="55"/>
  <c r="D26" i="55" s="1"/>
  <c r="M14" i="3"/>
  <c r="L67" i="95"/>
  <c r="O26" i="73"/>
  <c r="J35" i="73" l="1"/>
  <c r="J34" i="100"/>
  <c r="J20" i="100" s="1"/>
  <c r="K20" i="100" s="1"/>
  <c r="L20" i="100" s="1"/>
  <c r="M20" i="100" s="1"/>
  <c r="N20" i="100" s="1"/>
  <c r="O20" i="100" s="1"/>
  <c r="P20" i="100" s="1"/>
  <c r="Q20" i="100" s="1"/>
  <c r="R20" i="100" s="1"/>
  <c r="S20" i="100" s="1"/>
  <c r="T20" i="100" s="1"/>
  <c r="U20" i="100" s="1"/>
  <c r="V20" i="100" s="1"/>
  <c r="W20" i="100" s="1"/>
  <c r="X20" i="100" s="1"/>
  <c r="Y20" i="100" s="1"/>
  <c r="Z20" i="100" s="1"/>
  <c r="AA20" i="100" s="1"/>
  <c r="AB20" i="100" s="1"/>
  <c r="AC20" i="100" s="1"/>
  <c r="G37" i="123"/>
  <c r="C51" i="129"/>
  <c r="H21" i="102"/>
  <c r="I48" i="105"/>
  <c r="I55" i="105" s="1"/>
  <c r="E29" i="46"/>
  <c r="I63" i="105"/>
  <c r="C69" i="104"/>
  <c r="E29" i="106"/>
  <c r="N25" i="73"/>
  <c r="M58" i="73"/>
  <c r="AA64" i="99"/>
  <c r="AA41" i="99" s="1"/>
  <c r="AB88" i="99"/>
  <c r="AB64" i="99" s="1"/>
  <c r="AB41" i="99" s="1"/>
  <c r="AB68" i="89"/>
  <c r="AA46" i="89"/>
  <c r="AA44" i="89"/>
  <c r="K83" i="89"/>
  <c r="W83" i="89"/>
  <c r="X84" i="3"/>
  <c r="W83" i="3"/>
  <c r="Q22" i="2"/>
  <c r="V10" i="5"/>
  <c r="X43" i="3"/>
  <c r="W42" i="3"/>
  <c r="Y62" i="3"/>
  <c r="X61" i="3"/>
  <c r="V8" i="3"/>
  <c r="W9" i="3"/>
  <c r="AA35" i="3"/>
  <c r="N14" i="3"/>
  <c r="H56" i="95"/>
  <c r="I23" i="4" s="1"/>
  <c r="C9" i="129" s="1"/>
  <c r="H13" i="55"/>
  <c r="M67" i="95"/>
  <c r="P26" i="73"/>
  <c r="D23" i="73"/>
  <c r="B30" i="73"/>
  <c r="B31" i="73"/>
  <c r="B32" i="73"/>
  <c r="B33" i="73"/>
  <c r="B34" i="73"/>
  <c r="B35" i="73"/>
  <c r="B36" i="73"/>
  <c r="B37" i="73"/>
  <c r="B29" i="73"/>
  <c r="E16" i="73"/>
  <c r="F16" i="73"/>
  <c r="G16" i="73"/>
  <c r="H16" i="73"/>
  <c r="E17" i="73"/>
  <c r="F17" i="73"/>
  <c r="G17" i="73"/>
  <c r="H17" i="73"/>
  <c r="I17" i="73" s="1"/>
  <c r="J17" i="73" s="1"/>
  <c r="K17" i="73" s="1"/>
  <c r="L17" i="73" s="1"/>
  <c r="M17" i="73" s="1"/>
  <c r="N17" i="73" s="1"/>
  <c r="O17" i="73" s="1"/>
  <c r="P17" i="73" s="1"/>
  <c r="Q17" i="73" s="1"/>
  <c r="R17" i="73" s="1"/>
  <c r="S17" i="73" s="1"/>
  <c r="T17" i="73" s="1"/>
  <c r="E18" i="73"/>
  <c r="F18" i="73"/>
  <c r="G18" i="73"/>
  <c r="H18" i="73"/>
  <c r="I18" i="73" s="1"/>
  <c r="J18" i="73" s="1"/>
  <c r="K18" i="73" s="1"/>
  <c r="L18" i="73" s="1"/>
  <c r="M18" i="73" s="1"/>
  <c r="N18" i="73" s="1"/>
  <c r="O18" i="73" s="1"/>
  <c r="P18" i="73" s="1"/>
  <c r="Q18" i="73" s="1"/>
  <c r="R18" i="73" s="1"/>
  <c r="S18" i="73" s="1"/>
  <c r="T18" i="73" s="1"/>
  <c r="E19" i="73"/>
  <c r="F19" i="73"/>
  <c r="G19" i="73"/>
  <c r="H19" i="73"/>
  <c r="I19" i="73" s="1"/>
  <c r="J19" i="73" s="1"/>
  <c r="K19" i="73" s="1"/>
  <c r="L19" i="73" s="1"/>
  <c r="M19" i="73" s="1"/>
  <c r="N19" i="73" s="1"/>
  <c r="O19" i="73" s="1"/>
  <c r="P19" i="73" s="1"/>
  <c r="Q19" i="73" s="1"/>
  <c r="R19" i="73" s="1"/>
  <c r="S19" i="73" s="1"/>
  <c r="T19" i="73" s="1"/>
  <c r="E20" i="73"/>
  <c r="F20" i="73"/>
  <c r="G20" i="73"/>
  <c r="H20" i="73"/>
  <c r="I20" i="73" s="1"/>
  <c r="J20" i="73" s="1"/>
  <c r="K20" i="73" s="1"/>
  <c r="L20" i="73" s="1"/>
  <c r="M20" i="73" s="1"/>
  <c r="N20" i="73" s="1"/>
  <c r="O20" i="73" s="1"/>
  <c r="E21" i="73"/>
  <c r="F21" i="73"/>
  <c r="G21" i="73"/>
  <c r="H21" i="73"/>
  <c r="I21" i="73" s="1"/>
  <c r="J21" i="73" s="1"/>
  <c r="K21" i="73" s="1"/>
  <c r="L21" i="73" s="1"/>
  <c r="M21" i="73" s="1"/>
  <c r="N21" i="73" s="1"/>
  <c r="O21" i="73" s="1"/>
  <c r="E22" i="73"/>
  <c r="F22" i="73"/>
  <c r="G22" i="73"/>
  <c r="H22" i="73"/>
  <c r="I22" i="73" s="1"/>
  <c r="E23" i="73"/>
  <c r="F23" i="73"/>
  <c r="G23" i="73"/>
  <c r="H23" i="73"/>
  <c r="I23" i="73" s="1"/>
  <c r="H15" i="73"/>
  <c r="I15" i="73" s="1"/>
  <c r="G15" i="73"/>
  <c r="F15" i="73"/>
  <c r="E15" i="73"/>
  <c r="D16" i="73"/>
  <c r="D17" i="73"/>
  <c r="D18" i="73"/>
  <c r="D19" i="73"/>
  <c r="D20" i="73"/>
  <c r="D21" i="73"/>
  <c r="D22" i="73"/>
  <c r="D15" i="73"/>
  <c r="E4" i="73"/>
  <c r="F4" i="73"/>
  <c r="G4" i="73"/>
  <c r="H4" i="73"/>
  <c r="I4" i="73" s="1"/>
  <c r="E5" i="73"/>
  <c r="F5" i="73"/>
  <c r="G5" i="73"/>
  <c r="H5" i="73"/>
  <c r="I5" i="73" s="1"/>
  <c r="E6" i="73"/>
  <c r="F6" i="73"/>
  <c r="G6" i="73"/>
  <c r="H6" i="73"/>
  <c r="I6" i="73" s="1"/>
  <c r="E7" i="73"/>
  <c r="F7" i="73"/>
  <c r="G7" i="73"/>
  <c r="H7" i="73"/>
  <c r="I7" i="73" s="1"/>
  <c r="E8" i="73"/>
  <c r="F8" i="73"/>
  <c r="G8" i="73"/>
  <c r="H8" i="73"/>
  <c r="I8" i="73" s="1"/>
  <c r="E9" i="73"/>
  <c r="E51" i="73" s="1"/>
  <c r="F9" i="73"/>
  <c r="F51" i="73" s="1"/>
  <c r="G9" i="73"/>
  <c r="G51" i="73" s="1"/>
  <c r="H9" i="73"/>
  <c r="E10" i="73"/>
  <c r="F10" i="73"/>
  <c r="G10" i="73"/>
  <c r="H10" i="73"/>
  <c r="I10" i="73" s="1"/>
  <c r="E11" i="73"/>
  <c r="F11" i="73"/>
  <c r="G11" i="73"/>
  <c r="H11" i="73"/>
  <c r="I11" i="73" s="1"/>
  <c r="H3" i="73"/>
  <c r="G3" i="73"/>
  <c r="G49" i="73" s="1"/>
  <c r="F3" i="73"/>
  <c r="F49" i="73" s="1"/>
  <c r="E3" i="73"/>
  <c r="E49" i="73" s="1"/>
  <c r="D4" i="73"/>
  <c r="D5" i="73"/>
  <c r="D6" i="73"/>
  <c r="D7" i="73"/>
  <c r="D8" i="73"/>
  <c r="D9" i="73"/>
  <c r="D51" i="73" s="1"/>
  <c r="D10" i="73"/>
  <c r="D11" i="73"/>
  <c r="D3" i="73"/>
  <c r="D49" i="73" s="1"/>
  <c r="J36" i="73" l="1"/>
  <c r="J35" i="100"/>
  <c r="J21" i="100" s="1"/>
  <c r="K21" i="100" s="1"/>
  <c r="L21" i="100" s="1"/>
  <c r="M21" i="100" s="1"/>
  <c r="N21" i="100" s="1"/>
  <c r="O21" i="100" s="1"/>
  <c r="P21" i="100" s="1"/>
  <c r="Q21" i="100" s="1"/>
  <c r="R21" i="100" s="1"/>
  <c r="S21" i="100" s="1"/>
  <c r="T21" i="100" s="1"/>
  <c r="U21" i="100" s="1"/>
  <c r="V21" i="100" s="1"/>
  <c r="W21" i="100" s="1"/>
  <c r="X21" i="100" s="1"/>
  <c r="Y21" i="100" s="1"/>
  <c r="Z21" i="100" s="1"/>
  <c r="AA21" i="100" s="1"/>
  <c r="AB21" i="100" s="1"/>
  <c r="AC21" i="100" s="1"/>
  <c r="H51" i="73"/>
  <c r="I9" i="73"/>
  <c r="I51" i="73" s="1"/>
  <c r="J51" i="73" s="1"/>
  <c r="K51" i="73" s="1"/>
  <c r="F43" i="73"/>
  <c r="H49" i="73"/>
  <c r="I3" i="73"/>
  <c r="I49" i="73" s="1"/>
  <c r="J49" i="73" s="1"/>
  <c r="K49" i="73" s="1"/>
  <c r="E30" i="106"/>
  <c r="E35" i="106"/>
  <c r="E30" i="46"/>
  <c r="E35" i="46"/>
  <c r="G53" i="123"/>
  <c r="I59" i="103"/>
  <c r="C17" i="104"/>
  <c r="H18" i="102"/>
  <c r="C55" i="129" s="1"/>
  <c r="C60" i="129"/>
  <c r="O25" i="73"/>
  <c r="N58" i="73"/>
  <c r="AB44" i="89"/>
  <c r="AB46" i="89"/>
  <c r="AB35" i="3"/>
  <c r="X9" i="3"/>
  <c r="W8" i="3"/>
  <c r="L83" i="89"/>
  <c r="X83" i="89"/>
  <c r="Y43" i="3"/>
  <c r="X42" i="3"/>
  <c r="R22" i="2"/>
  <c r="W10" i="5"/>
  <c r="Y61" i="3"/>
  <c r="Z62" i="3"/>
  <c r="Y84" i="3"/>
  <c r="X83" i="3"/>
  <c r="O14" i="3"/>
  <c r="F50" i="73"/>
  <c r="F42" i="73"/>
  <c r="D50" i="73"/>
  <c r="H50" i="73"/>
  <c r="G50" i="73"/>
  <c r="E50" i="73"/>
  <c r="N67" i="95"/>
  <c r="G43" i="73"/>
  <c r="G42" i="73"/>
  <c r="G41" i="73"/>
  <c r="G39" i="73"/>
  <c r="F44" i="73"/>
  <c r="F40" i="73"/>
  <c r="E44" i="73"/>
  <c r="E40" i="73"/>
  <c r="J15" i="73"/>
  <c r="J10" i="73"/>
  <c r="K10" i="73" s="1"/>
  <c r="L10" i="73" s="1"/>
  <c r="M10" i="73" s="1"/>
  <c r="N10" i="73" s="1"/>
  <c r="H43" i="73"/>
  <c r="H42" i="73"/>
  <c r="J8" i="73"/>
  <c r="K8" i="73" s="1"/>
  <c r="L8" i="73" s="1"/>
  <c r="M8" i="73" s="1"/>
  <c r="N8" i="73" s="1"/>
  <c r="O8" i="73" s="1"/>
  <c r="J6" i="73"/>
  <c r="H41" i="73"/>
  <c r="J4" i="73"/>
  <c r="K4" i="73" s="1"/>
  <c r="L4" i="73" s="1"/>
  <c r="M4" i="73" s="1"/>
  <c r="N4" i="73" s="1"/>
  <c r="H39" i="73"/>
  <c r="H44" i="73"/>
  <c r="J11" i="73"/>
  <c r="K11" i="73" s="1"/>
  <c r="L11" i="73" s="1"/>
  <c r="M11" i="73" s="1"/>
  <c r="N11" i="73" s="1"/>
  <c r="F41" i="73"/>
  <c r="F39" i="73"/>
  <c r="E43" i="73"/>
  <c r="E42" i="73"/>
  <c r="E41" i="73"/>
  <c r="E39" i="73"/>
  <c r="J5" i="73"/>
  <c r="K5" i="73" s="1"/>
  <c r="L5" i="73" s="1"/>
  <c r="M5" i="73" s="1"/>
  <c r="N5" i="73" s="1"/>
  <c r="H40" i="73"/>
  <c r="H30" i="73"/>
  <c r="I16" i="73"/>
  <c r="J16" i="73" s="1"/>
  <c r="K16" i="73" s="1"/>
  <c r="L16" i="73" s="1"/>
  <c r="M16" i="73" s="1"/>
  <c r="N16" i="73" s="1"/>
  <c r="O16" i="73" s="1"/>
  <c r="P16" i="73" s="1"/>
  <c r="Q16" i="73" s="1"/>
  <c r="R16" i="73" s="1"/>
  <c r="S16" i="73" s="1"/>
  <c r="T16" i="73" s="1"/>
  <c r="G44" i="73"/>
  <c r="G40" i="73"/>
  <c r="Q26" i="73"/>
  <c r="P20" i="73"/>
  <c r="Q20" i="73" s="1"/>
  <c r="R20" i="73" s="1"/>
  <c r="S20" i="73" s="1"/>
  <c r="T20" i="73" s="1"/>
  <c r="U20" i="73" s="1"/>
  <c r="V20" i="73" s="1"/>
  <c r="W20" i="73" s="1"/>
  <c r="X20" i="73" s="1"/>
  <c r="Y20" i="73" s="1"/>
  <c r="Z20" i="73" s="1"/>
  <c r="AA20" i="73" s="1"/>
  <c r="AB20" i="73" s="1"/>
  <c r="AC20" i="73" s="1"/>
  <c r="H32" i="73"/>
  <c r="H24" i="73"/>
  <c r="H34" i="73"/>
  <c r="D24" i="73"/>
  <c r="E24" i="73"/>
  <c r="F24" i="73"/>
  <c r="G24" i="73"/>
  <c r="E29" i="73"/>
  <c r="H36" i="73"/>
  <c r="G29" i="73"/>
  <c r="F36" i="73"/>
  <c r="F34" i="73"/>
  <c r="F32" i="73"/>
  <c r="F30" i="73"/>
  <c r="E34" i="73"/>
  <c r="F12" i="73"/>
  <c r="H37" i="73"/>
  <c r="H35" i="73"/>
  <c r="H33" i="73"/>
  <c r="H31" i="73"/>
  <c r="F29" i="73"/>
  <c r="G36" i="73"/>
  <c r="G34" i="73"/>
  <c r="G32" i="73"/>
  <c r="G30" i="73"/>
  <c r="D12" i="73"/>
  <c r="E12" i="73"/>
  <c r="H29" i="73"/>
  <c r="E36" i="73"/>
  <c r="E32" i="73"/>
  <c r="E30" i="73"/>
  <c r="G12" i="73"/>
  <c r="G37" i="73"/>
  <c r="G35" i="73"/>
  <c r="G33" i="73"/>
  <c r="H12" i="73"/>
  <c r="F37" i="73"/>
  <c r="F35" i="73"/>
  <c r="F33" i="73"/>
  <c r="F31" i="73"/>
  <c r="E37" i="73"/>
  <c r="E35" i="73"/>
  <c r="E33" i="73"/>
  <c r="E31" i="73"/>
  <c r="G31" i="73"/>
  <c r="J37" i="73" l="1"/>
  <c r="J36" i="100"/>
  <c r="J22" i="100" s="1"/>
  <c r="K22" i="100" s="1"/>
  <c r="L22" i="100" s="1"/>
  <c r="M22" i="100" s="1"/>
  <c r="N22" i="100" s="1"/>
  <c r="O22" i="100" s="1"/>
  <c r="P22" i="100" s="1"/>
  <c r="Q22" i="100" s="1"/>
  <c r="R22" i="100" s="1"/>
  <c r="S22" i="100" s="1"/>
  <c r="T22" i="100" s="1"/>
  <c r="U22" i="100" s="1"/>
  <c r="V22" i="100" s="1"/>
  <c r="W22" i="100" s="1"/>
  <c r="X22" i="100" s="1"/>
  <c r="Y22" i="100" s="1"/>
  <c r="Z22" i="100" s="1"/>
  <c r="AA22" i="100" s="1"/>
  <c r="AB22" i="100" s="1"/>
  <c r="AC22" i="100" s="1"/>
  <c r="J22" i="73"/>
  <c r="K22" i="73" s="1"/>
  <c r="L22" i="73" s="1"/>
  <c r="M22" i="73" s="1"/>
  <c r="N22" i="73" s="1"/>
  <c r="O22" i="73" s="1"/>
  <c r="I50" i="73"/>
  <c r="E12" i="46"/>
  <c r="E12" i="106"/>
  <c r="P25" i="73"/>
  <c r="O58" i="73"/>
  <c r="X10" i="5"/>
  <c r="S22" i="2"/>
  <c r="Y9" i="3"/>
  <c r="X8" i="3"/>
  <c r="M83" i="89"/>
  <c r="Y83" i="89"/>
  <c r="AA62" i="3"/>
  <c r="Z61" i="3"/>
  <c r="AC35" i="3"/>
  <c r="Z43" i="3"/>
  <c r="Y42" i="3"/>
  <c r="Z84" i="3"/>
  <c r="Y83" i="3"/>
  <c r="P14" i="3"/>
  <c r="U16" i="73"/>
  <c r="V16" i="73" s="1"/>
  <c r="W16" i="73" s="1"/>
  <c r="X16" i="73" s="1"/>
  <c r="Y16" i="73" s="1"/>
  <c r="Z16" i="73" s="1"/>
  <c r="AA16" i="73" s="1"/>
  <c r="AB16" i="73" s="1"/>
  <c r="AC16" i="73" s="1"/>
  <c r="O11" i="73"/>
  <c r="O5" i="73"/>
  <c r="P5" i="73" s="1"/>
  <c r="O4" i="73"/>
  <c r="U17" i="73"/>
  <c r="V17" i="73" s="1"/>
  <c r="W17" i="73" s="1"/>
  <c r="X17" i="73" s="1"/>
  <c r="Y17" i="73" s="1"/>
  <c r="Z17" i="73" s="1"/>
  <c r="AA17" i="73" s="1"/>
  <c r="AB17" i="73" s="1"/>
  <c r="AC17" i="73" s="1"/>
  <c r="P8" i="73"/>
  <c r="U19" i="73"/>
  <c r="V19" i="73" s="1"/>
  <c r="W19" i="73" s="1"/>
  <c r="X19" i="73" s="1"/>
  <c r="Y19" i="73" s="1"/>
  <c r="Z19" i="73" s="1"/>
  <c r="AA19" i="73" s="1"/>
  <c r="AB19" i="73" s="1"/>
  <c r="AC19" i="73" s="1"/>
  <c r="O10" i="73"/>
  <c r="U18" i="73"/>
  <c r="V18" i="73" s="1"/>
  <c r="W18" i="73" s="1"/>
  <c r="X18" i="73" s="1"/>
  <c r="Y18" i="73" s="1"/>
  <c r="Z18" i="73" s="1"/>
  <c r="AA18" i="73" s="1"/>
  <c r="AB18" i="73" s="1"/>
  <c r="AC18" i="73" s="1"/>
  <c r="O67" i="95"/>
  <c r="H27" i="73"/>
  <c r="K15" i="73"/>
  <c r="I12" i="73"/>
  <c r="I24" i="73"/>
  <c r="I59" i="73" s="1"/>
  <c r="K6" i="73"/>
  <c r="L6" i="73" s="1"/>
  <c r="M6" i="73" s="1"/>
  <c r="N6" i="73" s="1"/>
  <c r="O6" i="73" s="1"/>
  <c r="P6" i="73" s="1"/>
  <c r="R26" i="73"/>
  <c r="P21" i="73"/>
  <c r="Q21" i="73" s="1"/>
  <c r="R21" i="73" s="1"/>
  <c r="S21" i="73" s="1"/>
  <c r="T21" i="73" s="1"/>
  <c r="U21" i="73" s="1"/>
  <c r="V21" i="73" s="1"/>
  <c r="W21" i="73" s="1"/>
  <c r="X21" i="73" s="1"/>
  <c r="Y21" i="73" s="1"/>
  <c r="Z21" i="73" s="1"/>
  <c r="AA21" i="73" s="1"/>
  <c r="AB21" i="73" s="1"/>
  <c r="AC21" i="73" s="1"/>
  <c r="G27" i="73"/>
  <c r="F27" i="73"/>
  <c r="E27" i="73"/>
  <c r="D27" i="73"/>
  <c r="J37" i="100" l="1"/>
  <c r="J23" i="100" s="1"/>
  <c r="K23" i="100" s="1"/>
  <c r="L23" i="100" s="1"/>
  <c r="M23" i="100" s="1"/>
  <c r="N23" i="100" s="1"/>
  <c r="O23" i="100" s="1"/>
  <c r="P23" i="100" s="1"/>
  <c r="Q23" i="100" s="1"/>
  <c r="R23" i="100" s="1"/>
  <c r="S23" i="100" s="1"/>
  <c r="T23" i="100" s="1"/>
  <c r="U23" i="100" s="1"/>
  <c r="V23" i="100" s="1"/>
  <c r="W23" i="100" s="1"/>
  <c r="X23" i="100" s="1"/>
  <c r="Y23" i="100" s="1"/>
  <c r="Z23" i="100" s="1"/>
  <c r="AA23" i="100" s="1"/>
  <c r="AB23" i="100" s="1"/>
  <c r="AC23" i="100" s="1"/>
  <c r="J23" i="73"/>
  <c r="K23" i="73" s="1"/>
  <c r="L23" i="73" s="1"/>
  <c r="M23" i="73" s="1"/>
  <c r="N23" i="73" s="1"/>
  <c r="O23" i="73" s="1"/>
  <c r="P23" i="73" s="1"/>
  <c r="Q23" i="73" s="1"/>
  <c r="R23" i="73" s="1"/>
  <c r="S23" i="73" s="1"/>
  <c r="T23" i="73" s="1"/>
  <c r="U23" i="73" s="1"/>
  <c r="V23" i="73" s="1"/>
  <c r="W23" i="73" s="1"/>
  <c r="J50" i="73"/>
  <c r="K50" i="73" s="1"/>
  <c r="S50" i="73"/>
  <c r="Q25" i="73"/>
  <c r="P58" i="73"/>
  <c r="Y10" i="5"/>
  <c r="T22" i="2"/>
  <c r="AB62" i="3"/>
  <c r="AA61" i="3"/>
  <c r="Z9" i="3"/>
  <c r="Y8" i="3"/>
  <c r="Z42" i="3"/>
  <c r="AA43" i="3"/>
  <c r="AA84" i="3"/>
  <c r="Z83" i="3"/>
  <c r="N83" i="89"/>
  <c r="Z83" i="89"/>
  <c r="Q14" i="3"/>
  <c r="P11" i="73"/>
  <c r="P10" i="73"/>
  <c r="P4" i="73"/>
  <c r="P67" i="95"/>
  <c r="I27" i="73"/>
  <c r="I20" i="4" s="1"/>
  <c r="I18" i="4"/>
  <c r="H13" i="95" s="1"/>
  <c r="H6" i="95" s="1"/>
  <c r="L15" i="73"/>
  <c r="S26" i="73"/>
  <c r="T26" i="73" s="1"/>
  <c r="U26" i="73" s="1"/>
  <c r="V26" i="73" s="1"/>
  <c r="P22" i="73"/>
  <c r="Q22" i="73" s="1"/>
  <c r="R22" i="73" s="1"/>
  <c r="S22" i="73" s="1"/>
  <c r="T22" i="73" s="1"/>
  <c r="U22" i="73" s="1"/>
  <c r="V22" i="73" s="1"/>
  <c r="W22" i="73" s="1"/>
  <c r="X22" i="73" s="1"/>
  <c r="Y22" i="73" s="1"/>
  <c r="Z22" i="73" s="1"/>
  <c r="AA22" i="73" s="1"/>
  <c r="AB22" i="73" s="1"/>
  <c r="AC22" i="73" s="1"/>
  <c r="R25" i="73" l="1"/>
  <c r="Q58" i="73"/>
  <c r="Z10" i="5"/>
  <c r="U22" i="2"/>
  <c r="AC62" i="3"/>
  <c r="AC61" i="3" s="1"/>
  <c r="AB61" i="3"/>
  <c r="O83" i="89"/>
  <c r="AA83" i="89"/>
  <c r="AA9" i="3"/>
  <c r="Z8" i="3"/>
  <c r="AB84" i="3"/>
  <c r="AA83" i="3"/>
  <c r="AB43" i="3"/>
  <c r="AA42" i="3"/>
  <c r="X23" i="73"/>
  <c r="Y23" i="73" s="1"/>
  <c r="Z23" i="73" s="1"/>
  <c r="AA23" i="73" s="1"/>
  <c r="AB23" i="73" s="1"/>
  <c r="AC23" i="73" s="1"/>
  <c r="R14" i="3"/>
  <c r="Q11" i="73"/>
  <c r="Q10" i="73"/>
  <c r="Q6" i="73"/>
  <c r="Q5" i="73"/>
  <c r="Q4" i="73"/>
  <c r="Q8" i="73"/>
  <c r="Q67" i="95"/>
  <c r="M15" i="73"/>
  <c r="S25" i="73" l="1"/>
  <c r="R58" i="73"/>
  <c r="V22" i="2"/>
  <c r="AA10" i="5"/>
  <c r="W22" i="2"/>
  <c r="AB10" i="5"/>
  <c r="P83" i="89"/>
  <c r="Q83" i="89" s="1"/>
  <c r="R83" i="89" s="1"/>
  <c r="S83" i="89" s="1"/>
  <c r="T83" i="89" s="1"/>
  <c r="AB83" i="89"/>
  <c r="AC43" i="3"/>
  <c r="AC42" i="3" s="1"/>
  <c r="AB42" i="3"/>
  <c r="AC84" i="3"/>
  <c r="AC83" i="3" s="1"/>
  <c r="AB83" i="3"/>
  <c r="AB9" i="3"/>
  <c r="AA8" i="3"/>
  <c r="S14" i="3"/>
  <c r="R11" i="73"/>
  <c r="R8" i="73"/>
  <c r="R6" i="73"/>
  <c r="R5" i="73"/>
  <c r="R10" i="73"/>
  <c r="R4" i="73"/>
  <c r="R67" i="95"/>
  <c r="N15" i="73"/>
  <c r="T25" i="73" l="1"/>
  <c r="S58" i="73"/>
  <c r="AC9" i="3"/>
  <c r="AC8" i="3" s="1"/>
  <c r="AB8" i="3"/>
  <c r="T14" i="3"/>
  <c r="S11" i="73"/>
  <c r="S8" i="73"/>
  <c r="S10" i="73"/>
  <c r="S6" i="73"/>
  <c r="S5" i="73"/>
  <c r="S4" i="73"/>
  <c r="S67" i="95"/>
  <c r="O15" i="73"/>
  <c r="B19" i="12"/>
  <c r="B18" i="12"/>
  <c r="B16" i="12"/>
  <c r="B17" i="12"/>
  <c r="B12" i="12"/>
  <c r="B13" i="12"/>
  <c r="B14" i="12"/>
  <c r="B15" i="12"/>
  <c r="B11" i="12"/>
  <c r="U25" i="73" l="1"/>
  <c r="T58" i="73"/>
  <c r="U14" i="3"/>
  <c r="V14" i="3" s="1"/>
  <c r="W14" i="3" s="1"/>
  <c r="T4" i="73"/>
  <c r="T67" i="95"/>
  <c r="P15" i="73"/>
  <c r="V25" i="73" l="1"/>
  <c r="U58" i="73"/>
  <c r="X14" i="3"/>
  <c r="T5" i="73"/>
  <c r="U5" i="73" s="1"/>
  <c r="V5" i="73" s="1"/>
  <c r="W5" i="73" s="1"/>
  <c r="X5" i="73" s="1"/>
  <c r="Y5" i="73" s="1"/>
  <c r="Z5" i="73" s="1"/>
  <c r="AA5" i="73" s="1"/>
  <c r="AB5" i="73" s="1"/>
  <c r="AC5" i="73" s="1"/>
  <c r="U4" i="73"/>
  <c r="V4" i="73" s="1"/>
  <c r="W4" i="73" s="1"/>
  <c r="X4" i="73" s="1"/>
  <c r="Y4" i="73" s="1"/>
  <c r="Z4" i="73" s="1"/>
  <c r="AA4" i="73" s="1"/>
  <c r="AB4" i="73" s="1"/>
  <c r="AC4" i="73" s="1"/>
  <c r="U67" i="95"/>
  <c r="V67" i="95" s="1"/>
  <c r="W67" i="95" s="1"/>
  <c r="X67" i="95" s="1"/>
  <c r="Y67" i="95" s="1"/>
  <c r="Z67" i="95" s="1"/>
  <c r="AA67" i="95" s="1"/>
  <c r="AB67" i="95" s="1"/>
  <c r="Q15" i="73"/>
  <c r="W25" i="73" l="1"/>
  <c r="V58" i="73"/>
  <c r="Y14" i="3"/>
  <c r="T6" i="73"/>
  <c r="U6" i="73" s="1"/>
  <c r="V6" i="73" s="1"/>
  <c r="W6" i="73" s="1"/>
  <c r="X6" i="73" s="1"/>
  <c r="Y6" i="73" s="1"/>
  <c r="Z6" i="73" s="1"/>
  <c r="AA6" i="73" s="1"/>
  <c r="AB6" i="73" s="1"/>
  <c r="AC6" i="73" s="1"/>
  <c r="R15" i="73"/>
  <c r="X25" i="73" l="1"/>
  <c r="W58" i="73"/>
  <c r="Z14" i="3"/>
  <c r="S15" i="73"/>
  <c r="T15" i="73" s="1"/>
  <c r="Y25" i="73" l="1"/>
  <c r="X58" i="73"/>
  <c r="AA14" i="3"/>
  <c r="U15" i="73"/>
  <c r="T8" i="73"/>
  <c r="U8" i="73" s="1"/>
  <c r="V8" i="73" s="1"/>
  <c r="W8" i="73" s="1"/>
  <c r="X8" i="73" s="1"/>
  <c r="Y8" i="73" s="1"/>
  <c r="Z8" i="73" s="1"/>
  <c r="AA8" i="73" s="1"/>
  <c r="AB8" i="73" s="1"/>
  <c r="AC8" i="73" s="1"/>
  <c r="Z25" i="73" l="1"/>
  <c r="Y58" i="73"/>
  <c r="AB14" i="3"/>
  <c r="V15" i="73"/>
  <c r="W15" i="73" s="1"/>
  <c r="B12" i="2"/>
  <c r="B11" i="2"/>
  <c r="C49" i="2"/>
  <c r="J65" i="4"/>
  <c r="D49" i="2" s="1"/>
  <c r="K59" i="55"/>
  <c r="K57" i="55"/>
  <c r="L57" i="55" s="1"/>
  <c r="M57" i="55" s="1"/>
  <c r="N57" i="55" s="1"/>
  <c r="O57" i="55" s="1"/>
  <c r="P57" i="55" s="1"/>
  <c r="Q57" i="55" s="1"/>
  <c r="R57" i="55" s="1"/>
  <c r="S57" i="55" s="1"/>
  <c r="B50" i="55"/>
  <c r="B54" i="55" s="1"/>
  <c r="B58" i="55" s="1"/>
  <c r="B62" i="55" s="1"/>
  <c r="B55" i="55"/>
  <c r="B59" i="55" s="1"/>
  <c r="B63" i="55" s="1"/>
  <c r="B53" i="55"/>
  <c r="B57" i="55" s="1"/>
  <c r="B61" i="55" s="1"/>
  <c r="G50" i="55"/>
  <c r="H49" i="55"/>
  <c r="I67" i="3" s="1"/>
  <c r="G43" i="55"/>
  <c r="G44" i="55"/>
  <c r="G42" i="55"/>
  <c r="AA25" i="73" l="1"/>
  <c r="Z58" i="73"/>
  <c r="AC14" i="3"/>
  <c r="X15" i="73"/>
  <c r="T11" i="73"/>
  <c r="U11" i="73" s="1"/>
  <c r="V11" i="73" s="1"/>
  <c r="W11" i="73" s="1"/>
  <c r="X11" i="73" s="1"/>
  <c r="Y11" i="73" s="1"/>
  <c r="Z11" i="73" s="1"/>
  <c r="AA11" i="73" s="1"/>
  <c r="AB11" i="73" s="1"/>
  <c r="AC11" i="73" s="1"/>
  <c r="T10" i="73"/>
  <c r="U10" i="73" s="1"/>
  <c r="V10" i="73" s="1"/>
  <c r="W10" i="73" s="1"/>
  <c r="X10" i="73" s="1"/>
  <c r="Y10" i="73" s="1"/>
  <c r="Z10" i="73" s="1"/>
  <c r="AA10" i="73" s="1"/>
  <c r="AB10" i="73" s="1"/>
  <c r="AC10" i="73" s="1"/>
  <c r="T57" i="55"/>
  <c r="U57" i="55" s="1"/>
  <c r="V57" i="55" s="1"/>
  <c r="L59" i="55"/>
  <c r="M59" i="55" s="1"/>
  <c r="N59" i="55" s="1"/>
  <c r="O59" i="55" s="1"/>
  <c r="P59" i="55" s="1"/>
  <c r="Q59" i="55" s="1"/>
  <c r="R59" i="55" s="1"/>
  <c r="S59" i="55" s="1"/>
  <c r="T59" i="55" s="1"/>
  <c r="U59" i="55" s="1"/>
  <c r="V59" i="55" s="1"/>
  <c r="W59" i="55" s="1"/>
  <c r="X59" i="55" s="1"/>
  <c r="Y59" i="55" s="1"/>
  <c r="Z59" i="55" s="1"/>
  <c r="AA59" i="55" s="1"/>
  <c r="AB59" i="55" s="1"/>
  <c r="K65" i="4"/>
  <c r="I49" i="55"/>
  <c r="J67" i="3" s="1"/>
  <c r="H51" i="55"/>
  <c r="AB25" i="73" l="1"/>
  <c r="AA58" i="73"/>
  <c r="W57" i="55"/>
  <c r="X57" i="55" s="1"/>
  <c r="Y57" i="55" s="1"/>
  <c r="Z57" i="55" s="1"/>
  <c r="AA57" i="55" s="1"/>
  <c r="AB57" i="55" s="1"/>
  <c r="Y15" i="73"/>
  <c r="I51" i="55"/>
  <c r="I78" i="3"/>
  <c r="L65" i="4"/>
  <c r="E49" i="2"/>
  <c r="H63" i="55"/>
  <c r="H62" i="55"/>
  <c r="I62" i="55" s="1"/>
  <c r="J62" i="55" s="1"/>
  <c r="K62" i="55" s="1"/>
  <c r="L62" i="55" s="1"/>
  <c r="M62" i="55" s="1"/>
  <c r="N62" i="55" s="1"/>
  <c r="O62" i="55" s="1"/>
  <c r="P62" i="55" s="1"/>
  <c r="Q62" i="55" s="1"/>
  <c r="R62" i="55" s="1"/>
  <c r="S62" i="55" s="1"/>
  <c r="J49" i="55"/>
  <c r="G38" i="55"/>
  <c r="H38" i="55" s="1"/>
  <c r="E42" i="55"/>
  <c r="C35" i="12"/>
  <c r="F43" i="55"/>
  <c r="E50" i="55"/>
  <c r="F50" i="55"/>
  <c r="D50" i="55"/>
  <c r="AC25" i="73" l="1"/>
  <c r="AC58" i="73" s="1"/>
  <c r="AB58" i="73"/>
  <c r="Z15" i="73"/>
  <c r="T62" i="55"/>
  <c r="H55" i="55"/>
  <c r="I63" i="55"/>
  <c r="J78" i="3"/>
  <c r="J51" i="55"/>
  <c r="K67" i="3"/>
  <c r="J53" i="55"/>
  <c r="M65" i="4"/>
  <c r="F49" i="2"/>
  <c r="K49" i="55"/>
  <c r="L67" i="3" s="1"/>
  <c r="H53" i="55"/>
  <c r="E43" i="55"/>
  <c r="F42" i="55"/>
  <c r="F37" i="55" s="1"/>
  <c r="E37" i="55"/>
  <c r="H58" i="55"/>
  <c r="D43" i="55"/>
  <c r="E45" i="55"/>
  <c r="E40" i="55" s="1"/>
  <c r="E21" i="5"/>
  <c r="E18" i="5" s="1"/>
  <c r="C33" i="12"/>
  <c r="C32" i="12" s="1"/>
  <c r="E23" i="5"/>
  <c r="D62" i="123" s="1"/>
  <c r="F45" i="55"/>
  <c r="F40" i="55" s="1"/>
  <c r="D23" i="5"/>
  <c r="C62" i="123" s="1"/>
  <c r="AA15" i="73" l="1"/>
  <c r="J63" i="55"/>
  <c r="K63" i="55" s="1"/>
  <c r="L63" i="55" s="1"/>
  <c r="M63" i="55" s="1"/>
  <c r="N63" i="55" s="1"/>
  <c r="O63" i="55" s="1"/>
  <c r="P63" i="55" s="1"/>
  <c r="Q63" i="55" s="1"/>
  <c r="R63" i="55" s="1"/>
  <c r="S63" i="55" s="1"/>
  <c r="I55" i="55"/>
  <c r="U62" i="55"/>
  <c r="V62" i="55" s="1"/>
  <c r="H50" i="55"/>
  <c r="I81" i="3" s="1"/>
  <c r="I58" i="55"/>
  <c r="J58" i="55" s="1"/>
  <c r="K58" i="55" s="1"/>
  <c r="L58" i="55" s="1"/>
  <c r="M58" i="55" s="1"/>
  <c r="N58" i="55" s="1"/>
  <c r="O58" i="55" s="1"/>
  <c r="P58" i="55" s="1"/>
  <c r="Q58" i="55" s="1"/>
  <c r="R58" i="55" s="1"/>
  <c r="S58" i="55" s="1"/>
  <c r="T58" i="55" s="1"/>
  <c r="K78" i="3"/>
  <c r="K51" i="55"/>
  <c r="D11" i="5"/>
  <c r="D8" i="5" s="1"/>
  <c r="E11" i="5"/>
  <c r="E8" i="5" s="1"/>
  <c r="N65" i="4"/>
  <c r="G49" i="2"/>
  <c r="I53" i="55"/>
  <c r="L49" i="55"/>
  <c r="M67" i="3" s="1"/>
  <c r="E38" i="55"/>
  <c r="G63" i="4"/>
  <c r="G64" i="4" s="1"/>
  <c r="F38" i="55"/>
  <c r="F26" i="55"/>
  <c r="D38" i="55"/>
  <c r="C31" i="12"/>
  <c r="F57" i="4"/>
  <c r="W62" i="55" l="1"/>
  <c r="AB15" i="73"/>
  <c r="J55" i="55"/>
  <c r="I50" i="55"/>
  <c r="H54" i="55"/>
  <c r="C23" i="2" s="1"/>
  <c r="E16" i="12" s="1"/>
  <c r="T63" i="55"/>
  <c r="U58" i="55"/>
  <c r="V58" i="55" s="1"/>
  <c r="W58" i="55" s="1"/>
  <c r="X58" i="55" s="1"/>
  <c r="Y58" i="55" s="1"/>
  <c r="Z58" i="55" s="1"/>
  <c r="AA58" i="55" s="1"/>
  <c r="AB58" i="55" s="1"/>
  <c r="C54" i="2"/>
  <c r="L51" i="55"/>
  <c r="L78" i="3"/>
  <c r="O65" i="4"/>
  <c r="H49" i="2"/>
  <c r="M49" i="55"/>
  <c r="N67" i="3" s="1"/>
  <c r="G87" i="3"/>
  <c r="F63" i="4"/>
  <c r="F64" i="4" s="1"/>
  <c r="F61" i="4"/>
  <c r="F62" i="4" s="1"/>
  <c r="F87" i="3"/>
  <c r="G57" i="4"/>
  <c r="I8" i="3"/>
  <c r="I79" i="3"/>
  <c r="X62" i="55" l="1"/>
  <c r="AC15" i="73"/>
  <c r="J50" i="55"/>
  <c r="J54" i="55" s="1"/>
  <c r="J81" i="3"/>
  <c r="U63" i="55"/>
  <c r="V63" i="55" s="1"/>
  <c r="M51" i="55"/>
  <c r="M78" i="3"/>
  <c r="E7" i="5"/>
  <c r="P65" i="4"/>
  <c r="I49" i="2"/>
  <c r="N49" i="55"/>
  <c r="O67" i="3" s="1"/>
  <c r="G61" i="4"/>
  <c r="G62" i="4" s="1"/>
  <c r="C56" i="2"/>
  <c r="D56" i="2"/>
  <c r="C26" i="2"/>
  <c r="E19" i="12" s="1"/>
  <c r="C66" i="2"/>
  <c r="J8" i="3"/>
  <c r="Y62" i="55" l="1"/>
  <c r="W63" i="55"/>
  <c r="E31" i="5"/>
  <c r="D63" i="123" s="1"/>
  <c r="D64" i="123" s="1"/>
  <c r="K50" i="55"/>
  <c r="K81" i="3"/>
  <c r="N51" i="55"/>
  <c r="N78" i="3"/>
  <c r="Q65" i="4"/>
  <c r="J49" i="2"/>
  <c r="K53" i="55"/>
  <c r="O49" i="55"/>
  <c r="P67" i="3" s="1"/>
  <c r="K55" i="55"/>
  <c r="F34" i="5"/>
  <c r="D2" i="55"/>
  <c r="I38" i="55"/>
  <c r="I42" i="3"/>
  <c r="E5" i="4"/>
  <c r="F5" i="3"/>
  <c r="B38" i="2"/>
  <c r="G34" i="5"/>
  <c r="Q22" i="5"/>
  <c r="P22" i="5"/>
  <c r="O22" i="5"/>
  <c r="N22" i="5"/>
  <c r="M22" i="5"/>
  <c r="L22" i="5"/>
  <c r="K22" i="5"/>
  <c r="J22" i="5"/>
  <c r="I22" i="5"/>
  <c r="H22" i="5"/>
  <c r="G22" i="5"/>
  <c r="Q20" i="5"/>
  <c r="P20" i="5"/>
  <c r="O20" i="5"/>
  <c r="N20" i="5"/>
  <c r="M20" i="5"/>
  <c r="L20" i="5"/>
  <c r="K20" i="5"/>
  <c r="J20" i="5"/>
  <c r="I20" i="5"/>
  <c r="H20" i="5"/>
  <c r="R50" i="4"/>
  <c r="R53" i="4" s="1"/>
  <c r="Q50" i="4"/>
  <c r="Q53" i="4" s="1"/>
  <c r="P50" i="4"/>
  <c r="P53" i="4" s="1"/>
  <c r="O50" i="4"/>
  <c r="O53" i="4" s="1"/>
  <c r="N50" i="4"/>
  <c r="N53" i="4" s="1"/>
  <c r="M50" i="4"/>
  <c r="M53" i="4" s="1"/>
  <c r="L50" i="4"/>
  <c r="L53" i="4" s="1"/>
  <c r="K50" i="4"/>
  <c r="K53" i="4" s="1"/>
  <c r="J50" i="4"/>
  <c r="J53" i="4" s="1"/>
  <c r="I50" i="4"/>
  <c r="I53" i="4" s="1"/>
  <c r="R27" i="4"/>
  <c r="Q27" i="4"/>
  <c r="P27" i="4"/>
  <c r="O27" i="4"/>
  <c r="N27" i="4"/>
  <c r="M27" i="4"/>
  <c r="L27" i="4"/>
  <c r="K27" i="4"/>
  <c r="J27" i="4"/>
  <c r="I27" i="4"/>
  <c r="R24" i="4"/>
  <c r="Q24" i="4"/>
  <c r="P24" i="4"/>
  <c r="O24" i="4"/>
  <c r="N24" i="4"/>
  <c r="M25" i="5" s="1"/>
  <c r="M24" i="4"/>
  <c r="L25" i="5" s="1"/>
  <c r="L24" i="4"/>
  <c r="K25" i="5" s="1"/>
  <c r="K24" i="4"/>
  <c r="J25" i="5" s="1"/>
  <c r="J24" i="4"/>
  <c r="I25" i="5" s="1"/>
  <c r="I24" i="4"/>
  <c r="H25" i="5" s="1"/>
  <c r="I8" i="4"/>
  <c r="R55" i="3"/>
  <c r="Q55" i="3"/>
  <c r="P55" i="3"/>
  <c r="O55" i="3"/>
  <c r="N55" i="3"/>
  <c r="M55" i="3"/>
  <c r="L55" i="3"/>
  <c r="K55" i="3"/>
  <c r="J55" i="3"/>
  <c r="I55" i="3"/>
  <c r="R27" i="3"/>
  <c r="Q27" i="3"/>
  <c r="P27" i="3"/>
  <c r="O27" i="3"/>
  <c r="N27" i="3"/>
  <c r="M27" i="3"/>
  <c r="L27" i="3"/>
  <c r="K27" i="3"/>
  <c r="J27" i="3"/>
  <c r="I27" i="3"/>
  <c r="D44" i="2"/>
  <c r="E44" i="2" s="1"/>
  <c r="F44" i="2" s="1"/>
  <c r="G44" i="2" s="1"/>
  <c r="H44" i="2" s="1"/>
  <c r="I44" i="2" s="1"/>
  <c r="J44" i="2" s="1"/>
  <c r="K44" i="2" s="1"/>
  <c r="D43" i="2"/>
  <c r="E43" i="2" s="1"/>
  <c r="F43" i="2" s="1"/>
  <c r="G43" i="2" s="1"/>
  <c r="H43" i="2" s="1"/>
  <c r="I43" i="2" s="1"/>
  <c r="J43" i="2" s="1"/>
  <c r="K43" i="2" s="1"/>
  <c r="D41" i="2"/>
  <c r="D37" i="2"/>
  <c r="Z62" i="55" l="1"/>
  <c r="X63" i="55"/>
  <c r="D42" i="2"/>
  <c r="E42" i="2" s="1"/>
  <c r="F42" i="2" s="1"/>
  <c r="G42" i="2" s="1"/>
  <c r="H42" i="2" s="1"/>
  <c r="I42" i="2" s="1"/>
  <c r="J42" i="2" s="1"/>
  <c r="K42" i="2" s="1"/>
  <c r="L42" i="2" s="1"/>
  <c r="M42" i="2" s="1"/>
  <c r="C44" i="104"/>
  <c r="L50" i="55"/>
  <c r="L81" i="3"/>
  <c r="E32" i="5"/>
  <c r="E38" i="5" s="1"/>
  <c r="F90" i="3"/>
  <c r="E5" i="5"/>
  <c r="F46" i="3"/>
  <c r="O51" i="55"/>
  <c r="O78" i="3"/>
  <c r="P25" i="5"/>
  <c r="Q25" i="5"/>
  <c r="N25" i="5"/>
  <c r="O25" i="5"/>
  <c r="R65" i="4"/>
  <c r="K49" i="2"/>
  <c r="L53" i="55"/>
  <c r="L55" i="55"/>
  <c r="P49" i="55"/>
  <c r="Q67" i="3" s="1"/>
  <c r="J38" i="55"/>
  <c r="K8" i="3"/>
  <c r="L43" i="2"/>
  <c r="L44" i="2"/>
  <c r="M44" i="2" s="1"/>
  <c r="F30" i="5"/>
  <c r="G5" i="3"/>
  <c r="E2" i="55"/>
  <c r="F5" i="4"/>
  <c r="I61" i="3"/>
  <c r="C18" i="129" s="1"/>
  <c r="E41" i="2"/>
  <c r="J18" i="3"/>
  <c r="I18" i="3"/>
  <c r="H11" i="5"/>
  <c r="L11" i="5"/>
  <c r="P11" i="5"/>
  <c r="I11" i="5"/>
  <c r="M11" i="5"/>
  <c r="Q11" i="5"/>
  <c r="J11" i="5"/>
  <c r="N11" i="5"/>
  <c r="G11" i="5"/>
  <c r="K11" i="5"/>
  <c r="O11" i="5"/>
  <c r="D57" i="2" l="1"/>
  <c r="AA62" i="55"/>
  <c r="Y63" i="55"/>
  <c r="D44" i="104"/>
  <c r="C7" i="46"/>
  <c r="B8" i="46" s="1"/>
  <c r="M50" i="55"/>
  <c r="M81" i="3"/>
  <c r="C57" i="2"/>
  <c r="C6" i="12"/>
  <c r="D46" i="2"/>
  <c r="X42" i="2"/>
  <c r="N42" i="2"/>
  <c r="O42" i="2" s="1"/>
  <c r="P42" i="2" s="1"/>
  <c r="Q42" i="2" s="1"/>
  <c r="R42" i="2" s="1"/>
  <c r="S42" i="2" s="1"/>
  <c r="T42" i="2" s="1"/>
  <c r="U42" i="2" s="1"/>
  <c r="V42" i="2" s="1"/>
  <c r="W42" i="2" s="1"/>
  <c r="X44" i="2"/>
  <c r="N44" i="2"/>
  <c r="O44" i="2" s="1"/>
  <c r="P44" i="2" s="1"/>
  <c r="Q44" i="2" s="1"/>
  <c r="G46" i="3"/>
  <c r="G90" i="3" s="1"/>
  <c r="P78" i="3"/>
  <c r="P51" i="55"/>
  <c r="M49" i="2"/>
  <c r="L49" i="2"/>
  <c r="M53" i="55"/>
  <c r="Q49" i="55"/>
  <c r="R67" i="3" s="1"/>
  <c r="M55" i="55"/>
  <c r="K38" i="55"/>
  <c r="C22" i="2"/>
  <c r="L8" i="3"/>
  <c r="M43" i="2"/>
  <c r="G5" i="4"/>
  <c r="C23" i="12" s="1"/>
  <c r="C10" i="12" s="1"/>
  <c r="F5" i="5"/>
  <c r="H5" i="3"/>
  <c r="J61" i="3"/>
  <c r="G26" i="5"/>
  <c r="H26" i="5"/>
  <c r="C24" i="12"/>
  <c r="G20" i="5"/>
  <c r="F26" i="5"/>
  <c r="F11" i="5"/>
  <c r="F20" i="5"/>
  <c r="F22" i="5"/>
  <c r="F2" i="55"/>
  <c r="D53" i="2"/>
  <c r="H10" i="5"/>
  <c r="J65" i="3"/>
  <c r="D19" i="129" s="1"/>
  <c r="I65" i="3"/>
  <c r="E57" i="2"/>
  <c r="F41" i="2"/>
  <c r="K18" i="3"/>
  <c r="J42" i="3"/>
  <c r="I83" i="3"/>
  <c r="C53" i="2"/>
  <c r="D22" i="2" l="1"/>
  <c r="D18" i="129"/>
  <c r="C21" i="2"/>
  <c r="E15" i="12" s="1"/>
  <c r="C19" i="129"/>
  <c r="R44" i="2"/>
  <c r="Z63" i="55"/>
  <c r="AB62" i="55"/>
  <c r="C7" i="106"/>
  <c r="B8" i="106" s="1"/>
  <c r="C62" i="104"/>
  <c r="C63" i="104" s="1"/>
  <c r="C64" i="104" s="1"/>
  <c r="C48" i="104"/>
  <c r="C49" i="104" s="1"/>
  <c r="C58" i="104"/>
  <c r="E44" i="104"/>
  <c r="N50" i="55"/>
  <c r="N81" i="3"/>
  <c r="X43" i="2"/>
  <c r="N43" i="2"/>
  <c r="O43" i="2" s="1"/>
  <c r="P43" i="2" s="1"/>
  <c r="Q43" i="2" s="1"/>
  <c r="R43" i="2" s="1"/>
  <c r="S43" i="2" s="1"/>
  <c r="T43" i="2" s="1"/>
  <c r="U43" i="2" s="1"/>
  <c r="V43" i="2" s="1"/>
  <c r="W43" i="2" s="1"/>
  <c r="I5" i="3"/>
  <c r="I46" i="3" s="1"/>
  <c r="H46" i="3"/>
  <c r="Q51" i="55"/>
  <c r="Q78" i="3"/>
  <c r="G2" i="55"/>
  <c r="H2" i="55" s="1"/>
  <c r="I2" i="55" s="1"/>
  <c r="J2" i="55" s="1"/>
  <c r="K2" i="55" s="1"/>
  <c r="L2" i="55" s="1"/>
  <c r="M2" i="55" s="1"/>
  <c r="N2" i="55" s="1"/>
  <c r="O2" i="55" s="1"/>
  <c r="P2" i="55" s="1"/>
  <c r="Q2" i="55" s="1"/>
  <c r="R2" i="55" s="1"/>
  <c r="S2" i="55" s="1"/>
  <c r="T2" i="55" s="1"/>
  <c r="U2" i="55" s="1"/>
  <c r="H5" i="4"/>
  <c r="N53" i="55"/>
  <c r="N55" i="55"/>
  <c r="R49" i="55"/>
  <c r="L38" i="55"/>
  <c r="D21" i="2"/>
  <c r="F15" i="12" s="1"/>
  <c r="M8" i="3"/>
  <c r="G5" i="5"/>
  <c r="G10" i="5"/>
  <c r="F29" i="5"/>
  <c r="F28" i="5" s="1"/>
  <c r="K65" i="3"/>
  <c r="I26" i="5"/>
  <c r="L18" i="3"/>
  <c r="K42" i="3"/>
  <c r="G41" i="2"/>
  <c r="F57" i="2"/>
  <c r="E53" i="2"/>
  <c r="E46" i="2"/>
  <c r="J83" i="3"/>
  <c r="I10" i="5"/>
  <c r="E21" i="2" l="1"/>
  <c r="G15" i="12" s="1"/>
  <c r="E19" i="129"/>
  <c r="S44" i="2"/>
  <c r="AA63" i="55"/>
  <c r="D62" i="104"/>
  <c r="D63" i="104" s="1"/>
  <c r="D64" i="104" s="1"/>
  <c r="D58" i="104"/>
  <c r="D48" i="104"/>
  <c r="D49" i="104" s="1"/>
  <c r="F44" i="104"/>
  <c r="J5" i="3"/>
  <c r="I5" i="4"/>
  <c r="H5" i="5"/>
  <c r="C16" i="2"/>
  <c r="C48" i="2" s="1"/>
  <c r="C60" i="2" s="1"/>
  <c r="O50" i="55"/>
  <c r="O81" i="3"/>
  <c r="S67" i="3"/>
  <c r="S49" i="55"/>
  <c r="R51" i="55"/>
  <c r="R78" i="3"/>
  <c r="D23" i="12"/>
  <c r="D10" i="12" s="1"/>
  <c r="I5" i="5"/>
  <c r="O53" i="55"/>
  <c r="E23" i="12"/>
  <c r="E10" i="12" s="1"/>
  <c r="O55" i="55"/>
  <c r="M38" i="55"/>
  <c r="K5" i="3"/>
  <c r="D16" i="2"/>
  <c r="D5" i="2" s="1"/>
  <c r="D62" i="2" s="1"/>
  <c r="N8" i="3"/>
  <c r="J46" i="3"/>
  <c r="J5" i="4"/>
  <c r="K61" i="3"/>
  <c r="E18" i="129" s="1"/>
  <c r="L65" i="3"/>
  <c r="J26" i="5"/>
  <c r="L61" i="3"/>
  <c r="F18" i="129" s="1"/>
  <c r="L42" i="3"/>
  <c r="F46" i="2"/>
  <c r="F53" i="2"/>
  <c r="M18" i="3"/>
  <c r="K83" i="3"/>
  <c r="G57" i="2"/>
  <c r="H41" i="2"/>
  <c r="F21" i="2" l="1"/>
  <c r="H15" i="12" s="1"/>
  <c r="F19" i="129"/>
  <c r="T44" i="2"/>
  <c r="AB63" i="55"/>
  <c r="E58" i="104"/>
  <c r="E62" i="104"/>
  <c r="E63" i="104" s="1"/>
  <c r="E64" i="104" s="1"/>
  <c r="E48" i="104"/>
  <c r="E49" i="104" s="1"/>
  <c r="G44" i="104"/>
  <c r="C40" i="2"/>
  <c r="C52" i="2" s="1"/>
  <c r="C46" i="2"/>
  <c r="C47" i="2" s="1"/>
  <c r="P50" i="55"/>
  <c r="P81" i="3"/>
  <c r="C5" i="2"/>
  <c r="C62" i="2" s="1"/>
  <c r="T49" i="55"/>
  <c r="T67" i="3"/>
  <c r="S53" i="55"/>
  <c r="S78" i="3"/>
  <c r="S51" i="55"/>
  <c r="S65" i="3"/>
  <c r="M19" i="129" s="1"/>
  <c r="R26" i="5"/>
  <c r="K5" i="4"/>
  <c r="J5" i="5"/>
  <c r="P53" i="55"/>
  <c r="F23" i="12"/>
  <c r="F10" i="12" s="1"/>
  <c r="P55" i="55"/>
  <c r="N38" i="55"/>
  <c r="F22" i="2"/>
  <c r="J10" i="5"/>
  <c r="E22" i="2"/>
  <c r="L5" i="3"/>
  <c r="E16" i="2"/>
  <c r="E5" i="2" s="1"/>
  <c r="E62" i="2" s="1"/>
  <c r="D40" i="2"/>
  <c r="D52" i="2" s="1"/>
  <c r="D10" i="2"/>
  <c r="K46" i="3"/>
  <c r="O8" i="3"/>
  <c r="F10" i="5"/>
  <c r="K26" i="5"/>
  <c r="M65" i="3"/>
  <c r="H57" i="2"/>
  <c r="I41" i="2"/>
  <c r="G46" i="2"/>
  <c r="G53" i="2"/>
  <c r="L83" i="3"/>
  <c r="M42" i="3"/>
  <c r="N18" i="3"/>
  <c r="K10" i="5"/>
  <c r="M61" i="3"/>
  <c r="G22" i="2" l="1"/>
  <c r="G18" i="129"/>
  <c r="G21" i="2"/>
  <c r="I15" i="12" s="1"/>
  <c r="G19" i="129"/>
  <c r="D47" i="2"/>
  <c r="E47" i="2" s="1"/>
  <c r="F47" i="2" s="1"/>
  <c r="G47" i="2" s="1"/>
  <c r="U44" i="2"/>
  <c r="F58" i="104"/>
  <c r="F62" i="104"/>
  <c r="F63" i="104" s="1"/>
  <c r="F64" i="104" s="1"/>
  <c r="F48" i="104"/>
  <c r="F49" i="104" s="1"/>
  <c r="H44" i="104"/>
  <c r="C10" i="2"/>
  <c r="Q50" i="55"/>
  <c r="Q81" i="3"/>
  <c r="T51" i="55"/>
  <c r="T78" i="3"/>
  <c r="S55" i="55"/>
  <c r="T65" i="3"/>
  <c r="S26" i="5"/>
  <c r="U67" i="3"/>
  <c r="T53" i="55"/>
  <c r="U49" i="55"/>
  <c r="V49" i="55" s="1"/>
  <c r="G23" i="12"/>
  <c r="G10" i="12" s="1"/>
  <c r="K5" i="5"/>
  <c r="R53" i="55"/>
  <c r="Q53" i="55"/>
  <c r="Q55" i="55"/>
  <c r="R55" i="55"/>
  <c r="O38" i="55"/>
  <c r="L46" i="3"/>
  <c r="E10" i="2"/>
  <c r="L5" i="4"/>
  <c r="E40" i="2"/>
  <c r="E52" i="2" s="1"/>
  <c r="M5" i="3"/>
  <c r="F16" i="2"/>
  <c r="P8" i="3"/>
  <c r="N65" i="3"/>
  <c r="L26" i="5"/>
  <c r="N42" i="3"/>
  <c r="M83" i="3"/>
  <c r="I57" i="2"/>
  <c r="J41" i="2"/>
  <c r="N61" i="3"/>
  <c r="H53" i="2"/>
  <c r="H46" i="2"/>
  <c r="L10" i="5"/>
  <c r="M26" i="5"/>
  <c r="O18" i="3"/>
  <c r="H21" i="2" l="1"/>
  <c r="J15" i="12" s="1"/>
  <c r="H19" i="129"/>
  <c r="N21" i="2"/>
  <c r="P15" i="12" s="1"/>
  <c r="N19" i="129"/>
  <c r="H22" i="2"/>
  <c r="H18" i="129"/>
  <c r="V44" i="2"/>
  <c r="W67" i="3"/>
  <c r="W49" i="55"/>
  <c r="V53" i="55"/>
  <c r="G58" i="104"/>
  <c r="G62" i="104"/>
  <c r="G63" i="104" s="1"/>
  <c r="G64" i="104" s="1"/>
  <c r="G48" i="104"/>
  <c r="G49" i="104" s="1"/>
  <c r="I44" i="104"/>
  <c r="R50" i="55"/>
  <c r="R81" i="3"/>
  <c r="T26" i="5"/>
  <c r="U65" i="3"/>
  <c r="V67" i="3"/>
  <c r="U53" i="55"/>
  <c r="U51" i="55"/>
  <c r="V51" i="55" s="1"/>
  <c r="U78" i="3"/>
  <c r="T55" i="55"/>
  <c r="M5" i="4"/>
  <c r="I23" i="12" s="1"/>
  <c r="I10" i="12" s="1"/>
  <c r="L5" i="5"/>
  <c r="M46" i="3"/>
  <c r="H23" i="12"/>
  <c r="H10" i="12" s="1"/>
  <c r="P38" i="55"/>
  <c r="F40" i="2"/>
  <c r="F52" i="2" s="1"/>
  <c r="F5" i="2"/>
  <c r="F62" i="2" s="1"/>
  <c r="N5" i="3"/>
  <c r="G16" i="2"/>
  <c r="Q8" i="3"/>
  <c r="O65" i="3"/>
  <c r="H47" i="2"/>
  <c r="N26" i="5"/>
  <c r="P65" i="3"/>
  <c r="J19" i="129" s="1"/>
  <c r="I53" i="2"/>
  <c r="I46" i="2"/>
  <c r="O61" i="3"/>
  <c r="M10" i="5"/>
  <c r="P18" i="3"/>
  <c r="K41" i="2"/>
  <c r="L41" i="2" s="1"/>
  <c r="L57" i="2" s="1"/>
  <c r="J57" i="2"/>
  <c r="N83" i="3"/>
  <c r="O42" i="3"/>
  <c r="O21" i="2" l="1"/>
  <c r="Q15" i="12" s="1"/>
  <c r="O19" i="129"/>
  <c r="I21" i="2"/>
  <c r="K15" i="12" s="1"/>
  <c r="I19" i="129"/>
  <c r="I22" i="2"/>
  <c r="I18" i="129"/>
  <c r="W44" i="2"/>
  <c r="W51" i="55"/>
  <c r="W78" i="3"/>
  <c r="V55" i="55"/>
  <c r="X49" i="55"/>
  <c r="X67" i="3"/>
  <c r="W53" i="55"/>
  <c r="W65" i="3"/>
  <c r="V26" i="5"/>
  <c r="J44" i="104"/>
  <c r="H58" i="104"/>
  <c r="H62" i="104"/>
  <c r="H63" i="104" s="1"/>
  <c r="H64" i="104" s="1"/>
  <c r="H48" i="104"/>
  <c r="H49" i="104" s="1"/>
  <c r="S50" i="55"/>
  <c r="S81" i="3"/>
  <c r="S79" i="3" s="1"/>
  <c r="M66" i="2" s="1"/>
  <c r="U55" i="55"/>
  <c r="V78" i="3"/>
  <c r="U26" i="5"/>
  <c r="V65" i="3"/>
  <c r="N5" i="4"/>
  <c r="J23" i="12" s="1"/>
  <c r="J10" i="12" s="1"/>
  <c r="N46" i="3"/>
  <c r="J21" i="2"/>
  <c r="L15" i="12" s="1"/>
  <c r="Q38" i="55"/>
  <c r="G5" i="2"/>
  <c r="G62" i="2" s="1"/>
  <c r="G40" i="2"/>
  <c r="G52" i="2" s="1"/>
  <c r="O5" i="3"/>
  <c r="H16" i="2"/>
  <c r="M5" i="5"/>
  <c r="F10" i="2"/>
  <c r="R8" i="3"/>
  <c r="L53" i="2"/>
  <c r="L46" i="2"/>
  <c r="I47" i="2"/>
  <c r="O26" i="5"/>
  <c r="Q65" i="3"/>
  <c r="P42" i="3"/>
  <c r="J46" i="2"/>
  <c r="J53" i="2"/>
  <c r="N10" i="5"/>
  <c r="Q18" i="3"/>
  <c r="O83" i="3"/>
  <c r="K57" i="2"/>
  <c r="P61" i="3"/>
  <c r="K21" i="2" l="1"/>
  <c r="M15" i="12" s="1"/>
  <c r="K19" i="129"/>
  <c r="J22" i="2"/>
  <c r="J18" i="129"/>
  <c r="Q21" i="2"/>
  <c r="S15" i="12" s="1"/>
  <c r="X65" i="3"/>
  <c r="R21" i="2" s="1"/>
  <c r="T15" i="12" s="1"/>
  <c r="W26" i="5"/>
  <c r="Y49" i="55"/>
  <c r="Y67" i="3"/>
  <c r="X53" i="55"/>
  <c r="X78" i="3"/>
  <c r="X51" i="55"/>
  <c r="W55" i="55"/>
  <c r="K44" i="104"/>
  <c r="I62" i="104"/>
  <c r="I63" i="104" s="1"/>
  <c r="I64" i="104" s="1"/>
  <c r="I48" i="104"/>
  <c r="I49" i="104" s="1"/>
  <c r="I58" i="104"/>
  <c r="T81" i="3"/>
  <c r="T79" i="3" s="1"/>
  <c r="S54" i="55"/>
  <c r="T50" i="55"/>
  <c r="N54" i="2"/>
  <c r="P21" i="2"/>
  <c r="R15" i="12" s="1"/>
  <c r="O5" i="4"/>
  <c r="O46" i="3"/>
  <c r="R38" i="55"/>
  <c r="S38" i="55" s="1"/>
  <c r="G10" i="2"/>
  <c r="H40" i="2"/>
  <c r="H52" i="2" s="1"/>
  <c r="H5" i="2"/>
  <c r="H62" i="2" s="1"/>
  <c r="P5" i="3"/>
  <c r="I16" i="2"/>
  <c r="N5" i="5"/>
  <c r="J47" i="2"/>
  <c r="R18" i="3"/>
  <c r="P26" i="5"/>
  <c r="R65" i="3"/>
  <c r="O10" i="5"/>
  <c r="K46" i="2"/>
  <c r="K53" i="2"/>
  <c r="P83" i="3"/>
  <c r="Q42" i="3"/>
  <c r="Q61" i="3"/>
  <c r="L21" i="2" l="1"/>
  <c r="N15" i="12" s="1"/>
  <c r="L19" i="129"/>
  <c r="K22" i="2"/>
  <c r="K18" i="129"/>
  <c r="Y51" i="55"/>
  <c r="Y78" i="3"/>
  <c r="X55" i="55"/>
  <c r="Y65" i="3"/>
  <c r="S21" i="2" s="1"/>
  <c r="U15" i="12" s="1"/>
  <c r="X26" i="5"/>
  <c r="Z49" i="55"/>
  <c r="Z67" i="3"/>
  <c r="Y53" i="55"/>
  <c r="J48" i="104"/>
  <c r="J49" i="104" s="1"/>
  <c r="J62" i="104"/>
  <c r="J63" i="104" s="1"/>
  <c r="J64" i="104" s="1"/>
  <c r="J58" i="104"/>
  <c r="L44" i="104"/>
  <c r="U50" i="55"/>
  <c r="V50" i="55" s="1"/>
  <c r="U81" i="3"/>
  <c r="U79" i="3" s="1"/>
  <c r="T54" i="55"/>
  <c r="O54" i="2"/>
  <c r="N26" i="2"/>
  <c r="P19" i="12" s="1"/>
  <c r="P33" i="12"/>
  <c r="N66" i="2"/>
  <c r="N56" i="2"/>
  <c r="S27" i="5"/>
  <c r="T38" i="55"/>
  <c r="K23" i="12"/>
  <c r="K10" i="12" s="1"/>
  <c r="Q5" i="3"/>
  <c r="J16" i="2"/>
  <c r="I5" i="2"/>
  <c r="I62" i="2" s="1"/>
  <c r="I40" i="2"/>
  <c r="I52" i="2" s="1"/>
  <c r="H10" i="2"/>
  <c r="O5" i="5"/>
  <c r="P46" i="3"/>
  <c r="P5" i="4"/>
  <c r="X49" i="2"/>
  <c r="K47" i="2"/>
  <c r="R42" i="3"/>
  <c r="Q83" i="3"/>
  <c r="Q26" i="5"/>
  <c r="P10" i="5"/>
  <c r="M41" i="2"/>
  <c r="N41" i="2" s="1"/>
  <c r="R61" i="3"/>
  <c r="L18" i="129" s="1"/>
  <c r="Z65" i="3" l="1"/>
  <c r="T21" i="2" s="1"/>
  <c r="V15" i="12" s="1"/>
  <c r="Y26" i="5"/>
  <c r="W50" i="55"/>
  <c r="W81" i="3"/>
  <c r="W79" i="3" s="1"/>
  <c r="V54" i="55"/>
  <c r="AA49" i="55"/>
  <c r="AA67" i="3"/>
  <c r="Z53" i="55"/>
  <c r="Z51" i="55"/>
  <c r="Z78" i="3"/>
  <c r="Y55" i="55"/>
  <c r="K62" i="104"/>
  <c r="K63" i="104" s="1"/>
  <c r="K64" i="104" s="1"/>
  <c r="K48" i="104"/>
  <c r="K49" i="104" s="1"/>
  <c r="K58" i="104"/>
  <c r="M44" i="104"/>
  <c r="L22" i="2"/>
  <c r="R10" i="5"/>
  <c r="Q33" i="12"/>
  <c r="O66" i="2"/>
  <c r="O26" i="2"/>
  <c r="Q19" i="12" s="1"/>
  <c r="O56" i="2"/>
  <c r="T27" i="5"/>
  <c r="U54" i="55"/>
  <c r="V81" i="3"/>
  <c r="V79" i="3" s="1"/>
  <c r="P54" i="2"/>
  <c r="U38" i="55"/>
  <c r="V38" i="55" s="1"/>
  <c r="W38" i="55" s="1"/>
  <c r="X38" i="55" s="1"/>
  <c r="Y38" i="55" s="1"/>
  <c r="Z38" i="55" s="1"/>
  <c r="AA38" i="55" s="1"/>
  <c r="AB38" i="55" s="1"/>
  <c r="O41" i="2"/>
  <c r="N57" i="2"/>
  <c r="Q46" i="3"/>
  <c r="Q5" i="4"/>
  <c r="M23" i="12" s="1"/>
  <c r="M10" i="12" s="1"/>
  <c r="P5" i="5"/>
  <c r="L23" i="12"/>
  <c r="L10" i="12" s="1"/>
  <c r="I10" i="2"/>
  <c r="J5" i="2"/>
  <c r="J62" i="2" s="1"/>
  <c r="J40" i="2"/>
  <c r="J52" i="2" s="1"/>
  <c r="R5" i="3"/>
  <c r="K16" i="2"/>
  <c r="L47" i="2"/>
  <c r="M57" i="2"/>
  <c r="X41" i="2"/>
  <c r="X45" i="2" s="1"/>
  <c r="X57" i="2" s="1"/>
  <c r="R83" i="3"/>
  <c r="M22" i="2"/>
  <c r="Q10" i="5"/>
  <c r="M21" i="2"/>
  <c r="O15" i="12" s="1"/>
  <c r="AA65" i="3" l="1"/>
  <c r="U21" i="2" s="1"/>
  <c r="W15" i="12" s="1"/>
  <c r="Z26" i="5"/>
  <c r="AB49" i="55"/>
  <c r="AB67" i="3"/>
  <c r="AA53" i="55"/>
  <c r="Q66" i="2"/>
  <c r="V27" i="5"/>
  <c r="S33" i="12"/>
  <c r="Q56" i="2"/>
  <c r="X50" i="55"/>
  <c r="X81" i="3"/>
  <c r="X79" i="3" s="1"/>
  <c r="W54" i="55"/>
  <c r="AA51" i="55"/>
  <c r="AA78" i="3"/>
  <c r="Z55" i="55"/>
  <c r="Q26" i="2"/>
  <c r="S19" i="12" s="1"/>
  <c r="N44" i="104"/>
  <c r="X44" i="104"/>
  <c r="L62" i="104"/>
  <c r="L63" i="104" s="1"/>
  <c r="L64" i="104" s="1"/>
  <c r="L58" i="104"/>
  <c r="L48" i="104"/>
  <c r="L49" i="104" s="1"/>
  <c r="S5" i="3"/>
  <c r="S46" i="3" s="1"/>
  <c r="R5" i="4"/>
  <c r="P26" i="2"/>
  <c r="R19" i="12" s="1"/>
  <c r="R33" i="12"/>
  <c r="P66" i="2"/>
  <c r="P56" i="2"/>
  <c r="U27" i="5"/>
  <c r="N46" i="2"/>
  <c r="N53" i="2"/>
  <c r="P41" i="2"/>
  <c r="O57" i="2"/>
  <c r="R46" i="3"/>
  <c r="Q5" i="5"/>
  <c r="K5" i="2"/>
  <c r="K62" i="2" s="1"/>
  <c r="K40" i="2"/>
  <c r="K52" i="2" s="1"/>
  <c r="L16" i="2"/>
  <c r="L40" i="2" s="1"/>
  <c r="L52" i="2" s="1"/>
  <c r="J10" i="2"/>
  <c r="X53" i="2"/>
  <c r="X46" i="2"/>
  <c r="M46" i="2"/>
  <c r="M53" i="2"/>
  <c r="P57" i="2" l="1"/>
  <c r="Q41" i="2"/>
  <c r="AB51" i="55"/>
  <c r="AB78" i="3"/>
  <c r="AA55" i="55"/>
  <c r="AB65" i="3"/>
  <c r="V21" i="2" s="1"/>
  <c r="X15" i="12" s="1"/>
  <c r="AA26" i="5"/>
  <c r="T33" i="12"/>
  <c r="R66" i="2"/>
  <c r="W27" i="5"/>
  <c r="R56" i="2"/>
  <c r="R26" i="2"/>
  <c r="T19" i="12" s="1"/>
  <c r="AC67" i="3"/>
  <c r="AB53" i="55"/>
  <c r="Y81" i="3"/>
  <c r="Y79" i="3" s="1"/>
  <c r="Y50" i="55"/>
  <c r="X54" i="55"/>
  <c r="M62" i="104"/>
  <c r="M63" i="104" s="1"/>
  <c r="M64" i="104" s="1"/>
  <c r="M48" i="104"/>
  <c r="M49" i="104" s="1"/>
  <c r="M58" i="104"/>
  <c r="X48" i="104"/>
  <c r="X49" i="104" s="1"/>
  <c r="X58" i="104"/>
  <c r="X62" i="104"/>
  <c r="X63" i="104" s="1"/>
  <c r="X64" i="104" s="1"/>
  <c r="O44" i="104"/>
  <c r="S5" i="4"/>
  <c r="T5" i="3"/>
  <c r="R5" i="5"/>
  <c r="O46" i="2"/>
  <c r="O53" i="2"/>
  <c r="P46" i="2"/>
  <c r="P53" i="2"/>
  <c r="N23" i="12"/>
  <c r="N10" i="12" s="1"/>
  <c r="O23" i="12"/>
  <c r="O10" i="12" s="1"/>
  <c r="L5" i="2"/>
  <c r="L62" i="2" s="1"/>
  <c r="M16" i="2"/>
  <c r="M40" i="2" s="1"/>
  <c r="M52" i="2" s="1"/>
  <c r="K10" i="2"/>
  <c r="M47" i="2"/>
  <c r="N47" i="2" s="1"/>
  <c r="X47" i="2"/>
  <c r="P44" i="104" l="1"/>
  <c r="R41" i="2"/>
  <c r="Q44" i="104"/>
  <c r="Z50" i="55"/>
  <c r="Z81" i="3"/>
  <c r="Z79" i="3" s="1"/>
  <c r="Y54" i="55"/>
  <c r="AC65" i="3"/>
  <c r="W21" i="2" s="1"/>
  <c r="Y15" i="12" s="1"/>
  <c r="AB26" i="5"/>
  <c r="X27" i="5"/>
  <c r="S26" i="2"/>
  <c r="U19" i="12" s="1"/>
  <c r="U33" i="12"/>
  <c r="S56" i="2"/>
  <c r="S66" i="2"/>
  <c r="AC78" i="3"/>
  <c r="AB55" i="55"/>
  <c r="N48" i="104"/>
  <c r="N49" i="104" s="1"/>
  <c r="N62" i="104"/>
  <c r="N63" i="104" s="1"/>
  <c r="N64" i="104" s="1"/>
  <c r="N58" i="104"/>
  <c r="U5" i="3"/>
  <c r="N16" i="2"/>
  <c r="S5" i="5"/>
  <c r="T5" i="4"/>
  <c r="P23" i="12" s="1"/>
  <c r="P10" i="12" s="1"/>
  <c r="T46" i="3"/>
  <c r="O47" i="2"/>
  <c r="L10" i="2"/>
  <c r="M5" i="2"/>
  <c r="M62" i="2" s="1"/>
  <c r="P48" i="104" l="1"/>
  <c r="P62" i="104"/>
  <c r="P63" i="104" s="1"/>
  <c r="P58" i="104"/>
  <c r="R44" i="104"/>
  <c r="Q46" i="2"/>
  <c r="Q57" i="2"/>
  <c r="Q58" i="2" s="1"/>
  <c r="Q53" i="2"/>
  <c r="S41" i="2"/>
  <c r="V33" i="12"/>
  <c r="Y27" i="5"/>
  <c r="T26" i="2"/>
  <c r="V19" i="12" s="1"/>
  <c r="T56" i="2"/>
  <c r="T66" i="2"/>
  <c r="AA50" i="55"/>
  <c r="AA81" i="3"/>
  <c r="AA79" i="3" s="1"/>
  <c r="Z54" i="55"/>
  <c r="O48" i="104"/>
  <c r="O49" i="104" s="1"/>
  <c r="O62" i="104"/>
  <c r="O63" i="104" s="1"/>
  <c r="O64" i="104" s="1"/>
  <c r="O58" i="104"/>
  <c r="N5" i="2"/>
  <c r="N40" i="2"/>
  <c r="N52" i="2" s="1"/>
  <c r="O16" i="2"/>
  <c r="U5" i="4"/>
  <c r="Q23" i="12" s="1"/>
  <c r="Q10" i="12" s="1"/>
  <c r="T5" i="5"/>
  <c r="U46" i="3"/>
  <c r="V5" i="3"/>
  <c r="P47" i="2"/>
  <c r="M10" i="2"/>
  <c r="P64" i="104" l="1"/>
  <c r="Q47" i="2"/>
  <c r="P49" i="104"/>
  <c r="Q48" i="104"/>
  <c r="Q62" i="104"/>
  <c r="Q63" i="104" s="1"/>
  <c r="Q58" i="104"/>
  <c r="S44" i="104"/>
  <c r="R46" i="2"/>
  <c r="R47" i="2" s="1"/>
  <c r="R57" i="2"/>
  <c r="R58" i="2" s="1"/>
  <c r="R53" i="2"/>
  <c r="T41" i="2"/>
  <c r="W33" i="12"/>
  <c r="U66" i="2"/>
  <c r="U26" i="2"/>
  <c r="W19" i="12" s="1"/>
  <c r="U56" i="2"/>
  <c r="Z27" i="5"/>
  <c r="AB50" i="55"/>
  <c r="AB81" i="3"/>
  <c r="AB79" i="3" s="1"/>
  <c r="AA54" i="55"/>
  <c r="V46" i="3"/>
  <c r="P16" i="2"/>
  <c r="V5" i="4"/>
  <c r="R23" i="12" s="1"/>
  <c r="R10" i="12" s="1"/>
  <c r="U5" i="5"/>
  <c r="O40" i="2"/>
  <c r="O52" i="2" s="1"/>
  <c r="O5" i="2"/>
  <c r="N62" i="2"/>
  <c r="N10" i="2"/>
  <c r="D24" i="12"/>
  <c r="I49" i="3"/>
  <c r="G29" i="5"/>
  <c r="Q64" i="104" l="1"/>
  <c r="Q49" i="104"/>
  <c r="R62" i="104"/>
  <c r="R63" i="104" s="1"/>
  <c r="R58" i="104"/>
  <c r="R48" i="104"/>
  <c r="T44" i="104"/>
  <c r="U41" i="2"/>
  <c r="S46" i="2"/>
  <c r="S47" i="2" s="1"/>
  <c r="S57" i="2"/>
  <c r="S58" i="2" s="1"/>
  <c r="S53" i="2"/>
  <c r="X33" i="12"/>
  <c r="V26" i="2"/>
  <c r="X19" i="12" s="1"/>
  <c r="AA27" i="5"/>
  <c r="V66" i="2"/>
  <c r="V56" i="2"/>
  <c r="AC81" i="3"/>
  <c r="AC79" i="3" s="1"/>
  <c r="AB54" i="55"/>
  <c r="O62" i="2"/>
  <c r="O10" i="2"/>
  <c r="P5" i="2"/>
  <c r="P40" i="2"/>
  <c r="P52" i="2" s="1"/>
  <c r="D25" i="12"/>
  <c r="J49" i="3"/>
  <c r="R64" i="104" l="1"/>
  <c r="R49" i="104"/>
  <c r="S62" i="104"/>
  <c r="S63" i="104" s="1"/>
  <c r="S58" i="104"/>
  <c r="S48" i="104"/>
  <c r="V41" i="2"/>
  <c r="U44" i="104"/>
  <c r="T53" i="2"/>
  <c r="T46" i="2"/>
  <c r="T47" i="2" s="1"/>
  <c r="T57" i="2"/>
  <c r="T58" i="2" s="1"/>
  <c r="Y33" i="12"/>
  <c r="W56" i="2"/>
  <c r="W66" i="2"/>
  <c r="W26" i="2"/>
  <c r="Y19" i="12" s="1"/>
  <c r="AB27" i="5"/>
  <c r="P62" i="2"/>
  <c r="P10" i="2"/>
  <c r="K49" i="3"/>
  <c r="S64" i="104" l="1"/>
  <c r="S49" i="104"/>
  <c r="U57" i="2"/>
  <c r="U58" i="2" s="1"/>
  <c r="U53" i="2"/>
  <c r="U46" i="2"/>
  <c r="U47" i="2" s="1"/>
  <c r="T58" i="104"/>
  <c r="T48" i="104"/>
  <c r="T49" i="104" s="1"/>
  <c r="T62" i="104"/>
  <c r="T63" i="104" s="1"/>
  <c r="T64" i="104" s="1"/>
  <c r="W41" i="2"/>
  <c r="V44" i="104"/>
  <c r="L49" i="3"/>
  <c r="V53" i="2" l="1"/>
  <c r="V46" i="2"/>
  <c r="V47" i="2" s="1"/>
  <c r="V57" i="2"/>
  <c r="V58" i="2" s="1"/>
  <c r="U58" i="104"/>
  <c r="U48" i="104"/>
  <c r="U49" i="104" s="1"/>
  <c r="U62" i="104"/>
  <c r="U63" i="104" s="1"/>
  <c r="U64" i="104" s="1"/>
  <c r="W44" i="104"/>
  <c r="W53" i="2"/>
  <c r="W57" i="2"/>
  <c r="W58" i="2" s="1"/>
  <c r="W46" i="2"/>
  <c r="M49" i="3"/>
  <c r="W47" i="2" l="1"/>
  <c r="V58" i="104"/>
  <c r="V48" i="104"/>
  <c r="V49" i="104" s="1"/>
  <c r="V62" i="104"/>
  <c r="V63" i="104" s="1"/>
  <c r="V64" i="104" s="1"/>
  <c r="W62" i="104"/>
  <c r="W63" i="104" s="1"/>
  <c r="W58" i="104"/>
  <c r="W48" i="104"/>
  <c r="N49" i="3"/>
  <c r="W64" i="104" l="1"/>
  <c r="W49" i="104"/>
  <c r="O49" i="3"/>
  <c r="P49" i="3" l="1"/>
  <c r="Q49" i="3" l="1"/>
  <c r="R49" i="3" l="1"/>
  <c r="C26" i="12" l="1"/>
  <c r="C27" i="12" l="1"/>
  <c r="D27" i="12"/>
  <c r="D26" i="12" l="1"/>
  <c r="G39" i="55"/>
  <c r="H39" i="55" s="1"/>
  <c r="I39" i="55" l="1"/>
  <c r="I17" i="4"/>
  <c r="C6" i="129" s="1"/>
  <c r="H20" i="89" l="1"/>
  <c r="H18" i="89" s="1"/>
  <c r="H54" i="95"/>
  <c r="H44" i="95" s="1"/>
  <c r="I32" i="4" s="1"/>
  <c r="I30" i="4" s="1"/>
  <c r="J39" i="55"/>
  <c r="H43" i="55"/>
  <c r="E27" i="12"/>
  <c r="I10" i="4" l="1"/>
  <c r="C63" i="2" s="1"/>
  <c r="I75" i="3"/>
  <c r="I76" i="3" s="1"/>
  <c r="K39" i="55"/>
  <c r="E24" i="12" l="1"/>
  <c r="E25" i="12" s="1"/>
  <c r="I9" i="4"/>
  <c r="D3" i="94" s="1"/>
  <c r="D4" i="94" s="1"/>
  <c r="L39" i="55"/>
  <c r="D5" i="94" l="1"/>
  <c r="D8" i="94" s="1"/>
  <c r="D7" i="94"/>
  <c r="H28" i="55" s="1"/>
  <c r="G67" i="123"/>
  <c r="C4" i="129"/>
  <c r="M39" i="55"/>
  <c r="H8" i="55" l="1"/>
  <c r="H5" i="55" s="1"/>
  <c r="I15" i="3" s="1"/>
  <c r="I21" i="55"/>
  <c r="I15" i="55" s="1"/>
  <c r="I55" i="95" s="1"/>
  <c r="D6" i="94"/>
  <c r="H27" i="55"/>
  <c r="G19" i="123"/>
  <c r="N39" i="55"/>
  <c r="H26" i="55" l="1"/>
  <c r="H7" i="55"/>
  <c r="I20" i="55"/>
  <c r="O39" i="55"/>
  <c r="H6" i="55" l="1"/>
  <c r="H4" i="55"/>
  <c r="I14" i="55"/>
  <c r="I56" i="95" s="1"/>
  <c r="J23" i="4" s="1"/>
  <c r="D9" i="129" s="1"/>
  <c r="I19" i="55"/>
  <c r="P39" i="55"/>
  <c r="H3" i="55" l="1"/>
  <c r="I16" i="3"/>
  <c r="I17" i="3" s="1"/>
  <c r="I13" i="3" s="1"/>
  <c r="Q39" i="55"/>
  <c r="R39" i="55" l="1"/>
  <c r="S39" i="55" s="1"/>
  <c r="T39" i="55" l="1"/>
  <c r="G9" i="5"/>
  <c r="F9" i="5"/>
  <c r="U39" i="55" l="1"/>
  <c r="V39" i="55" s="1"/>
  <c r="W39" i="55" s="1"/>
  <c r="X39" i="55" s="1"/>
  <c r="Y39" i="55" s="1"/>
  <c r="Z39" i="55" s="1"/>
  <c r="AA39" i="55" s="1"/>
  <c r="AB39" i="55" s="1"/>
  <c r="C28" i="12"/>
  <c r="C34" i="12" s="1"/>
  <c r="E57" i="4"/>
  <c r="E61" i="4" s="1"/>
  <c r="E62" i="4" s="1"/>
  <c r="E63" i="4"/>
  <c r="E64" i="4" s="1"/>
  <c r="D28" i="12" l="1"/>
  <c r="C29" i="12"/>
  <c r="D29" i="12" l="1"/>
  <c r="F19" i="5" l="1"/>
  <c r="C25" i="2"/>
  <c r="E18" i="12" s="1"/>
  <c r="F13" i="5"/>
  <c r="F8" i="5" s="1"/>
  <c r="G13" i="5"/>
  <c r="G8" i="5" s="1"/>
  <c r="F59" i="123" s="1"/>
  <c r="G19" i="5"/>
  <c r="F7" i="5"/>
  <c r="D7" i="5" l="1"/>
  <c r="G21" i="5"/>
  <c r="G18" i="5" s="1"/>
  <c r="F21" i="5"/>
  <c r="F18" i="5" s="1"/>
  <c r="D21" i="5" l="1"/>
  <c r="D18" i="5" s="1"/>
  <c r="D31" i="5" s="1"/>
  <c r="C63" i="123" s="1"/>
  <c r="C64" i="123" s="1"/>
  <c r="D32" i="5" l="1"/>
  <c r="D38" i="5" s="1"/>
  <c r="G7" i="5"/>
  <c r="F57" i="123" s="1"/>
  <c r="H19" i="5"/>
  <c r="H13" i="5"/>
  <c r="E27" i="55" l="1"/>
  <c r="E26" i="55" s="1"/>
  <c r="F24" i="5"/>
  <c r="F23" i="5" l="1"/>
  <c r="C30" i="12"/>
  <c r="G24" i="5" l="1"/>
  <c r="F61" i="123" s="1"/>
  <c r="G23" i="5" l="1"/>
  <c r="D30" i="12"/>
  <c r="G26" i="55"/>
  <c r="I13" i="55" l="1"/>
  <c r="I7" i="3" l="1"/>
  <c r="C18" i="2"/>
  <c r="E12" i="12" s="1"/>
  <c r="H9" i="5"/>
  <c r="H24" i="5" l="1"/>
  <c r="G61" i="123" s="1"/>
  <c r="C12" i="129"/>
  <c r="D18" i="2"/>
  <c r="F12" i="12" s="1"/>
  <c r="I9" i="5"/>
  <c r="H8" i="5"/>
  <c r="C20" i="2" l="1"/>
  <c r="E14" i="12" s="1"/>
  <c r="H23" i="5"/>
  <c r="C25" i="129" s="1"/>
  <c r="E30" i="12"/>
  <c r="G59" i="123"/>
  <c r="G7" i="123" s="1"/>
  <c r="C23" i="129"/>
  <c r="J79" i="3" l="1"/>
  <c r="D23" i="2" l="1"/>
  <c r="I13" i="5"/>
  <c r="I8" i="5" s="1"/>
  <c r="I19" i="5"/>
  <c r="K79" i="3"/>
  <c r="E66" i="2" s="1"/>
  <c r="E56" i="2"/>
  <c r="D66" i="2"/>
  <c r="D26" i="2"/>
  <c r="F19" i="12" s="1"/>
  <c r="H59" i="123" l="1"/>
  <c r="D23" i="129"/>
  <c r="F56" i="2"/>
  <c r="E26" i="2"/>
  <c r="G19" i="12" s="1"/>
  <c r="E23" i="2"/>
  <c r="J19" i="5"/>
  <c r="J13" i="5"/>
  <c r="L79" i="3"/>
  <c r="F66" i="2" s="1"/>
  <c r="D25" i="2"/>
  <c r="F18" i="12" s="1"/>
  <c r="F16" i="12"/>
  <c r="G56" i="2" l="1"/>
  <c r="F26" i="2"/>
  <c r="H19" i="12" s="1"/>
  <c r="F23" i="2"/>
  <c r="K13" i="5"/>
  <c r="K19" i="5"/>
  <c r="E25" i="2"/>
  <c r="G18" i="12" s="1"/>
  <c r="G16" i="12"/>
  <c r="M79" i="3"/>
  <c r="G66" i="2" s="1"/>
  <c r="G23" i="2" l="1"/>
  <c r="L13" i="5"/>
  <c r="L19" i="5"/>
  <c r="N79" i="3"/>
  <c r="H66" i="2" s="1"/>
  <c r="G26" i="2"/>
  <c r="I19" i="12" s="1"/>
  <c r="H56" i="2"/>
  <c r="F25" i="2"/>
  <c r="H18" i="12" s="1"/>
  <c r="H16" i="12"/>
  <c r="H23" i="2" l="1"/>
  <c r="M13" i="5"/>
  <c r="M19" i="5"/>
  <c r="I56" i="2"/>
  <c r="H26" i="2"/>
  <c r="J19" i="12" s="1"/>
  <c r="O79" i="3"/>
  <c r="I66" i="2" s="1"/>
  <c r="G25" i="2"/>
  <c r="I18" i="12" s="1"/>
  <c r="I16" i="12"/>
  <c r="J16" i="12" l="1"/>
  <c r="H25" i="2"/>
  <c r="J18" i="12" s="1"/>
  <c r="I26" i="2"/>
  <c r="K19" i="12" s="1"/>
  <c r="J56" i="2"/>
  <c r="K33" i="12"/>
  <c r="P79" i="3"/>
  <c r="J66" i="2" s="1"/>
  <c r="I23" i="2"/>
  <c r="N19" i="5"/>
  <c r="N13" i="5"/>
  <c r="F17" i="5"/>
  <c r="D45" i="55"/>
  <c r="D40" i="55" s="1"/>
  <c r="I25" i="2" l="1"/>
  <c r="K18" i="12" s="1"/>
  <c r="K16" i="12"/>
  <c r="Q79" i="3"/>
  <c r="K66" i="2" s="1"/>
  <c r="K56" i="2"/>
  <c r="J26" i="2"/>
  <c r="L19" i="12" s="1"/>
  <c r="L33" i="12"/>
  <c r="J23" i="2"/>
  <c r="O13" i="5"/>
  <c r="O19" i="5"/>
  <c r="G45" i="55"/>
  <c r="G40" i="55" s="1"/>
  <c r="H40" i="55" s="1"/>
  <c r="H45" i="55" s="1"/>
  <c r="I24" i="3" s="1"/>
  <c r="I23" i="3" s="1"/>
  <c r="K23" i="2" l="1"/>
  <c r="P13" i="5"/>
  <c r="P19" i="5"/>
  <c r="R79" i="3"/>
  <c r="J25" i="2"/>
  <c r="L18" i="12" s="1"/>
  <c r="L16" i="12"/>
  <c r="L56" i="2"/>
  <c r="M33" i="12"/>
  <c r="K26" i="2"/>
  <c r="M19" i="12" s="1"/>
  <c r="I40" i="55"/>
  <c r="H17" i="5"/>
  <c r="D31" i="12"/>
  <c r="G17" i="5"/>
  <c r="R27" i="5" l="1"/>
  <c r="L66" i="2"/>
  <c r="N33" i="12"/>
  <c r="L26" i="2"/>
  <c r="N19" i="12" s="1"/>
  <c r="L23" i="2"/>
  <c r="Q19" i="5"/>
  <c r="Q13" i="5"/>
  <c r="K25" i="2"/>
  <c r="M18" i="12" s="1"/>
  <c r="M16" i="12"/>
  <c r="J40" i="55"/>
  <c r="L25" i="2" l="1"/>
  <c r="N18" i="12" s="1"/>
  <c r="N16" i="12"/>
  <c r="M56" i="2"/>
  <c r="O33" i="12"/>
  <c r="M26" i="2"/>
  <c r="O19" i="12" s="1"/>
  <c r="M23" i="2"/>
  <c r="O16" i="12" s="1"/>
  <c r="K40" i="55"/>
  <c r="M25" i="2" l="1"/>
  <c r="X23" i="2"/>
  <c r="L40" i="55"/>
  <c r="X25" i="2" l="1"/>
  <c r="O18" i="12"/>
  <c r="M40" i="55"/>
  <c r="N40" i="55" l="1"/>
  <c r="O40" i="55" l="1"/>
  <c r="P40" i="55" l="1"/>
  <c r="Q40" i="55" l="1"/>
  <c r="R40" i="55" l="1"/>
  <c r="S40" i="55" s="1"/>
  <c r="T40" i="55" l="1"/>
  <c r="G15" i="5"/>
  <c r="F15" i="5"/>
  <c r="D42" i="55"/>
  <c r="D37" i="55" s="1"/>
  <c r="U40" i="55" l="1"/>
  <c r="V40" i="55" s="1"/>
  <c r="F6" i="5"/>
  <c r="G6" i="5"/>
  <c r="D44" i="55"/>
  <c r="D39" i="55" s="1"/>
  <c r="F16" i="5"/>
  <c r="F14" i="5" s="1"/>
  <c r="E60" i="123" s="1"/>
  <c r="E44" i="55"/>
  <c r="E39" i="55" s="1"/>
  <c r="F44" i="55"/>
  <c r="F39" i="55" s="1"/>
  <c r="G16" i="5"/>
  <c r="G14" i="5" s="1"/>
  <c r="F60" i="123" s="1"/>
  <c r="W40" i="55" l="1"/>
  <c r="E87" i="3"/>
  <c r="E90" i="3"/>
  <c r="G27" i="5"/>
  <c r="F62" i="123" s="1"/>
  <c r="D33" i="12"/>
  <c r="F27" i="5"/>
  <c r="E62" i="123" s="1"/>
  <c r="X40" i="55" l="1"/>
  <c r="F31" i="5"/>
  <c r="E63" i="123" s="1"/>
  <c r="E64" i="123" s="1"/>
  <c r="D34" i="12"/>
  <c r="Y40" i="55" l="1"/>
  <c r="F32" i="5"/>
  <c r="F38" i="5" s="1"/>
  <c r="H27" i="5"/>
  <c r="G62" i="123" s="1"/>
  <c r="E33" i="12"/>
  <c r="Z40" i="55" l="1"/>
  <c r="F33" i="12"/>
  <c r="I27" i="5"/>
  <c r="G30" i="5"/>
  <c r="G28" i="5" s="1"/>
  <c r="G31" i="5" s="1"/>
  <c r="F63" i="123" s="1"/>
  <c r="F64" i="123" s="1"/>
  <c r="AA40" i="55" l="1"/>
  <c r="G32" i="5"/>
  <c r="G38" i="5" s="1"/>
  <c r="J27" i="5"/>
  <c r="G33" i="12"/>
  <c r="AB40" i="55" l="1"/>
  <c r="K27" i="5"/>
  <c r="H33" i="12"/>
  <c r="H6" i="5" l="1"/>
  <c r="D35" i="12"/>
  <c r="D32" i="12" s="1"/>
  <c r="H87" i="3"/>
  <c r="L27" i="5"/>
  <c r="I33" i="12"/>
  <c r="H90" i="3" l="1"/>
  <c r="J33" i="12"/>
  <c r="M27" i="5"/>
  <c r="N27" i="5" l="1"/>
  <c r="O27" i="5" l="1"/>
  <c r="P27" i="5" l="1"/>
  <c r="Q27" i="5" l="1"/>
  <c r="X56" i="2" l="1"/>
  <c r="X26" i="2" l="1"/>
  <c r="G37" i="55" l="1"/>
  <c r="H37" i="55" s="1"/>
  <c r="I37" i="55" l="1"/>
  <c r="H42" i="55"/>
  <c r="I34" i="3" s="1"/>
  <c r="I33" i="3" l="1"/>
  <c r="H15" i="5"/>
  <c r="J37" i="55"/>
  <c r="K37" i="55" l="1"/>
  <c r="L37" i="55" l="1"/>
  <c r="M37" i="55" l="1"/>
  <c r="N37" i="55" l="1"/>
  <c r="O37" i="55" l="1"/>
  <c r="P37" i="55" l="1"/>
  <c r="Q37" i="55" l="1"/>
  <c r="R37" i="55" l="1"/>
  <c r="S37" i="55" s="1"/>
  <c r="T37" i="55" l="1"/>
  <c r="U37" i="55" l="1"/>
  <c r="V37" i="55" s="1"/>
  <c r="W37" i="55" l="1"/>
  <c r="J52" i="89"/>
  <c r="I52" i="89"/>
  <c r="I51" i="89" s="1"/>
  <c r="X37" i="55" l="1"/>
  <c r="I55" i="89"/>
  <c r="J51" i="89"/>
  <c r="I50" i="89"/>
  <c r="I43" i="89" l="1"/>
  <c r="I45" i="89" s="1"/>
  <c r="D38" i="127"/>
  <c r="Y37" i="55"/>
  <c r="I10" i="89"/>
  <c r="J48" i="73"/>
  <c r="J9" i="73" s="1"/>
  <c r="I40" i="89"/>
  <c r="I6" i="89"/>
  <c r="J55" i="89"/>
  <c r="K51" i="89"/>
  <c r="J50" i="89"/>
  <c r="J47" i="73" l="1"/>
  <c r="J3" i="73" s="1"/>
  <c r="J7" i="73" s="1"/>
  <c r="J12" i="73" s="1"/>
  <c r="D24" i="127"/>
  <c r="J43" i="89"/>
  <c r="J45" i="89" s="1"/>
  <c r="E38" i="127"/>
  <c r="Z37" i="55"/>
  <c r="I18" i="95"/>
  <c r="I42" i="89"/>
  <c r="D25" i="127" s="1"/>
  <c r="I14" i="89"/>
  <c r="I19" i="95" s="1"/>
  <c r="J24" i="73"/>
  <c r="J59" i="73" s="1"/>
  <c r="J10" i="89"/>
  <c r="K48" i="73"/>
  <c r="K9" i="73" s="1"/>
  <c r="I5" i="89"/>
  <c r="I31" i="95" s="1"/>
  <c r="I60" i="89"/>
  <c r="I61" i="89" s="1"/>
  <c r="J40" i="89"/>
  <c r="J6" i="89"/>
  <c r="K55" i="89"/>
  <c r="K50" i="89"/>
  <c r="L51" i="89"/>
  <c r="D39" i="127" l="1"/>
  <c r="D37" i="127"/>
  <c r="K47" i="73"/>
  <c r="K3" i="73" s="1"/>
  <c r="K7" i="73" s="1"/>
  <c r="E24" i="127"/>
  <c r="K43" i="89"/>
  <c r="K45" i="89" s="1"/>
  <c r="F38" i="127"/>
  <c r="I59" i="99"/>
  <c r="I15" i="89"/>
  <c r="AA37" i="55"/>
  <c r="J18" i="95"/>
  <c r="J42" i="89"/>
  <c r="I12" i="89"/>
  <c r="I13" i="89"/>
  <c r="I23" i="95" s="1"/>
  <c r="I25" i="95" s="1"/>
  <c r="I11" i="89"/>
  <c r="K24" i="73"/>
  <c r="K59" i="73" s="1"/>
  <c r="J14" i="89"/>
  <c r="J19" i="95" s="1"/>
  <c r="J27" i="73"/>
  <c r="J20" i="4" s="1"/>
  <c r="J18" i="4"/>
  <c r="I22" i="95"/>
  <c r="I21" i="95"/>
  <c r="I20" i="95"/>
  <c r="K10" i="89"/>
  <c r="L48" i="73"/>
  <c r="I62" i="89"/>
  <c r="I12" i="95"/>
  <c r="I35" i="89"/>
  <c r="J5" i="89"/>
  <c r="J31" i="95" s="1"/>
  <c r="J60" i="89"/>
  <c r="J61" i="89" s="1"/>
  <c r="K40" i="89"/>
  <c r="K6" i="89"/>
  <c r="L55" i="89"/>
  <c r="L50" i="89"/>
  <c r="M51" i="89"/>
  <c r="E25" i="127" l="1"/>
  <c r="E39" i="127"/>
  <c r="E37" i="127"/>
  <c r="K12" i="73"/>
  <c r="D5" i="127"/>
  <c r="L43" i="89"/>
  <c r="L45" i="89" s="1"/>
  <c r="G38" i="127"/>
  <c r="L47" i="73"/>
  <c r="F24" i="127"/>
  <c r="I26" i="95"/>
  <c r="I30" i="95" s="1"/>
  <c r="J12" i="89"/>
  <c r="J59" i="99"/>
  <c r="AB37" i="55"/>
  <c r="I24" i="95"/>
  <c r="J15" i="89"/>
  <c r="K18" i="95"/>
  <c r="K42" i="89"/>
  <c r="F25" i="127" s="1"/>
  <c r="J11" i="89"/>
  <c r="J26" i="95" s="1"/>
  <c r="J20" i="95"/>
  <c r="J21" i="95"/>
  <c r="J62" i="89"/>
  <c r="J12" i="95"/>
  <c r="L10" i="89"/>
  <c r="M48" i="73"/>
  <c r="J35" i="89"/>
  <c r="K14" i="89"/>
  <c r="K19" i="95" s="1"/>
  <c r="I13" i="95"/>
  <c r="I6" i="95" s="1"/>
  <c r="J17" i="4"/>
  <c r="D6" i="129" s="1"/>
  <c r="J13" i="89"/>
  <c r="J23" i="95" s="1"/>
  <c r="J25" i="95" s="1"/>
  <c r="J12" i="4"/>
  <c r="I28" i="89"/>
  <c r="J35" i="4" s="1"/>
  <c r="J33" i="4" s="1"/>
  <c r="J22" i="95"/>
  <c r="K18" i="4"/>
  <c r="K27" i="73"/>
  <c r="K20" i="4" s="1"/>
  <c r="K5" i="89"/>
  <c r="K31" i="95" s="1"/>
  <c r="K60" i="89"/>
  <c r="K61" i="89" s="1"/>
  <c r="L40" i="89"/>
  <c r="L6" i="89"/>
  <c r="M55" i="89"/>
  <c r="N51" i="89"/>
  <c r="M50" i="89"/>
  <c r="F39" i="127" l="1"/>
  <c r="F37" i="127"/>
  <c r="M47" i="73"/>
  <c r="G24" i="127"/>
  <c r="E5" i="127"/>
  <c r="M43" i="89"/>
  <c r="M45" i="89" s="1"/>
  <c r="H38" i="127"/>
  <c r="J30" i="95"/>
  <c r="K13" i="89"/>
  <c r="K23" i="95" s="1"/>
  <c r="K25" i="95" s="1"/>
  <c r="K59" i="99"/>
  <c r="K15" i="89"/>
  <c r="K11" i="89"/>
  <c r="K26" i="95" s="1"/>
  <c r="L18" i="95"/>
  <c r="L42" i="89"/>
  <c r="G25" i="127" s="1"/>
  <c r="K20" i="95"/>
  <c r="K21" i="95"/>
  <c r="J13" i="95"/>
  <c r="J6" i="95" s="1"/>
  <c r="K17" i="4"/>
  <c r="E6" i="129" s="1"/>
  <c r="K22" i="95"/>
  <c r="L14" i="89"/>
  <c r="L19" i="95" s="1"/>
  <c r="K62" i="89"/>
  <c r="K12" i="95"/>
  <c r="M10" i="89"/>
  <c r="N48" i="73"/>
  <c r="K12" i="4"/>
  <c r="J28" i="89"/>
  <c r="K35" i="4" s="1"/>
  <c r="K33" i="4" s="1"/>
  <c r="I20" i="89"/>
  <c r="I18" i="89" s="1"/>
  <c r="I54" i="95"/>
  <c r="I44" i="95" s="1"/>
  <c r="J32" i="4" s="1"/>
  <c r="J30" i="4" s="1"/>
  <c r="I43" i="55"/>
  <c r="J75" i="3" s="1"/>
  <c r="J76" i="3" s="1"/>
  <c r="F27" i="12"/>
  <c r="K35" i="89"/>
  <c r="K12" i="89"/>
  <c r="J24" i="95"/>
  <c r="L5" i="89"/>
  <c r="L31" i="95" s="1"/>
  <c r="L60" i="89"/>
  <c r="L61" i="89" s="1"/>
  <c r="M40" i="89"/>
  <c r="M6" i="89"/>
  <c r="N55" i="89"/>
  <c r="O51" i="89"/>
  <c r="N50" i="89"/>
  <c r="G39" i="127" l="1"/>
  <c r="G37" i="127"/>
  <c r="F5" i="127"/>
  <c r="N43" i="89"/>
  <c r="N45" i="89" s="1"/>
  <c r="I38" i="127"/>
  <c r="N47" i="73"/>
  <c r="H24" i="127"/>
  <c r="H37" i="127" s="1"/>
  <c r="K24" i="95"/>
  <c r="L59" i="99"/>
  <c r="K30" i="95"/>
  <c r="L15" i="89"/>
  <c r="M18" i="95"/>
  <c r="M42" i="89"/>
  <c r="H25" i="127" s="1"/>
  <c r="L20" i="95"/>
  <c r="L22" i="95"/>
  <c r="L11" i="89"/>
  <c r="L26" i="95" s="1"/>
  <c r="L12" i="4"/>
  <c r="K28" i="89"/>
  <c r="L35" i="4" s="1"/>
  <c r="L33" i="4" s="1"/>
  <c r="L62" i="89"/>
  <c r="L12" i="95"/>
  <c r="J20" i="89"/>
  <c r="J18" i="89" s="1"/>
  <c r="J54" i="95"/>
  <c r="J43" i="55"/>
  <c r="K75" i="3" s="1"/>
  <c r="K76" i="3" s="1"/>
  <c r="G27" i="12"/>
  <c r="L35" i="89"/>
  <c r="N10" i="89"/>
  <c r="O48" i="73"/>
  <c r="M14" i="89"/>
  <c r="M19" i="95" s="1"/>
  <c r="L12" i="89"/>
  <c r="L13" i="89"/>
  <c r="L23" i="95" s="1"/>
  <c r="L21" i="95"/>
  <c r="M5" i="89"/>
  <c r="M31" i="95" s="1"/>
  <c r="M60" i="89"/>
  <c r="M61" i="89" s="1"/>
  <c r="N40" i="89"/>
  <c r="N6" i="89"/>
  <c r="O55" i="89"/>
  <c r="O50" i="89"/>
  <c r="P51" i="89"/>
  <c r="H39" i="127" l="1"/>
  <c r="G5" i="127"/>
  <c r="O47" i="73"/>
  <c r="I24" i="127"/>
  <c r="O43" i="89"/>
  <c r="O45" i="89" s="1"/>
  <c r="J38" i="127"/>
  <c r="L30" i="95"/>
  <c r="L24" i="95"/>
  <c r="M12" i="89"/>
  <c r="M59" i="99"/>
  <c r="M20" i="95"/>
  <c r="N18" i="95"/>
  <c r="N42" i="89"/>
  <c r="I25" i="127" s="1"/>
  <c r="O10" i="89"/>
  <c r="P48" i="73"/>
  <c r="M12" i="4"/>
  <c r="L28" i="89"/>
  <c r="M35" i="4" s="1"/>
  <c r="M33" i="4" s="1"/>
  <c r="M22" i="95"/>
  <c r="M35" i="89"/>
  <c r="M21" i="95"/>
  <c r="M11" i="89"/>
  <c r="L25" i="95"/>
  <c r="M62" i="89"/>
  <c r="M12" i="95"/>
  <c r="M13" i="89"/>
  <c r="M23" i="95" s="1"/>
  <c r="N14" i="89"/>
  <c r="N19" i="95" s="1"/>
  <c r="M15" i="89"/>
  <c r="N5" i="89"/>
  <c r="N31" i="95" s="1"/>
  <c r="N60" i="89"/>
  <c r="N61" i="89" s="1"/>
  <c r="O40" i="89"/>
  <c r="O6" i="89"/>
  <c r="P55" i="89"/>
  <c r="P50" i="89"/>
  <c r="Q51" i="89"/>
  <c r="H5" i="127" l="1"/>
  <c r="I39" i="127"/>
  <c r="I37" i="127"/>
  <c r="P43" i="89"/>
  <c r="P45" i="89" s="1"/>
  <c r="K38" i="127"/>
  <c r="P47" i="73"/>
  <c r="J24" i="127"/>
  <c r="N20" i="95"/>
  <c r="N59" i="99"/>
  <c r="I5" i="127" s="1"/>
  <c r="N15" i="89"/>
  <c r="M26" i="95"/>
  <c r="M30" i="95" s="1"/>
  <c r="O18" i="95"/>
  <c r="O42" i="89"/>
  <c r="J25" i="127" s="1"/>
  <c r="N11" i="89"/>
  <c r="N26" i="95" s="1"/>
  <c r="M24" i="95"/>
  <c r="P10" i="89"/>
  <c r="Q48" i="73"/>
  <c r="N62" i="89"/>
  <c r="N12" i="95"/>
  <c r="O14" i="89"/>
  <c r="O19" i="95" s="1"/>
  <c r="N12" i="4"/>
  <c r="M28" i="89"/>
  <c r="N35" i="4" s="1"/>
  <c r="N33" i="4" s="1"/>
  <c r="N21" i="95"/>
  <c r="N35" i="89"/>
  <c r="N12" i="89"/>
  <c r="N13" i="89"/>
  <c r="N23" i="95" s="1"/>
  <c r="M25" i="95"/>
  <c r="N22" i="95"/>
  <c r="O5" i="89"/>
  <c r="O31" i="95" s="1"/>
  <c r="O60" i="89"/>
  <c r="O61" i="89" s="1"/>
  <c r="P40" i="89"/>
  <c r="P6" i="89"/>
  <c r="Q55" i="89"/>
  <c r="Q50" i="89"/>
  <c r="R51" i="89"/>
  <c r="J39" i="127" l="1"/>
  <c r="J37" i="127"/>
  <c r="Q43" i="89"/>
  <c r="Q45" i="89" s="1"/>
  <c r="L38" i="127"/>
  <c r="Q47" i="73"/>
  <c r="K24" i="127"/>
  <c r="O12" i="89"/>
  <c r="O59" i="99"/>
  <c r="J5" i="127" s="1"/>
  <c r="N30" i="95"/>
  <c r="P18" i="95"/>
  <c r="P42" i="89"/>
  <c r="K25" i="127" s="1"/>
  <c r="O20" i="95"/>
  <c r="O22" i="95"/>
  <c r="O35" i="89"/>
  <c r="O13" i="89"/>
  <c r="O23" i="95" s="1"/>
  <c r="N25" i="95"/>
  <c r="P14" i="89"/>
  <c r="P19" i="95" s="1"/>
  <c r="O11" i="89"/>
  <c r="O26" i="95" s="1"/>
  <c r="N24" i="95"/>
  <c r="O15" i="89"/>
  <c r="O62" i="89"/>
  <c r="O12" i="95"/>
  <c r="O21" i="95"/>
  <c r="Q10" i="89"/>
  <c r="R48" i="73"/>
  <c r="N28" i="89"/>
  <c r="O35" i="4" s="1"/>
  <c r="O33" i="4" s="1"/>
  <c r="O12" i="4"/>
  <c r="P5" i="89"/>
  <c r="P31" i="95" s="1"/>
  <c r="P60" i="89"/>
  <c r="P61" i="89" s="1"/>
  <c r="Q40" i="89"/>
  <c r="Q6" i="89"/>
  <c r="R55" i="89"/>
  <c r="R50" i="89"/>
  <c r="S51" i="89"/>
  <c r="K39" i="127" l="1"/>
  <c r="K37" i="127"/>
  <c r="R47" i="73"/>
  <c r="L24" i="127"/>
  <c r="R43" i="89"/>
  <c r="R45" i="89" s="1"/>
  <c r="M38" i="127"/>
  <c r="P59" i="99"/>
  <c r="K5" i="127" s="1"/>
  <c r="O30" i="95"/>
  <c r="P12" i="89"/>
  <c r="P15" i="89"/>
  <c r="Q18" i="95"/>
  <c r="Q42" i="89"/>
  <c r="L25" i="127" s="1"/>
  <c r="P13" i="89"/>
  <c r="P23" i="95" s="1"/>
  <c r="O24" i="95"/>
  <c r="P11" i="89"/>
  <c r="P21" i="95"/>
  <c r="Q14" i="89"/>
  <c r="Q19" i="95" s="1"/>
  <c r="P12" i="4"/>
  <c r="O28" i="89"/>
  <c r="P35" i="4" s="1"/>
  <c r="P33" i="4" s="1"/>
  <c r="P62" i="89"/>
  <c r="P12" i="95"/>
  <c r="R10" i="89"/>
  <c r="S48" i="73"/>
  <c r="S51" i="73" s="1"/>
  <c r="P35" i="89"/>
  <c r="P22" i="95"/>
  <c r="O25" i="95"/>
  <c r="P20" i="95"/>
  <c r="Q5" i="89"/>
  <c r="Q31" i="95" s="1"/>
  <c r="Q60" i="89"/>
  <c r="Q61" i="89" s="1"/>
  <c r="R40" i="89"/>
  <c r="R6" i="89"/>
  <c r="S55" i="89"/>
  <c r="S50" i="89"/>
  <c r="T51" i="89"/>
  <c r="L39" i="127" l="1"/>
  <c r="L37" i="127"/>
  <c r="S43" i="89"/>
  <c r="S45" i="89" s="1"/>
  <c r="N38" i="127"/>
  <c r="S47" i="73"/>
  <c r="S49" i="73" s="1"/>
  <c r="M24" i="127"/>
  <c r="Q15" i="89"/>
  <c r="P26" i="95"/>
  <c r="P30" i="95" s="1"/>
  <c r="Q59" i="99"/>
  <c r="L5" i="127" s="1"/>
  <c r="Q12" i="89"/>
  <c r="P24" i="95"/>
  <c r="P25" i="95"/>
  <c r="R18" i="95"/>
  <c r="R42" i="89"/>
  <c r="M25" i="127" s="1"/>
  <c r="Q13" i="89"/>
  <c r="Q23" i="95" s="1"/>
  <c r="Q11" i="89"/>
  <c r="Q21" i="95"/>
  <c r="S9" i="73"/>
  <c r="L51" i="73"/>
  <c r="L50" i="73"/>
  <c r="M50" i="73" s="1"/>
  <c r="N50" i="73" s="1"/>
  <c r="O50" i="73" s="1"/>
  <c r="P50" i="73" s="1"/>
  <c r="Q50" i="73" s="1"/>
  <c r="R50" i="73" s="1"/>
  <c r="R14" i="89"/>
  <c r="R19" i="95" s="1"/>
  <c r="Q22" i="95"/>
  <c r="S10" i="89"/>
  <c r="T48" i="73"/>
  <c r="T9" i="73" s="1"/>
  <c r="Q35" i="89"/>
  <c r="Q12" i="4"/>
  <c r="P28" i="89"/>
  <c r="Q35" i="4" s="1"/>
  <c r="Q33" i="4" s="1"/>
  <c r="Q62" i="89"/>
  <c r="Q12" i="95"/>
  <c r="Q20" i="95"/>
  <c r="R5" i="89"/>
  <c r="R31" i="95" s="1"/>
  <c r="R60" i="89"/>
  <c r="R61" i="89" s="1"/>
  <c r="S40" i="89"/>
  <c r="S6" i="89"/>
  <c r="T55" i="89"/>
  <c r="T50" i="89"/>
  <c r="O38" i="127" s="1"/>
  <c r="U51" i="89"/>
  <c r="M39" i="127" l="1"/>
  <c r="M37" i="127"/>
  <c r="T49" i="73"/>
  <c r="U49" i="73" s="1"/>
  <c r="V49" i="73" s="1"/>
  <c r="W49" i="73" s="1"/>
  <c r="X49" i="73" s="1"/>
  <c r="Y49" i="73" s="1"/>
  <c r="Z49" i="73" s="1"/>
  <c r="AA49" i="73" s="1"/>
  <c r="AB49" i="73" s="1"/>
  <c r="AC49" i="73" s="1"/>
  <c r="L49" i="73"/>
  <c r="M49" i="73" s="1"/>
  <c r="T47" i="73"/>
  <c r="N24" i="127"/>
  <c r="T43" i="89"/>
  <c r="T45" i="89" s="1"/>
  <c r="C24" i="108"/>
  <c r="C24" i="126" s="1"/>
  <c r="S3" i="73"/>
  <c r="S7" i="73" s="1"/>
  <c r="R15" i="89"/>
  <c r="R59" i="99"/>
  <c r="M5" i="127" s="1"/>
  <c r="Q26" i="95"/>
  <c r="Q30" i="95" s="1"/>
  <c r="V51" i="89"/>
  <c r="Q24" i="95"/>
  <c r="Q25" i="95"/>
  <c r="S18" i="95"/>
  <c r="S42" i="89"/>
  <c r="N25" i="127" s="1"/>
  <c r="R12" i="89"/>
  <c r="S14" i="89"/>
  <c r="S19" i="95" s="1"/>
  <c r="R22" i="95"/>
  <c r="R11" i="89"/>
  <c r="R26" i="95" s="1"/>
  <c r="R13" i="89"/>
  <c r="R23" i="95" s="1"/>
  <c r="M51" i="73"/>
  <c r="L9" i="73"/>
  <c r="R20" i="95"/>
  <c r="T10" i="89"/>
  <c r="U48" i="73"/>
  <c r="U9" i="73" s="1"/>
  <c r="R62" i="89"/>
  <c r="R12" i="95"/>
  <c r="Q28" i="89"/>
  <c r="R35" i="4" s="1"/>
  <c r="R33" i="4" s="1"/>
  <c r="R12" i="4"/>
  <c r="R35" i="89"/>
  <c r="R21" i="95"/>
  <c r="S5" i="89"/>
  <c r="S31" i="95" s="1"/>
  <c r="S60" i="89"/>
  <c r="S61" i="89" s="1"/>
  <c r="T40" i="89"/>
  <c r="O24" i="127" s="1"/>
  <c r="T6" i="89"/>
  <c r="U55" i="89"/>
  <c r="AC55" i="89" s="1"/>
  <c r="U50" i="89"/>
  <c r="L3" i="73" l="1"/>
  <c r="S24" i="73"/>
  <c r="S59" i="73" s="1"/>
  <c r="T3" i="73"/>
  <c r="O39" i="127"/>
  <c r="O37" i="127"/>
  <c r="N39" i="127"/>
  <c r="N37" i="127"/>
  <c r="C18" i="126"/>
  <c r="E18" i="126" s="1"/>
  <c r="S12" i="73"/>
  <c r="U47" i="73"/>
  <c r="U3" i="73" s="1"/>
  <c r="U7" i="73" s="1"/>
  <c r="C23" i="108"/>
  <c r="H107" i="123"/>
  <c r="S59" i="99"/>
  <c r="N5" i="127" s="1"/>
  <c r="R30" i="95"/>
  <c r="W51" i="89"/>
  <c r="V54" i="89"/>
  <c r="V7" i="89" s="1"/>
  <c r="V55" i="89"/>
  <c r="V50" i="89"/>
  <c r="R24" i="95"/>
  <c r="R25" i="95"/>
  <c r="S22" i="95"/>
  <c r="T18" i="95"/>
  <c r="T42" i="89"/>
  <c r="O25" i="127" s="1"/>
  <c r="S21" i="95"/>
  <c r="U6" i="89"/>
  <c r="U43" i="89"/>
  <c r="U45" i="89" s="1"/>
  <c r="T14" i="89"/>
  <c r="T19" i="95" s="1"/>
  <c r="S35" i="89"/>
  <c r="N51" i="73"/>
  <c r="M9" i="73"/>
  <c r="S12" i="89"/>
  <c r="S12" i="4"/>
  <c r="R28" i="89"/>
  <c r="S35" i="4" s="1"/>
  <c r="S33" i="4" s="1"/>
  <c r="S13" i="89"/>
  <c r="S23" i="95" s="1"/>
  <c r="U10" i="89"/>
  <c r="V48" i="73"/>
  <c r="V9" i="73" s="1"/>
  <c r="S11" i="89"/>
  <c r="S26" i="95" s="1"/>
  <c r="S15" i="89"/>
  <c r="S20" i="95"/>
  <c r="L7" i="73"/>
  <c r="L12" i="73" s="1"/>
  <c r="S62" i="89"/>
  <c r="S12" i="95"/>
  <c r="N49" i="73"/>
  <c r="M3" i="73"/>
  <c r="T5" i="89"/>
  <c r="T31" i="95" s="1"/>
  <c r="T60" i="89"/>
  <c r="T61" i="89" s="1"/>
  <c r="U40" i="89"/>
  <c r="V47" i="73" s="1"/>
  <c r="V3" i="73" s="1"/>
  <c r="V7" i="73" s="1"/>
  <c r="S27" i="73" l="1"/>
  <c r="S20" i="4" s="1"/>
  <c r="S18" i="4"/>
  <c r="R13" i="95" s="1"/>
  <c r="R6" i="95" s="1"/>
  <c r="T7" i="73"/>
  <c r="T24" i="73" s="1"/>
  <c r="U24" i="73"/>
  <c r="U59" i="73" s="1"/>
  <c r="U12" i="73"/>
  <c r="C22" i="108" s="1"/>
  <c r="C22" i="126" s="1"/>
  <c r="C25" i="108"/>
  <c r="C25" i="126" s="1"/>
  <c r="C23" i="126"/>
  <c r="V12" i="73"/>
  <c r="T11" i="89"/>
  <c r="T26" i="95" s="1"/>
  <c r="T59" i="99"/>
  <c r="O5" i="127" s="1"/>
  <c r="S30" i="95"/>
  <c r="S24" i="95"/>
  <c r="V43" i="89"/>
  <c r="V45" i="89" s="1"/>
  <c r="V6" i="89"/>
  <c r="V10" i="89"/>
  <c r="W48" i="73"/>
  <c r="W9" i="73" s="1"/>
  <c r="W55" i="89"/>
  <c r="X51" i="89"/>
  <c r="W54" i="89"/>
  <c r="W7" i="89" s="1"/>
  <c r="W50" i="89"/>
  <c r="W40" i="89" s="1"/>
  <c r="X47" i="73" s="1"/>
  <c r="X3" i="73" s="1"/>
  <c r="V40" i="89"/>
  <c r="W47" i="73" s="1"/>
  <c r="W3" i="73" s="1"/>
  <c r="W7" i="73" s="1"/>
  <c r="U18" i="95"/>
  <c r="U42" i="89"/>
  <c r="L24" i="73"/>
  <c r="T15" i="89"/>
  <c r="T12" i="89"/>
  <c r="T21" i="95"/>
  <c r="T22" i="95"/>
  <c r="S28" i="89"/>
  <c r="T35" i="4" s="1"/>
  <c r="T33" i="4" s="1"/>
  <c r="T12" i="4"/>
  <c r="T62" i="89"/>
  <c r="C26" i="108" s="1"/>
  <c r="C26" i="126" s="1"/>
  <c r="T12" i="95"/>
  <c r="U14" i="89"/>
  <c r="U19" i="95" s="1"/>
  <c r="T35" i="89"/>
  <c r="S25" i="95"/>
  <c r="O51" i="73"/>
  <c r="N9" i="73"/>
  <c r="T20" i="95"/>
  <c r="M7" i="73"/>
  <c r="M24" i="73" s="1"/>
  <c r="M59" i="73" s="1"/>
  <c r="T13" i="89"/>
  <c r="T23" i="95" s="1"/>
  <c r="O49" i="73"/>
  <c r="N3" i="73"/>
  <c r="V24" i="73"/>
  <c r="V59" i="73" s="1"/>
  <c r="U5" i="89"/>
  <c r="U31" i="95" s="1"/>
  <c r="U60" i="89"/>
  <c r="U61" i="89" s="1"/>
  <c r="U54" i="89"/>
  <c r="I63" i="89"/>
  <c r="S17" i="4" l="1"/>
  <c r="T12" i="73"/>
  <c r="U27" i="73"/>
  <c r="U20" i="4" s="1"/>
  <c r="T59" i="73"/>
  <c r="T27" i="73"/>
  <c r="T18" i="4"/>
  <c r="U18" i="4"/>
  <c r="T13" i="95" s="1"/>
  <c r="T6" i="95" s="1"/>
  <c r="R54" i="95"/>
  <c r="M6" i="129"/>
  <c r="L18" i="4"/>
  <c r="K13" i="95" s="1"/>
  <c r="K6" i="95" s="1"/>
  <c r="L59" i="73"/>
  <c r="T24" i="95"/>
  <c r="T30" i="95"/>
  <c r="W12" i="73"/>
  <c r="W24" i="73"/>
  <c r="H108" i="123"/>
  <c r="U59" i="99"/>
  <c r="U13" i="89"/>
  <c r="U23" i="95" s="1"/>
  <c r="W42" i="89"/>
  <c r="W5" i="89"/>
  <c r="W31" i="95" s="1"/>
  <c r="W60" i="89"/>
  <c r="W61" i="89" s="1"/>
  <c r="W18" i="95"/>
  <c r="Y51" i="89"/>
  <c r="X55" i="89"/>
  <c r="X54" i="89"/>
  <c r="X7" i="89" s="1"/>
  <c r="X50" i="89"/>
  <c r="X7" i="73"/>
  <c r="W10" i="89"/>
  <c r="X48" i="73"/>
  <c r="X9" i="73" s="1"/>
  <c r="V42" i="89"/>
  <c r="V5" i="89"/>
  <c r="V31" i="95" s="1"/>
  <c r="V60" i="89"/>
  <c r="V61" i="89" s="1"/>
  <c r="V18" i="95"/>
  <c r="V14" i="89"/>
  <c r="V19" i="95" s="1"/>
  <c r="W43" i="89"/>
  <c r="W45" i="89" s="1"/>
  <c r="W6" i="89"/>
  <c r="R20" i="89"/>
  <c r="R18" i="89" s="1"/>
  <c r="O27" i="12"/>
  <c r="R43" i="55"/>
  <c r="U7" i="89"/>
  <c r="AC54" i="89"/>
  <c r="L27" i="73"/>
  <c r="U12" i="89"/>
  <c r="U11" i="89"/>
  <c r="U26" i="95" s="1"/>
  <c r="U15" i="89"/>
  <c r="M12" i="73"/>
  <c r="N7" i="73"/>
  <c r="N12" i="73" s="1"/>
  <c r="P51" i="73"/>
  <c r="O9" i="73"/>
  <c r="P49" i="73"/>
  <c r="O3" i="73"/>
  <c r="U12" i="4"/>
  <c r="T28" i="89"/>
  <c r="U35" i="4" s="1"/>
  <c r="U33" i="4" s="1"/>
  <c r="M18" i="4"/>
  <c r="M27" i="73"/>
  <c r="M20" i="4" s="1"/>
  <c r="T25" i="95"/>
  <c r="U22" i="95"/>
  <c r="U62" i="89"/>
  <c r="U12" i="95"/>
  <c r="U35" i="89"/>
  <c r="V27" i="73"/>
  <c r="V20" i="4" s="1"/>
  <c r="V18" i="4"/>
  <c r="U20" i="95"/>
  <c r="U21" i="95"/>
  <c r="I54" i="89"/>
  <c r="I7" i="89" s="1"/>
  <c r="I4" i="89" s="1"/>
  <c r="J63" i="89"/>
  <c r="K63" i="89" s="1"/>
  <c r="L63" i="89" s="1"/>
  <c r="M63" i="89" s="1"/>
  <c r="N63" i="89" s="1"/>
  <c r="O63" i="89" s="1"/>
  <c r="P63" i="89" s="1"/>
  <c r="Q63" i="89" s="1"/>
  <c r="R63" i="89" s="1"/>
  <c r="S63" i="89" s="1"/>
  <c r="T63" i="89" s="1"/>
  <c r="U17" i="4" l="1"/>
  <c r="O6" i="129" s="1"/>
  <c r="T20" i="4"/>
  <c r="T17" i="4" s="1"/>
  <c r="S13" i="95"/>
  <c r="S6" i="95" s="1"/>
  <c r="I88" i="89"/>
  <c r="I27" i="89" s="1"/>
  <c r="I35" i="95" s="1"/>
  <c r="J7" i="4" s="1"/>
  <c r="D3" i="129"/>
  <c r="U24" i="95"/>
  <c r="L20" i="4"/>
  <c r="L17" i="4" s="1"/>
  <c r="F6" i="129" s="1"/>
  <c r="W18" i="4"/>
  <c r="V13" i="95" s="1"/>
  <c r="W59" i="73"/>
  <c r="V35" i="89"/>
  <c r="V28" i="89" s="1"/>
  <c r="W35" i="4" s="1"/>
  <c r="W33" i="4" s="1"/>
  <c r="H100" i="123"/>
  <c r="W27" i="73"/>
  <c r="U25" i="95"/>
  <c r="H112" i="123"/>
  <c r="H109" i="123"/>
  <c r="I107" i="123"/>
  <c r="W59" i="99"/>
  <c r="V59" i="99"/>
  <c r="X24" i="73"/>
  <c r="X12" i="73"/>
  <c r="Z51" i="89"/>
  <c r="Y55" i="89"/>
  <c r="Y54" i="89"/>
  <c r="Y7" i="89" s="1"/>
  <c r="Y50" i="89"/>
  <c r="V62" i="89"/>
  <c r="V12" i="95"/>
  <c r="V15" i="89"/>
  <c r="V13" i="89"/>
  <c r="V23" i="95" s="1"/>
  <c r="V11" i="89"/>
  <c r="V26" i="95" s="1"/>
  <c r="V12" i="89"/>
  <c r="W62" i="89"/>
  <c r="W12" i="95"/>
  <c r="X6" i="89"/>
  <c r="X43" i="89"/>
  <c r="X45" i="89" s="1"/>
  <c r="W15" i="89"/>
  <c r="W11" i="89"/>
  <c r="W26" i="95" s="1"/>
  <c r="W13" i="89"/>
  <c r="W23" i="95" s="1"/>
  <c r="W12" i="89"/>
  <c r="V21" i="95"/>
  <c r="V20" i="95"/>
  <c r="W14" i="89"/>
  <c r="W19" i="95" s="1"/>
  <c r="X10" i="89"/>
  <c r="Y48" i="73"/>
  <c r="Y9" i="73" s="1"/>
  <c r="V22" i="95"/>
  <c r="X40" i="89"/>
  <c r="Y47" i="73" s="1"/>
  <c r="Y3" i="73" s="1"/>
  <c r="Y7" i="73" s="1"/>
  <c r="U4" i="89"/>
  <c r="N24" i="73"/>
  <c r="U30" i="95"/>
  <c r="L13" i="95"/>
  <c r="L6" i="95" s="1"/>
  <c r="M17" i="4"/>
  <c r="G6" i="129" s="1"/>
  <c r="Q51" i="73"/>
  <c r="P9" i="73"/>
  <c r="Q49" i="73"/>
  <c r="P3" i="73"/>
  <c r="U13" i="95"/>
  <c r="U6" i="95" s="1"/>
  <c r="V17" i="4"/>
  <c r="O7" i="73"/>
  <c r="O12" i="73" s="1"/>
  <c r="Q27" i="12"/>
  <c r="T54" i="95"/>
  <c r="T20" i="89"/>
  <c r="T18" i="89" s="1"/>
  <c r="T43" i="55"/>
  <c r="U28" i="89"/>
  <c r="V35" i="4" s="1"/>
  <c r="V12" i="4"/>
  <c r="I17" i="89"/>
  <c r="I3" i="89" s="1"/>
  <c r="J54" i="89"/>
  <c r="J7" i="89" s="1"/>
  <c r="J4" i="89" s="1"/>
  <c r="J6" i="4" l="1"/>
  <c r="N6" i="129"/>
  <c r="S20" i="89"/>
  <c r="S18" i="89" s="1"/>
  <c r="P27" i="12"/>
  <c r="S43" i="55"/>
  <c r="S54" i="95"/>
  <c r="J88" i="89"/>
  <c r="J27" i="89" s="1"/>
  <c r="J35" i="95" s="1"/>
  <c r="K7" i="4" s="1"/>
  <c r="E3" i="129"/>
  <c r="V24" i="95"/>
  <c r="W24" i="95" s="1"/>
  <c r="H27" i="12"/>
  <c r="K20" i="89"/>
  <c r="K18" i="89" s="1"/>
  <c r="K54" i="95"/>
  <c r="K43" i="55"/>
  <c r="L75" i="3" s="1"/>
  <c r="L76" i="3" s="1"/>
  <c r="X27" i="73"/>
  <c r="X59" i="73"/>
  <c r="W20" i="4"/>
  <c r="W17" i="4" s="1"/>
  <c r="N27" i="73"/>
  <c r="N59" i="73"/>
  <c r="W12" i="4"/>
  <c r="W35" i="89"/>
  <c r="X12" i="4" s="1"/>
  <c r="U17" i="89"/>
  <c r="U3" i="89" s="1"/>
  <c r="J8" i="4"/>
  <c r="H110" i="123"/>
  <c r="H97" i="123"/>
  <c r="X18" i="4"/>
  <c r="Y12" i="73"/>
  <c r="W20" i="95"/>
  <c r="W21" i="95"/>
  <c r="V6" i="95"/>
  <c r="I17" i="95"/>
  <c r="J10" i="4"/>
  <c r="U17" i="95"/>
  <c r="V30" i="95"/>
  <c r="W30" i="95" s="1"/>
  <c r="W4" i="89"/>
  <c r="X60" i="89"/>
  <c r="X61" i="89" s="1"/>
  <c r="X42" i="89"/>
  <c r="X5" i="89"/>
  <c r="X31" i="95" s="1"/>
  <c r="X18" i="95"/>
  <c r="AA51" i="89"/>
  <c r="Z55" i="89"/>
  <c r="Z54" i="89"/>
  <c r="Z7" i="89" s="1"/>
  <c r="Z50" i="89"/>
  <c r="Y24" i="73"/>
  <c r="Y59" i="73" s="1"/>
  <c r="V25" i="95"/>
  <c r="W25" i="95" s="1"/>
  <c r="X14" i="89"/>
  <c r="X19" i="95" s="1"/>
  <c r="V4" i="89"/>
  <c r="Y40" i="89"/>
  <c r="Z47" i="73" s="1"/>
  <c r="Z3" i="73" s="1"/>
  <c r="Z7" i="73" s="1"/>
  <c r="Y6" i="89"/>
  <c r="Y43" i="89"/>
  <c r="Y45" i="89" s="1"/>
  <c r="W22" i="95"/>
  <c r="Y10" i="89"/>
  <c r="Z48" i="73"/>
  <c r="Z9" i="73" s="1"/>
  <c r="N18" i="4"/>
  <c r="M13" i="95" s="1"/>
  <c r="M6" i="95" s="1"/>
  <c r="O24" i="73"/>
  <c r="V33" i="4"/>
  <c r="R49" i="73"/>
  <c r="R3" i="73" s="1"/>
  <c r="Q3" i="73"/>
  <c r="U54" i="95"/>
  <c r="R27" i="12"/>
  <c r="U20" i="89"/>
  <c r="U18" i="89" s="1"/>
  <c r="U43" i="55"/>
  <c r="R51" i="73"/>
  <c r="R9" i="73" s="1"/>
  <c r="Q9" i="73"/>
  <c r="L54" i="95"/>
  <c r="L20" i="89"/>
  <c r="L18" i="89" s="1"/>
  <c r="L43" i="55"/>
  <c r="I27" i="12"/>
  <c r="P7" i="73"/>
  <c r="P24" i="73" s="1"/>
  <c r="P59" i="73" s="1"/>
  <c r="K54" i="89"/>
  <c r="K7" i="89" s="1"/>
  <c r="K4" i="89" s="1"/>
  <c r="J17" i="89"/>
  <c r="J3" i="89" s="1"/>
  <c r="K6" i="4" l="1"/>
  <c r="K8" i="4" s="1"/>
  <c r="K88" i="89"/>
  <c r="K27" i="89" s="1"/>
  <c r="K35" i="95" s="1"/>
  <c r="L7" i="4" s="1"/>
  <c r="F3" i="129"/>
  <c r="M75" i="3"/>
  <c r="M76" i="3" s="1"/>
  <c r="V20" i="89"/>
  <c r="V18" i="89" s="1"/>
  <c r="S27" i="12"/>
  <c r="V43" i="55"/>
  <c r="V54" i="95"/>
  <c r="X20" i="4"/>
  <c r="X17" i="4" s="1"/>
  <c r="O18" i="4"/>
  <c r="N13" i="95" s="1"/>
  <c r="N6" i="95" s="1"/>
  <c r="O59" i="73"/>
  <c r="N20" i="4"/>
  <c r="N17" i="4" s="1"/>
  <c r="W28" i="89"/>
  <c r="X35" i="4" s="1"/>
  <c r="X33" i="4" s="1"/>
  <c r="W13" i="95"/>
  <c r="W6" i="95" s="1"/>
  <c r="Z12" i="73"/>
  <c r="V10" i="4"/>
  <c r="V9" i="4" s="1"/>
  <c r="I108" i="123"/>
  <c r="V17" i="89"/>
  <c r="V3" i="89" s="1"/>
  <c r="V88" i="89"/>
  <c r="W17" i="89"/>
  <c r="W3" i="89" s="1"/>
  <c r="W88" i="89"/>
  <c r="Z24" i="73"/>
  <c r="H113" i="123"/>
  <c r="X59" i="99"/>
  <c r="J17" i="95"/>
  <c r="K10" i="4"/>
  <c r="E63" i="2" s="1"/>
  <c r="V17" i="95"/>
  <c r="V3" i="95" s="1"/>
  <c r="W14" i="4" s="1"/>
  <c r="W13" i="4" s="1"/>
  <c r="V44" i="55" s="1"/>
  <c r="W72" i="3" s="1"/>
  <c r="J9" i="4"/>
  <c r="E3" i="94" s="1"/>
  <c r="E4" i="94" s="1"/>
  <c r="E5" i="94" s="1"/>
  <c r="D63" i="2"/>
  <c r="F24" i="12"/>
  <c r="F25" i="12" s="1"/>
  <c r="W17" i="95"/>
  <c r="X22" i="95"/>
  <c r="X20" i="95"/>
  <c r="X21" i="95"/>
  <c r="Z6" i="89"/>
  <c r="Z43" i="89"/>
  <c r="Z45" i="89" s="1"/>
  <c r="Y14" i="89"/>
  <c r="Y19" i="95" s="1"/>
  <c r="Z10" i="89"/>
  <c r="AA48" i="73"/>
  <c r="AA9" i="73" s="1"/>
  <c r="Z40" i="89"/>
  <c r="AA47" i="73" s="1"/>
  <c r="AA3" i="73" s="1"/>
  <c r="AA7" i="73" s="1"/>
  <c r="X35" i="89"/>
  <c r="X15" i="89"/>
  <c r="X12" i="89"/>
  <c r="X11" i="89"/>
  <c r="X26" i="95" s="1"/>
  <c r="X13" i="89"/>
  <c r="X23" i="95" s="1"/>
  <c r="X25" i="95" s="1"/>
  <c r="AB51" i="89"/>
  <c r="AA55" i="89"/>
  <c r="AA54" i="89"/>
  <c r="AA7" i="89" s="1"/>
  <c r="AA50" i="89"/>
  <c r="Y5" i="89"/>
  <c r="Y31" i="95" s="1"/>
  <c r="Y42" i="89"/>
  <c r="Y60" i="89"/>
  <c r="Y61" i="89" s="1"/>
  <c r="Y18" i="95"/>
  <c r="Y27" i="73"/>
  <c r="Y20" i="4" s="1"/>
  <c r="Y18" i="4"/>
  <c r="X62" i="89"/>
  <c r="X12" i="95"/>
  <c r="O27" i="73"/>
  <c r="P12" i="73"/>
  <c r="P27" i="73"/>
  <c r="P20" i="4" s="1"/>
  <c r="P18" i="4"/>
  <c r="Q7" i="73"/>
  <c r="Q12" i="73" s="1"/>
  <c r="R7" i="73"/>
  <c r="R24" i="73" s="1"/>
  <c r="R59" i="73" s="1"/>
  <c r="L54" i="89"/>
  <c r="L7" i="89" s="1"/>
  <c r="L4" i="89" s="1"/>
  <c r="K17" i="89"/>
  <c r="K3" i="89" s="1"/>
  <c r="L6" i="4" l="1"/>
  <c r="T67" i="123"/>
  <c r="U26" i="55"/>
  <c r="W3" i="95"/>
  <c r="X14" i="4" s="1"/>
  <c r="X13" i="4" s="1"/>
  <c r="W44" i="55" s="1"/>
  <c r="X72" i="3" s="1"/>
  <c r="W10" i="4"/>
  <c r="W9" i="4" s="1"/>
  <c r="V45" i="55" s="1"/>
  <c r="W24" i="3" s="1"/>
  <c r="W23" i="3" s="1"/>
  <c r="L88" i="89"/>
  <c r="L27" i="89" s="1"/>
  <c r="M6" i="4" s="1"/>
  <c r="G3" i="129"/>
  <c r="H67" i="123"/>
  <c r="D4" i="129"/>
  <c r="J27" i="12"/>
  <c r="H6" i="129"/>
  <c r="W20" i="89"/>
  <c r="W18" i="89" s="1"/>
  <c r="X10" i="4" s="1"/>
  <c r="X9" i="4" s="1"/>
  <c r="W54" i="95"/>
  <c r="W43" i="55"/>
  <c r="T27" i="12"/>
  <c r="Z18" i="4"/>
  <c r="Y13" i="95" s="1"/>
  <c r="Z59" i="73"/>
  <c r="O20" i="4"/>
  <c r="O17" i="4" s="1"/>
  <c r="I6" i="129" s="1"/>
  <c r="Y22" i="95"/>
  <c r="AA12" i="73"/>
  <c r="L8" i="4"/>
  <c r="L35" i="95"/>
  <c r="M7" i="4" s="1"/>
  <c r="I109" i="123"/>
  <c r="Z27" i="73"/>
  <c r="I112" i="123"/>
  <c r="I100" i="123"/>
  <c r="K9" i="4"/>
  <c r="F3" i="94" s="1"/>
  <c r="F4" i="94" s="1"/>
  <c r="F5" i="94" s="1"/>
  <c r="G24" i="12"/>
  <c r="G25" i="12" s="1"/>
  <c r="M43" i="55"/>
  <c r="N75" i="3" s="1"/>
  <c r="N76" i="3" s="1"/>
  <c r="M54" i="95"/>
  <c r="AA24" i="73"/>
  <c r="M20" i="89"/>
  <c r="M18" i="89" s="1"/>
  <c r="Y59" i="99"/>
  <c r="K17" i="95"/>
  <c r="L10" i="4"/>
  <c r="F63" i="2" s="1"/>
  <c r="X24" i="95"/>
  <c r="I42" i="55"/>
  <c r="J34" i="3" s="1"/>
  <c r="I45" i="55"/>
  <c r="J24" i="3" s="1"/>
  <c r="J23" i="3" s="1"/>
  <c r="I17" i="5" s="1"/>
  <c r="Y15" i="89"/>
  <c r="Y13" i="89"/>
  <c r="Y23" i="95" s="1"/>
  <c r="Y12" i="89"/>
  <c r="Y11" i="89"/>
  <c r="Y26" i="95" s="1"/>
  <c r="AA6" i="89"/>
  <c r="AA43" i="89"/>
  <c r="AA45" i="89" s="1"/>
  <c r="X30" i="95"/>
  <c r="AA10" i="89"/>
  <c r="AB48" i="73"/>
  <c r="AB9" i="73" s="1"/>
  <c r="Z14" i="89"/>
  <c r="Z19" i="95" s="1"/>
  <c r="AA40" i="89"/>
  <c r="AB47" i="73" s="1"/>
  <c r="AB3" i="73" s="1"/>
  <c r="AB7" i="73" s="1"/>
  <c r="X4" i="89"/>
  <c r="AB55" i="89"/>
  <c r="AB54" i="89"/>
  <c r="AB7" i="89" s="1"/>
  <c r="AB50" i="89"/>
  <c r="Y21" i="95"/>
  <c r="X13" i="95"/>
  <c r="X6" i="95" s="1"/>
  <c r="Y17" i="4"/>
  <c r="Y62" i="89"/>
  <c r="Y12" i="95"/>
  <c r="Y12" i="4"/>
  <c r="Y35" i="89"/>
  <c r="X28" i="89"/>
  <c r="Y35" i="4" s="1"/>
  <c r="Y33" i="4" s="1"/>
  <c r="Y20" i="95"/>
  <c r="Z5" i="89"/>
  <c r="Z31" i="95" s="1"/>
  <c r="Z60" i="89"/>
  <c r="Z61" i="89" s="1"/>
  <c r="Z42" i="89"/>
  <c r="Z18" i="95"/>
  <c r="R12" i="73"/>
  <c r="Q24" i="73"/>
  <c r="R27" i="73"/>
  <c r="R20" i="4" s="1"/>
  <c r="R18" i="4"/>
  <c r="O13" i="95"/>
  <c r="O6" i="95" s="1"/>
  <c r="P17" i="4"/>
  <c r="J6" i="129" s="1"/>
  <c r="U45" i="55"/>
  <c r="V24" i="3" s="1"/>
  <c r="V23" i="3" s="1"/>
  <c r="U42" i="55"/>
  <c r="V34" i="3" s="1"/>
  <c r="M54" i="89"/>
  <c r="M7" i="89" s="1"/>
  <c r="M4" i="89" s="1"/>
  <c r="L17" i="89"/>
  <c r="L3" i="89" s="1"/>
  <c r="V42" i="55" l="1"/>
  <c r="W34" i="3" s="1"/>
  <c r="W33" i="3" s="1"/>
  <c r="V67" i="123"/>
  <c r="W26" i="55"/>
  <c r="U67" i="123"/>
  <c r="V26" i="55"/>
  <c r="M88" i="89"/>
  <c r="M27" i="89" s="1"/>
  <c r="M35" i="95" s="1"/>
  <c r="N7" i="4" s="1"/>
  <c r="H3" i="129"/>
  <c r="I67" i="123"/>
  <c r="E4" i="129"/>
  <c r="N43" i="55"/>
  <c r="O75" i="3" s="1"/>
  <c r="O76" i="3" s="1"/>
  <c r="K27" i="12"/>
  <c r="N20" i="89"/>
  <c r="N18" i="89" s="1"/>
  <c r="N54" i="95"/>
  <c r="AA18" i="4"/>
  <c r="Z13" i="95" s="1"/>
  <c r="AA59" i="73"/>
  <c r="Z20" i="4"/>
  <c r="Z17" i="4" s="1"/>
  <c r="Q27" i="73"/>
  <c r="Q59" i="73"/>
  <c r="AB12" i="73"/>
  <c r="L9" i="4"/>
  <c r="G3" i="94" s="1"/>
  <c r="G4" i="94" s="1"/>
  <c r="G5" i="94" s="1"/>
  <c r="H24" i="12"/>
  <c r="H25" i="12" s="1"/>
  <c r="AA27" i="73"/>
  <c r="Y6" i="95"/>
  <c r="X17" i="89"/>
  <c r="X3" i="89" s="1"/>
  <c r="X88" i="89"/>
  <c r="I97" i="123"/>
  <c r="V15" i="5"/>
  <c r="I110" i="123"/>
  <c r="J42" i="55"/>
  <c r="K34" i="3" s="1"/>
  <c r="J15" i="5" s="1"/>
  <c r="M8" i="4"/>
  <c r="Y24" i="95"/>
  <c r="J45" i="55"/>
  <c r="K24" i="3" s="1"/>
  <c r="K23" i="3" s="1"/>
  <c r="J17" i="5" s="1"/>
  <c r="V17" i="5"/>
  <c r="Z59" i="99"/>
  <c r="L17" i="95"/>
  <c r="M10" i="4"/>
  <c r="G63" i="2" s="1"/>
  <c r="J33" i="3"/>
  <c r="I15" i="5"/>
  <c r="X17" i="95"/>
  <c r="X3" i="95" s="1"/>
  <c r="Y14" i="4" s="1"/>
  <c r="Y13" i="4" s="1"/>
  <c r="X44" i="55" s="1"/>
  <c r="Y72" i="3" s="1"/>
  <c r="Y4" i="89"/>
  <c r="Z20" i="95"/>
  <c r="Z22" i="95"/>
  <c r="X20" i="89"/>
  <c r="X18" i="89" s="1"/>
  <c r="X54" i="95"/>
  <c r="X43" i="55"/>
  <c r="U27" i="12"/>
  <c r="AB10" i="89"/>
  <c r="AC48" i="73"/>
  <c r="AC9" i="73" s="1"/>
  <c r="Z62" i="89"/>
  <c r="Z12" i="95"/>
  <c r="Z35" i="89"/>
  <c r="Z15" i="89"/>
  <c r="Z13" i="89"/>
  <c r="Z23" i="95" s="1"/>
  <c r="Z12" i="89"/>
  <c r="Z11" i="89"/>
  <c r="Z26" i="95" s="1"/>
  <c r="Z12" i="4"/>
  <c r="Y28" i="89"/>
  <c r="Z35" i="4" s="1"/>
  <c r="Z33" i="4" s="1"/>
  <c r="Z21" i="95"/>
  <c r="AA14" i="89"/>
  <c r="AA19" i="95" s="1"/>
  <c r="AB24" i="73"/>
  <c r="AB59" i="73" s="1"/>
  <c r="AA42" i="89"/>
  <c r="AA5" i="89"/>
  <c r="AA31" i="95" s="1"/>
  <c r="AA60" i="89"/>
  <c r="AA61" i="89" s="1"/>
  <c r="AA18" i="95"/>
  <c r="W45" i="55"/>
  <c r="X24" i="3" s="1"/>
  <c r="X23" i="3" s="1"/>
  <c r="W42" i="55"/>
  <c r="X34" i="3" s="1"/>
  <c r="AB40" i="89"/>
  <c r="AC47" i="73" s="1"/>
  <c r="AC3" i="73" s="1"/>
  <c r="AC7" i="73" s="1"/>
  <c r="AB43" i="89"/>
  <c r="AB45" i="89" s="1"/>
  <c r="AB6" i="89"/>
  <c r="Y25" i="95"/>
  <c r="V33" i="3"/>
  <c r="Q18" i="4"/>
  <c r="P13" i="95" s="1"/>
  <c r="P6" i="95" s="1"/>
  <c r="Q13" i="95"/>
  <c r="Q6" i="95" s="1"/>
  <c r="R17" i="4"/>
  <c r="L6" i="129" s="1"/>
  <c r="L27" i="12"/>
  <c r="O20" i="89"/>
  <c r="O18" i="89" s="1"/>
  <c r="O54" i="95"/>
  <c r="O43" i="55"/>
  <c r="M17" i="89"/>
  <c r="M3" i="89" s="1"/>
  <c r="N54" i="89"/>
  <c r="N7" i="89" s="1"/>
  <c r="N4" i="89" s="1"/>
  <c r="N6" i="4" l="1"/>
  <c r="K33" i="3"/>
  <c r="N88" i="89"/>
  <c r="N27" i="89" s="1"/>
  <c r="N35" i="95" s="1"/>
  <c r="O7" i="4" s="1"/>
  <c r="I3" i="129"/>
  <c r="J67" i="123"/>
  <c r="F4" i="129"/>
  <c r="AA20" i="4"/>
  <c r="AA17" i="4" s="1"/>
  <c r="Z54" i="95" s="1"/>
  <c r="Y54" i="95"/>
  <c r="Y20" i="89"/>
  <c r="Y18" i="89" s="1"/>
  <c r="V27" i="12"/>
  <c r="Y43" i="55"/>
  <c r="Q20" i="4"/>
  <c r="Q17" i="4" s="1"/>
  <c r="K45" i="55"/>
  <c r="L24" i="3" s="1"/>
  <c r="L23" i="3" s="1"/>
  <c r="K17" i="5" s="1"/>
  <c r="K42" i="55"/>
  <c r="L34" i="3" s="1"/>
  <c r="K15" i="5" s="1"/>
  <c r="M9" i="4"/>
  <c r="H3" i="94" s="1"/>
  <c r="H4" i="94" s="1"/>
  <c r="H5" i="94" s="1"/>
  <c r="Y10" i="4"/>
  <c r="Y9" i="4" s="1"/>
  <c r="N8" i="4"/>
  <c r="Z24" i="95"/>
  <c r="AC12" i="73"/>
  <c r="Z25" i="95"/>
  <c r="I113" i="123"/>
  <c r="Y17" i="89"/>
  <c r="Y3" i="89" s="1"/>
  <c r="Y88" i="89"/>
  <c r="I24" i="12"/>
  <c r="I25" i="12" s="1"/>
  <c r="AC24" i="73"/>
  <c r="AA59" i="99"/>
  <c r="M17" i="95"/>
  <c r="N10" i="4"/>
  <c r="H63" i="2" s="1"/>
  <c r="AA20" i="95"/>
  <c r="Y17" i="95"/>
  <c r="Y3" i="95" s="1"/>
  <c r="Z14" i="4" s="1"/>
  <c r="Z13" i="4" s="1"/>
  <c r="Y44" i="55" s="1"/>
  <c r="Z72" i="3" s="1"/>
  <c r="Y30" i="95"/>
  <c r="Z30" i="95" s="1"/>
  <c r="AA62" i="89"/>
  <c r="AA12" i="95"/>
  <c r="AB27" i="73"/>
  <c r="AB20" i="4" s="1"/>
  <c r="AB18" i="4"/>
  <c r="AA15" i="89"/>
  <c r="AA12" i="89"/>
  <c r="AA11" i="89"/>
  <c r="AA26" i="95" s="1"/>
  <c r="AA13" i="89"/>
  <c r="AA23" i="95" s="1"/>
  <c r="AA21" i="95"/>
  <c r="AB42" i="89"/>
  <c r="AB5" i="89"/>
  <c r="AB31" i="95" s="1"/>
  <c r="AB60" i="89"/>
  <c r="AB61" i="89" s="1"/>
  <c r="AB18" i="95"/>
  <c r="AA12" i="4"/>
  <c r="Z28" i="89"/>
  <c r="AA35" i="4" s="1"/>
  <c r="AA33" i="4" s="1"/>
  <c r="AA35" i="89"/>
  <c r="W15" i="5"/>
  <c r="X33" i="3"/>
  <c r="Z6" i="95"/>
  <c r="W17" i="5"/>
  <c r="AA22" i="95"/>
  <c r="Z4" i="89"/>
  <c r="AB14" i="89"/>
  <c r="AB19" i="95" s="1"/>
  <c r="P75" i="3"/>
  <c r="P76" i="3" s="1"/>
  <c r="Q54" i="95"/>
  <c r="Q20" i="89"/>
  <c r="Q18" i="89" s="1"/>
  <c r="N27" i="12"/>
  <c r="Q43" i="55"/>
  <c r="N17" i="89"/>
  <c r="N3" i="89" s="1"/>
  <c r="O54" i="89"/>
  <c r="O7" i="89" s="1"/>
  <c r="O4" i="89" s="1"/>
  <c r="O6" i="4" l="1"/>
  <c r="W67" i="123"/>
  <c r="X26" i="55"/>
  <c r="W27" i="12"/>
  <c r="Z43" i="55"/>
  <c r="Z20" i="89"/>
  <c r="Z18" i="89" s="1"/>
  <c r="O88" i="89"/>
  <c r="O27" i="89" s="1"/>
  <c r="O35" i="95" s="1"/>
  <c r="P7" i="4" s="1"/>
  <c r="J3" i="129"/>
  <c r="L33" i="3"/>
  <c r="Z10" i="4"/>
  <c r="Z9" i="4" s="1"/>
  <c r="Y26" i="55" s="1"/>
  <c r="M27" i="12"/>
  <c r="K6" i="129"/>
  <c r="K67" i="123"/>
  <c r="G4" i="129"/>
  <c r="AC18" i="4"/>
  <c r="AB13" i="95" s="1"/>
  <c r="AC59" i="73"/>
  <c r="O8" i="4"/>
  <c r="L42" i="55"/>
  <c r="M34" i="3" s="1"/>
  <c r="L15" i="5" s="1"/>
  <c r="L45" i="55"/>
  <c r="M24" i="3" s="1"/>
  <c r="M23" i="3" s="1"/>
  <c r="L17" i="5" s="1"/>
  <c r="AB20" i="95"/>
  <c r="AA24" i="95"/>
  <c r="AC27" i="73"/>
  <c r="N9" i="4"/>
  <c r="I3" i="94" s="1"/>
  <c r="I4" i="94" s="1"/>
  <c r="I5" i="94" s="1"/>
  <c r="Z17" i="89"/>
  <c r="Z3" i="89" s="1"/>
  <c r="Z88" i="89"/>
  <c r="AA25" i="95"/>
  <c r="J24" i="12"/>
  <c r="J25" i="12" s="1"/>
  <c r="AB59" i="99"/>
  <c r="N17" i="95"/>
  <c r="O10" i="4"/>
  <c r="I63" i="2" s="1"/>
  <c r="Z17" i="95"/>
  <c r="Z3" i="95" s="1"/>
  <c r="AA14" i="4" s="1"/>
  <c r="AA13" i="4" s="1"/>
  <c r="Z44" i="55" s="1"/>
  <c r="AA72" i="3" s="1"/>
  <c r="AA30" i="95"/>
  <c r="AB12" i="4"/>
  <c r="AA28" i="89"/>
  <c r="AB35" i="4" s="1"/>
  <c r="AB33" i="4" s="1"/>
  <c r="AB35" i="89"/>
  <c r="AB17" i="4"/>
  <c r="AA13" i="95"/>
  <c r="AA6" i="95" s="1"/>
  <c r="AB62" i="89"/>
  <c r="AB12" i="95"/>
  <c r="AB15" i="89"/>
  <c r="AB12" i="89"/>
  <c r="AB13" i="89"/>
  <c r="AB11" i="89"/>
  <c r="AB26" i="95" s="1"/>
  <c r="AA4" i="89"/>
  <c r="AB22" i="95"/>
  <c r="X45" i="55"/>
  <c r="Y24" i="3" s="1"/>
  <c r="Y23" i="3" s="1"/>
  <c r="X42" i="55"/>
  <c r="Y34" i="3" s="1"/>
  <c r="AB21" i="95"/>
  <c r="P54" i="95"/>
  <c r="P20" i="89"/>
  <c r="P18" i="89" s="1"/>
  <c r="P43" i="55"/>
  <c r="Q75" i="3" s="1"/>
  <c r="Q76" i="3" s="1"/>
  <c r="R75" i="3" s="1"/>
  <c r="R76" i="3" s="1"/>
  <c r="S75" i="3" s="1"/>
  <c r="S76" i="3" s="1"/>
  <c r="T75" i="3" s="1"/>
  <c r="O17" i="89"/>
  <c r="O3" i="89" s="1"/>
  <c r="P54" i="89"/>
  <c r="P7" i="89" s="1"/>
  <c r="P4" i="89" s="1"/>
  <c r="P6" i="4" l="1"/>
  <c r="AA10" i="4"/>
  <c r="AA9" i="4" s="1"/>
  <c r="P88" i="89"/>
  <c r="P27" i="89" s="1"/>
  <c r="P35" i="95" s="1"/>
  <c r="Q7" i="4" s="1"/>
  <c r="K3" i="129"/>
  <c r="L67" i="123"/>
  <c r="H4" i="129"/>
  <c r="AC20" i="4"/>
  <c r="AC17" i="4" s="1"/>
  <c r="M33" i="3"/>
  <c r="Y45" i="55"/>
  <c r="Z24" i="3" s="1"/>
  <c r="Z23" i="3" s="1"/>
  <c r="Y17" i="5" s="1"/>
  <c r="X67" i="123"/>
  <c r="M42" i="55"/>
  <c r="N34" i="3" s="1"/>
  <c r="N33" i="3" s="1"/>
  <c r="M45" i="55"/>
  <c r="N24" i="3" s="1"/>
  <c r="N23" i="3" s="1"/>
  <c r="M17" i="5" s="1"/>
  <c r="P8" i="4"/>
  <c r="Y42" i="55"/>
  <c r="Z34" i="3" s="1"/>
  <c r="Y15" i="5" s="1"/>
  <c r="Q6" i="4"/>
  <c r="AA17" i="89"/>
  <c r="AA3" i="89" s="1"/>
  <c r="AA88" i="89"/>
  <c r="O9" i="4"/>
  <c r="J3" i="94" s="1"/>
  <c r="J4" i="94" s="1"/>
  <c r="J5" i="94" s="1"/>
  <c r="K24" i="12"/>
  <c r="K25" i="12" s="1"/>
  <c r="AB6" i="95"/>
  <c r="O17" i="95"/>
  <c r="P10" i="4"/>
  <c r="J63" i="2" s="1"/>
  <c r="AA17" i="95"/>
  <c r="AA3" i="95" s="1"/>
  <c r="AB14" i="4" s="1"/>
  <c r="AB13" i="4" s="1"/>
  <c r="AA44" i="55" s="1"/>
  <c r="AB72" i="3" s="1"/>
  <c r="AB23" i="95"/>
  <c r="AB25" i="95" s="1"/>
  <c r="AB4" i="89"/>
  <c r="AB88" i="89" s="1"/>
  <c r="AB30" i="95"/>
  <c r="AA43" i="55"/>
  <c r="AA54" i="95"/>
  <c r="AA20" i="89"/>
  <c r="AA18" i="89" s="1"/>
  <c r="X27" i="12"/>
  <c r="Y33" i="3"/>
  <c r="X15" i="5"/>
  <c r="X17" i="5"/>
  <c r="AB28" i="89"/>
  <c r="AC35" i="4" s="1"/>
  <c r="AC12" i="4"/>
  <c r="T76" i="3"/>
  <c r="U75" i="3" s="1"/>
  <c r="Q54" i="89"/>
  <c r="Q7" i="89" s="1"/>
  <c r="Q4" i="89" s="1"/>
  <c r="P17" i="89"/>
  <c r="P3" i="89" s="1"/>
  <c r="Y67" i="123" l="1"/>
  <c r="Z26" i="55"/>
  <c r="Q88" i="89"/>
  <c r="Q27" i="89" s="1"/>
  <c r="Q35" i="95" s="1"/>
  <c r="R7" i="4" s="1"/>
  <c r="L3" i="129"/>
  <c r="M67" i="123"/>
  <c r="I4" i="129"/>
  <c r="Y27" i="12"/>
  <c r="AB43" i="55"/>
  <c r="AB54" i="95"/>
  <c r="AB20" i="89"/>
  <c r="AB18" i="89" s="1"/>
  <c r="Z33" i="3"/>
  <c r="P9" i="4"/>
  <c r="O26" i="55" s="1"/>
  <c r="L24" i="12"/>
  <c r="L25" i="12" s="1"/>
  <c r="M15" i="5"/>
  <c r="AB10" i="4"/>
  <c r="AB9" i="4" s="1"/>
  <c r="Q8" i="4"/>
  <c r="G103" i="123"/>
  <c r="N42" i="55"/>
  <c r="O34" i="3" s="1"/>
  <c r="O33" i="3" s="1"/>
  <c r="N45" i="55"/>
  <c r="O24" i="3" s="1"/>
  <c r="O23" i="3" s="1"/>
  <c r="N17" i="5" s="1"/>
  <c r="AB24" i="95"/>
  <c r="AC33" i="4"/>
  <c r="P17" i="95"/>
  <c r="Q10" i="4"/>
  <c r="K63" i="2" s="1"/>
  <c r="AB17" i="89"/>
  <c r="Z45" i="55"/>
  <c r="AA24" i="3" s="1"/>
  <c r="AA23" i="3" s="1"/>
  <c r="Z42" i="55"/>
  <c r="AA34" i="3" s="1"/>
  <c r="U76" i="3"/>
  <c r="V75" i="3" s="1"/>
  <c r="R54" i="89"/>
  <c r="R7" i="89" s="1"/>
  <c r="R4" i="89" s="1"/>
  <c r="Q17" i="89"/>
  <c r="Q3" i="89" s="1"/>
  <c r="R6" i="4" l="1"/>
  <c r="Z67" i="123"/>
  <c r="AA26" i="55"/>
  <c r="R88" i="89"/>
  <c r="R27" i="89" s="1"/>
  <c r="R35" i="95" s="1"/>
  <c r="S7" i="4" s="1"/>
  <c r="M3" i="129"/>
  <c r="N67" i="123"/>
  <c r="J4" i="129"/>
  <c r="O42" i="55"/>
  <c r="P34" i="3" s="1"/>
  <c r="P33" i="3" s="1"/>
  <c r="O45" i="55"/>
  <c r="P24" i="3" s="1"/>
  <c r="P23" i="3" s="1"/>
  <c r="O17" i="5" s="1"/>
  <c r="N15" i="5"/>
  <c r="Q18" i="108"/>
  <c r="G104" i="123"/>
  <c r="AB104" i="123" s="1"/>
  <c r="R8" i="4"/>
  <c r="Q9" i="4"/>
  <c r="P26" i="55" s="1"/>
  <c r="M24" i="12"/>
  <c r="M25" i="12" s="1"/>
  <c r="Q17" i="95"/>
  <c r="R10" i="4"/>
  <c r="L63" i="2" s="1"/>
  <c r="AB3" i="89"/>
  <c r="AA33" i="3"/>
  <c r="Z15" i="5"/>
  <c r="Z17" i="5"/>
  <c r="AA45" i="55"/>
  <c r="AB24" i="3" s="1"/>
  <c r="AB23" i="3" s="1"/>
  <c r="AA42" i="55"/>
  <c r="AB34" i="3" s="1"/>
  <c r="V76" i="3"/>
  <c r="W75" i="3" s="1"/>
  <c r="S54" i="89"/>
  <c r="S7" i="89" s="1"/>
  <c r="S4" i="89" s="1"/>
  <c r="T54" i="89"/>
  <c r="T7" i="89" s="1"/>
  <c r="T4" i="89" s="1"/>
  <c r="O3" i="129" s="1"/>
  <c r="R17" i="89"/>
  <c r="R3" i="89" s="1"/>
  <c r="S6" i="4" l="1"/>
  <c r="S8" i="4" s="1"/>
  <c r="S88" i="89"/>
  <c r="S27" i="89" s="1"/>
  <c r="T6" i="4" s="1"/>
  <c r="N3" i="129"/>
  <c r="O15" i="5"/>
  <c r="O67" i="123"/>
  <c r="K4" i="129"/>
  <c r="Q19" i="108"/>
  <c r="R19" i="108" s="1"/>
  <c r="Q20" i="108"/>
  <c r="R20" i="108" s="1"/>
  <c r="P45" i="55"/>
  <c r="Q24" i="3" s="1"/>
  <c r="Q23" i="3" s="1"/>
  <c r="P17" i="5" s="1"/>
  <c r="P42" i="55"/>
  <c r="Q34" i="3" s="1"/>
  <c r="P15" i="5" s="1"/>
  <c r="T88" i="89"/>
  <c r="U88" i="89"/>
  <c r="R9" i="4"/>
  <c r="Q26" i="55" s="1"/>
  <c r="N24" i="12"/>
  <c r="N25" i="12" s="1"/>
  <c r="R17" i="95"/>
  <c r="S10" i="4"/>
  <c r="O24" i="12" s="1"/>
  <c r="AB17" i="95"/>
  <c r="AB3" i="95" s="1"/>
  <c r="AC10" i="4"/>
  <c r="AB33" i="3"/>
  <c r="AA15" i="5"/>
  <c r="AA17" i="5"/>
  <c r="W76" i="3"/>
  <c r="W71" i="3" s="1"/>
  <c r="T17" i="89"/>
  <c r="T3" i="89" s="1"/>
  <c r="S17" i="89"/>
  <c r="S3" i="89" s="1"/>
  <c r="T27" i="89" l="1"/>
  <c r="S35" i="95"/>
  <c r="T7" i="4" s="1"/>
  <c r="T8" i="4" s="1"/>
  <c r="P67" i="123"/>
  <c r="L4" i="129"/>
  <c r="Q33" i="3"/>
  <c r="Q42" i="55"/>
  <c r="R34" i="3" s="1"/>
  <c r="R33" i="3" s="1"/>
  <c r="Q45" i="55"/>
  <c r="R24" i="3" s="1"/>
  <c r="R23" i="3" s="1"/>
  <c r="Q17" i="5" s="1"/>
  <c r="U27" i="89"/>
  <c r="U6" i="4"/>
  <c r="T35" i="95"/>
  <c r="U7" i="4" s="1"/>
  <c r="H103" i="123"/>
  <c r="AC14" i="4"/>
  <c r="T17" i="95"/>
  <c r="U10" i="4"/>
  <c r="S17" i="95"/>
  <c r="T10" i="4"/>
  <c r="M63" i="2"/>
  <c r="S9" i="4"/>
  <c r="R26" i="55" s="1"/>
  <c r="AC9" i="4"/>
  <c r="W60" i="3"/>
  <c r="S31" i="12"/>
  <c r="X75" i="3"/>
  <c r="O25" i="12"/>
  <c r="H28" i="95"/>
  <c r="I28" i="95" s="1"/>
  <c r="J28" i="95" s="1"/>
  <c r="K28" i="95" s="1"/>
  <c r="L28" i="95" s="1"/>
  <c r="M28" i="95" s="1"/>
  <c r="N28" i="95" s="1"/>
  <c r="O28" i="95" s="1"/>
  <c r="P28" i="95" s="1"/>
  <c r="Q28" i="95" s="1"/>
  <c r="R28" i="95" s="1"/>
  <c r="S28" i="95" s="1"/>
  <c r="T28" i="95" s="1"/>
  <c r="U28" i="95" s="1"/>
  <c r="V28" i="95" s="1"/>
  <c r="W28" i="95" s="1"/>
  <c r="X28" i="95" s="1"/>
  <c r="Y28" i="95" s="1"/>
  <c r="Z28" i="95" s="1"/>
  <c r="AA28" i="95" s="1"/>
  <c r="AB28" i="95" s="1"/>
  <c r="H27" i="95"/>
  <c r="I27" i="95" s="1"/>
  <c r="H29" i="95"/>
  <c r="I29" i="95" s="1"/>
  <c r="J29" i="95" s="1"/>
  <c r="K29" i="95" s="1"/>
  <c r="L29" i="95" s="1"/>
  <c r="M29" i="95" s="1"/>
  <c r="N29" i="95" s="1"/>
  <c r="O29" i="95" s="1"/>
  <c r="P29" i="95" s="1"/>
  <c r="Q29" i="95" s="1"/>
  <c r="R29" i="95" s="1"/>
  <c r="S29" i="95" s="1"/>
  <c r="T29" i="95" s="1"/>
  <c r="U29" i="95" s="1"/>
  <c r="V29" i="95" s="1"/>
  <c r="W29" i="95" s="1"/>
  <c r="X29" i="95" s="1"/>
  <c r="Y29" i="95" s="1"/>
  <c r="Z29" i="95" s="1"/>
  <c r="AA29" i="95" s="1"/>
  <c r="AB29" i="95" s="1"/>
  <c r="AA67" i="123" l="1"/>
  <c r="AB67" i="123" s="1"/>
  <c r="AB26" i="55"/>
  <c r="Q67" i="123"/>
  <c r="M4" i="129"/>
  <c r="Q17" i="108"/>
  <c r="Q15" i="5"/>
  <c r="H104" i="123"/>
  <c r="U8" i="4"/>
  <c r="V27" i="89"/>
  <c r="U35" i="95"/>
  <c r="V7" i="4" s="1"/>
  <c r="V6" i="4"/>
  <c r="R42" i="55"/>
  <c r="S34" i="3" s="1"/>
  <c r="R15" i="5" s="1"/>
  <c r="R45" i="55"/>
  <c r="S24" i="3" s="1"/>
  <c r="S23" i="3" s="1"/>
  <c r="AC13" i="4"/>
  <c r="T9" i="4"/>
  <c r="S26" i="55" s="1"/>
  <c r="P24" i="12"/>
  <c r="P25" i="12" s="1"/>
  <c r="N63" i="2"/>
  <c r="U9" i="4"/>
  <c r="T26" i="55" s="1"/>
  <c r="Q24" i="12"/>
  <c r="O63" i="2"/>
  <c r="AB45" i="55"/>
  <c r="AC24" i="3" s="1"/>
  <c r="AC23" i="3" s="1"/>
  <c r="AB17" i="5" s="1"/>
  <c r="AB42" i="55"/>
  <c r="AC34" i="3" s="1"/>
  <c r="X76" i="3"/>
  <c r="Y75" i="3" s="1"/>
  <c r="J27" i="95"/>
  <c r="I3" i="95"/>
  <c r="J14" i="4" s="1"/>
  <c r="J13" i="4" s="1"/>
  <c r="D5" i="129" s="1"/>
  <c r="D7" i="129" s="1"/>
  <c r="H3" i="95"/>
  <c r="I14" i="4" s="1"/>
  <c r="I13" i="4" s="1"/>
  <c r="C5" i="129" s="1"/>
  <c r="C7" i="129" s="1"/>
  <c r="S67" i="123" l="1"/>
  <c r="O4" i="129"/>
  <c r="R67" i="123"/>
  <c r="N4" i="129"/>
  <c r="S33" i="3"/>
  <c r="V8" i="4"/>
  <c r="P63" i="2"/>
  <c r="R24" i="12"/>
  <c r="R25" i="12" s="1"/>
  <c r="W27" i="89"/>
  <c r="W6" i="4"/>
  <c r="V35" i="95"/>
  <c r="W7" i="4" s="1"/>
  <c r="Q107" i="123"/>
  <c r="AB44" i="55"/>
  <c r="AC72" i="3" s="1"/>
  <c r="S45" i="55"/>
  <c r="T24" i="3" s="1"/>
  <c r="T23" i="3" s="1"/>
  <c r="S17" i="5" s="1"/>
  <c r="S42" i="55"/>
  <c r="T34" i="3" s="1"/>
  <c r="Q25" i="12"/>
  <c r="C16" i="108"/>
  <c r="C10" i="126" s="1"/>
  <c r="T45" i="55"/>
  <c r="U24" i="3" s="1"/>
  <c r="U23" i="3" s="1"/>
  <c r="U17" i="5" s="1"/>
  <c r="T42" i="55"/>
  <c r="U34" i="3" s="1"/>
  <c r="AC33" i="3"/>
  <c r="AB15" i="5"/>
  <c r="Y76" i="3"/>
  <c r="Z75" i="3" s="1"/>
  <c r="W16" i="5"/>
  <c r="W14" i="5" s="1"/>
  <c r="V60" i="123" s="1"/>
  <c r="X71" i="3"/>
  <c r="R17" i="5"/>
  <c r="I16" i="4"/>
  <c r="I68" i="4" s="1"/>
  <c r="G68" i="123" s="1"/>
  <c r="H44" i="55"/>
  <c r="I72" i="3" s="1"/>
  <c r="I44" i="55"/>
  <c r="J72" i="3" s="1"/>
  <c r="J16" i="4"/>
  <c r="J68" i="4" s="1"/>
  <c r="H68" i="123" s="1"/>
  <c r="K27" i="95"/>
  <c r="J3" i="95"/>
  <c r="K14" i="4" s="1"/>
  <c r="K13" i="4" s="1"/>
  <c r="E5" i="129" s="1"/>
  <c r="E7" i="129" s="1"/>
  <c r="W8" i="4" l="1"/>
  <c r="W16" i="4" s="1"/>
  <c r="S26" i="12" s="1"/>
  <c r="G20" i="123"/>
  <c r="J107" i="123"/>
  <c r="Q63" i="2"/>
  <c r="S24" i="12"/>
  <c r="S25" i="12" s="1"/>
  <c r="R107" i="123"/>
  <c r="X6" i="4"/>
  <c r="X27" i="89"/>
  <c r="W35" i="95"/>
  <c r="X7" i="4" s="1"/>
  <c r="U15" i="5"/>
  <c r="U33" i="3"/>
  <c r="T33" i="3"/>
  <c r="S15" i="5"/>
  <c r="T15" i="5"/>
  <c r="T17" i="5"/>
  <c r="Z76" i="3"/>
  <c r="Y16" i="5" s="1"/>
  <c r="Y14" i="5" s="1"/>
  <c r="X60" i="123" s="1"/>
  <c r="X60" i="3"/>
  <c r="T31" i="12"/>
  <c r="R19" i="2"/>
  <c r="Y71" i="3"/>
  <c r="S19" i="2" s="1"/>
  <c r="X16" i="5"/>
  <c r="X14" i="5" s="1"/>
  <c r="W60" i="123" s="1"/>
  <c r="J69" i="4"/>
  <c r="H69" i="123" s="1"/>
  <c r="I69" i="4"/>
  <c r="G69" i="123" s="1"/>
  <c r="H16" i="5"/>
  <c r="H14" i="5" s="1"/>
  <c r="I71" i="3"/>
  <c r="C20" i="129" s="1"/>
  <c r="J71" i="3"/>
  <c r="D20" i="129" s="1"/>
  <c r="I16" i="5"/>
  <c r="I14" i="5" s="1"/>
  <c r="K3" i="95"/>
  <c r="L14" i="4" s="1"/>
  <c r="L13" i="4" s="1"/>
  <c r="F5" i="129" s="1"/>
  <c r="F7" i="129" s="1"/>
  <c r="L27" i="95"/>
  <c r="J37" i="4"/>
  <c r="F26" i="12"/>
  <c r="J44" i="55"/>
  <c r="K72" i="3" s="1"/>
  <c r="K16" i="4"/>
  <c r="K68" i="4" s="1"/>
  <c r="I68" i="123" s="1"/>
  <c r="E26" i="12"/>
  <c r="I37" i="4"/>
  <c r="G60" i="123" l="1"/>
  <c r="C24" i="129"/>
  <c r="H60" i="123"/>
  <c r="D24" i="129"/>
  <c r="W68" i="4"/>
  <c r="U68" i="123" s="1"/>
  <c r="G21" i="123"/>
  <c r="S107" i="123"/>
  <c r="K107" i="123"/>
  <c r="X8" i="4"/>
  <c r="X16" i="4" s="1"/>
  <c r="Y6" i="4"/>
  <c r="Y27" i="89"/>
  <c r="X35" i="95"/>
  <c r="Y7" i="4" s="1"/>
  <c r="R63" i="2"/>
  <c r="T24" i="12"/>
  <c r="T25" i="12" s="1"/>
  <c r="Q108" i="123"/>
  <c r="Y60" i="3"/>
  <c r="U31" i="12"/>
  <c r="U13" i="12"/>
  <c r="T13" i="12"/>
  <c r="Z71" i="3"/>
  <c r="AA75" i="3"/>
  <c r="K69" i="4"/>
  <c r="I69" i="123" s="1"/>
  <c r="J60" i="3"/>
  <c r="F31" i="12"/>
  <c r="K71" i="3"/>
  <c r="E20" i="129" s="1"/>
  <c r="J16" i="5"/>
  <c r="J14" i="5" s="1"/>
  <c r="I60" i="3"/>
  <c r="E31" i="12"/>
  <c r="C19" i="2"/>
  <c r="E13" i="12" s="1"/>
  <c r="D19" i="2"/>
  <c r="F13" i="12" s="1"/>
  <c r="I57" i="4"/>
  <c r="G72" i="123" s="1"/>
  <c r="I55" i="4"/>
  <c r="C10" i="129" s="1"/>
  <c r="C8" i="129" s="1"/>
  <c r="I63" i="4"/>
  <c r="I64" i="4" s="1"/>
  <c r="J57" i="4"/>
  <c r="H72" i="123" s="1"/>
  <c r="J55" i="4"/>
  <c r="D10" i="129" s="1"/>
  <c r="D8" i="129" s="1"/>
  <c r="J63" i="4"/>
  <c r="J64" i="4" s="1"/>
  <c r="M27" i="95"/>
  <c r="L3" i="95"/>
  <c r="M14" i="4" s="1"/>
  <c r="M13" i="4" s="1"/>
  <c r="G5" i="129" s="1"/>
  <c r="G7" i="129" s="1"/>
  <c r="G26" i="12"/>
  <c r="L16" i="4"/>
  <c r="L68" i="4" s="1"/>
  <c r="J68" i="123" s="1"/>
  <c r="K44" i="55"/>
  <c r="L72" i="3" s="1"/>
  <c r="G8" i="123" l="1"/>
  <c r="I60" i="123"/>
  <c r="E24" i="129"/>
  <c r="W69" i="4"/>
  <c r="U69" i="123" s="1"/>
  <c r="G24" i="123"/>
  <c r="Y8" i="4"/>
  <c r="Y16" i="4" s="1"/>
  <c r="U26" i="12" s="1"/>
  <c r="Q112" i="123"/>
  <c r="X68" i="4"/>
  <c r="V68" i="123" s="1"/>
  <c r="T26" i="12"/>
  <c r="R108" i="123"/>
  <c r="L107" i="123"/>
  <c r="Q109" i="123"/>
  <c r="J108" i="123"/>
  <c r="Z6" i="4"/>
  <c r="Z27" i="89"/>
  <c r="Y35" i="95"/>
  <c r="Z7" i="4" s="1"/>
  <c r="S63" i="2"/>
  <c r="U24" i="12"/>
  <c r="U25" i="12" s="1"/>
  <c r="Z60" i="3"/>
  <c r="V31" i="12"/>
  <c r="T19" i="2"/>
  <c r="AA76" i="3"/>
  <c r="AB75" i="3" s="1"/>
  <c r="L69" i="4"/>
  <c r="J69" i="123" s="1"/>
  <c r="I70" i="4"/>
  <c r="G70" i="123" s="1"/>
  <c r="J70" i="4"/>
  <c r="H70" i="123" s="1"/>
  <c r="L71" i="3"/>
  <c r="K16" i="5"/>
  <c r="K14" i="5" s="1"/>
  <c r="K60" i="3"/>
  <c r="G31" i="12"/>
  <c r="E19" i="2"/>
  <c r="G13" i="12" s="1"/>
  <c r="I7" i="5"/>
  <c r="J45" i="4"/>
  <c r="J44" i="4" s="1"/>
  <c r="J61" i="4"/>
  <c r="I45" i="4"/>
  <c r="I44" i="4" s="1"/>
  <c r="H7" i="5"/>
  <c r="M16" i="4"/>
  <c r="M68" i="4" s="1"/>
  <c r="K68" i="123" s="1"/>
  <c r="L44" i="55"/>
  <c r="M72" i="3" s="1"/>
  <c r="I61" i="4"/>
  <c r="H26" i="12"/>
  <c r="N27" i="95"/>
  <c r="M3" i="95"/>
  <c r="N14" i="4" s="1"/>
  <c r="N13" i="4" s="1"/>
  <c r="H5" i="129" s="1"/>
  <c r="H7" i="129" s="1"/>
  <c r="H57" i="123" l="1"/>
  <c r="D22" i="129"/>
  <c r="F19" i="2"/>
  <c r="H13" i="12" s="1"/>
  <c r="F20" i="129"/>
  <c r="G57" i="123"/>
  <c r="C22" i="129"/>
  <c r="J60" i="123"/>
  <c r="F24" i="129"/>
  <c r="G22" i="123"/>
  <c r="Y68" i="4"/>
  <c r="W68" i="123" s="1"/>
  <c r="T107" i="123"/>
  <c r="J109" i="123"/>
  <c r="X69" i="4"/>
  <c r="V69" i="123" s="1"/>
  <c r="S108" i="123"/>
  <c r="J100" i="123"/>
  <c r="K108" i="123"/>
  <c r="R112" i="123"/>
  <c r="Q12" i="108"/>
  <c r="R12" i="108" s="1"/>
  <c r="K100" i="123"/>
  <c r="R109" i="123"/>
  <c r="Q110" i="123"/>
  <c r="Z8" i="4"/>
  <c r="Z16" i="4" s="1"/>
  <c r="Q97" i="123"/>
  <c r="AA6" i="4"/>
  <c r="AA27" i="89"/>
  <c r="Z35" i="95"/>
  <c r="AA7" i="4" s="1"/>
  <c r="T63" i="2"/>
  <c r="V24" i="12"/>
  <c r="V25" i="12" s="1"/>
  <c r="M107" i="123"/>
  <c r="J112" i="123"/>
  <c r="AB76" i="3"/>
  <c r="AC75" i="3" s="1"/>
  <c r="AA71" i="3"/>
  <c r="Z16" i="5"/>
  <c r="Z14" i="5" s="1"/>
  <c r="Y60" i="123" s="1"/>
  <c r="V13" i="12"/>
  <c r="M69" i="4"/>
  <c r="K69" i="123" s="1"/>
  <c r="M71" i="3"/>
  <c r="L16" i="5"/>
  <c r="L14" i="5" s="1"/>
  <c r="L60" i="3"/>
  <c r="H31" i="12"/>
  <c r="H21" i="5"/>
  <c r="H18" i="5" s="1"/>
  <c r="C26" i="129" s="1"/>
  <c r="I47" i="4"/>
  <c r="I54" i="4" s="1"/>
  <c r="G73" i="123" s="1"/>
  <c r="I26" i="12"/>
  <c r="I54" i="55"/>
  <c r="D54" i="2"/>
  <c r="D64" i="2"/>
  <c r="F28" i="12"/>
  <c r="J62" i="4"/>
  <c r="I21" i="5"/>
  <c r="I18" i="5" s="1"/>
  <c r="D26" i="129" s="1"/>
  <c r="J47" i="4"/>
  <c r="J54" i="4" s="1"/>
  <c r="H73" i="123" s="1"/>
  <c r="M44" i="55"/>
  <c r="N72" i="3" s="1"/>
  <c r="N16" i="4"/>
  <c r="N68" i="4" s="1"/>
  <c r="L68" i="123" s="1"/>
  <c r="N3" i="95"/>
  <c r="O14" i="4" s="1"/>
  <c r="O13" i="4" s="1"/>
  <c r="I5" i="129" s="1"/>
  <c r="I7" i="129" s="1"/>
  <c r="O27" i="95"/>
  <c r="C64" i="2"/>
  <c r="I62" i="4"/>
  <c r="E28" i="12"/>
  <c r="Y69" i="4" l="1"/>
  <c r="W69" i="123" s="1"/>
  <c r="G5" i="123"/>
  <c r="C27" i="129"/>
  <c r="K60" i="123"/>
  <c r="G24" i="129"/>
  <c r="G19" i="2"/>
  <c r="I13" i="12" s="1"/>
  <c r="G20" i="129"/>
  <c r="G25" i="123"/>
  <c r="L100" i="123"/>
  <c r="AA8" i="4"/>
  <c r="AA16" i="4" s="1"/>
  <c r="AA68" i="4" s="1"/>
  <c r="Y68" i="123" s="1"/>
  <c r="L108" i="123"/>
  <c r="R110" i="123"/>
  <c r="J110" i="123"/>
  <c r="AB6" i="4"/>
  <c r="AB27" i="89"/>
  <c r="AA35" i="95"/>
  <c r="AB7" i="4" s="1"/>
  <c r="R97" i="123"/>
  <c r="S112" i="123"/>
  <c r="R17" i="108" s="1"/>
  <c r="N107" i="123"/>
  <c r="U63" i="2"/>
  <c r="W24" i="12"/>
  <c r="W25" i="12" s="1"/>
  <c r="K112" i="123"/>
  <c r="Q13" i="108"/>
  <c r="J97" i="123"/>
  <c r="K109" i="123"/>
  <c r="Q113" i="123"/>
  <c r="V26" i="12"/>
  <c r="Z68" i="4"/>
  <c r="X68" i="123" s="1"/>
  <c r="AC76" i="3"/>
  <c r="AB16" i="5" s="1"/>
  <c r="AB14" i="5" s="1"/>
  <c r="AA60" i="123" s="1"/>
  <c r="AA16" i="5"/>
  <c r="AA14" i="5" s="1"/>
  <c r="Z60" i="123" s="1"/>
  <c r="AB71" i="3"/>
  <c r="AA60" i="3"/>
  <c r="W31" i="12"/>
  <c r="U19" i="2"/>
  <c r="N69" i="4"/>
  <c r="L69" i="123" s="1"/>
  <c r="M16" i="5"/>
  <c r="M14" i="5" s="1"/>
  <c r="N71" i="3"/>
  <c r="M60" i="3"/>
  <c r="I31" i="12"/>
  <c r="I59" i="3"/>
  <c r="C17" i="2"/>
  <c r="J26" i="12"/>
  <c r="E29" i="12"/>
  <c r="E34" i="12"/>
  <c r="D17" i="2"/>
  <c r="J59" i="3"/>
  <c r="P27" i="95"/>
  <c r="O3" i="95"/>
  <c r="P14" i="4" s="1"/>
  <c r="P13" i="4" s="1"/>
  <c r="J5" i="129" s="1"/>
  <c r="J7" i="129" s="1"/>
  <c r="O16" i="4"/>
  <c r="O68" i="4" s="1"/>
  <c r="M68" i="123" s="1"/>
  <c r="N44" i="55"/>
  <c r="O72" i="3" s="1"/>
  <c r="F34" i="12"/>
  <c r="F29" i="12"/>
  <c r="E54" i="2"/>
  <c r="M26" i="97" l="1"/>
  <c r="H19" i="2"/>
  <c r="J13" i="12" s="1"/>
  <c r="H20" i="129"/>
  <c r="L60" i="123"/>
  <c r="H24" i="129"/>
  <c r="S109" i="123"/>
  <c r="W26" i="12"/>
  <c r="L112" i="123"/>
  <c r="T108" i="123"/>
  <c r="M108" i="123"/>
  <c r="P107" i="123"/>
  <c r="L109" i="123"/>
  <c r="K110" i="123"/>
  <c r="S97" i="123"/>
  <c r="AB8" i="4"/>
  <c r="AB16" i="4" s="1"/>
  <c r="AA69" i="4"/>
  <c r="Y69" i="123" s="1"/>
  <c r="O107" i="123"/>
  <c r="AC6" i="4"/>
  <c r="AB35" i="95"/>
  <c r="AC7" i="4" s="1"/>
  <c r="Z69" i="4"/>
  <c r="X69" i="123" s="1"/>
  <c r="J113" i="123"/>
  <c r="K97" i="123"/>
  <c r="V63" i="2"/>
  <c r="X24" i="12"/>
  <c r="X25" i="12" s="1"/>
  <c r="R113" i="123"/>
  <c r="W13" i="12"/>
  <c r="AB60" i="3"/>
  <c r="X31" i="12"/>
  <c r="AC71" i="3"/>
  <c r="W19" i="2" s="1"/>
  <c r="V19" i="2"/>
  <c r="O69" i="4"/>
  <c r="M69" i="123" s="1"/>
  <c r="N16" i="5"/>
  <c r="N14" i="5" s="1"/>
  <c r="O71" i="3"/>
  <c r="N60" i="3"/>
  <c r="J31" i="12"/>
  <c r="O44" i="55"/>
  <c r="P72" i="3" s="1"/>
  <c r="P16" i="4"/>
  <c r="P68" i="4" s="1"/>
  <c r="N68" i="123" s="1"/>
  <c r="Q27" i="95"/>
  <c r="P3" i="95"/>
  <c r="Q14" i="4" s="1"/>
  <c r="Q13" i="4" s="1"/>
  <c r="K5" i="129" s="1"/>
  <c r="K7" i="129" s="1"/>
  <c r="C24" i="2"/>
  <c r="E11" i="12"/>
  <c r="K26" i="12"/>
  <c r="K54" i="55"/>
  <c r="F54" i="2"/>
  <c r="F11" i="12"/>
  <c r="M60" i="123" l="1"/>
  <c r="I24" i="129"/>
  <c r="I19" i="2"/>
  <c r="K13" i="12" s="1"/>
  <c r="I20" i="129"/>
  <c r="Q14" i="108"/>
  <c r="S110" i="123"/>
  <c r="M100" i="123"/>
  <c r="N100" i="123"/>
  <c r="K113" i="123"/>
  <c r="M112" i="123"/>
  <c r="T112" i="123"/>
  <c r="M109" i="123"/>
  <c r="AB68" i="4"/>
  <c r="Z68" i="123" s="1"/>
  <c r="X26" i="12"/>
  <c r="L97" i="123"/>
  <c r="L110" i="123"/>
  <c r="N108" i="123"/>
  <c r="S113" i="123"/>
  <c r="R18" i="108" s="1"/>
  <c r="AC8" i="4"/>
  <c r="Y24" i="12"/>
  <c r="Y25" i="12" s="1"/>
  <c r="W63" i="2"/>
  <c r="T109" i="123"/>
  <c r="Y13" i="12"/>
  <c r="X13" i="12"/>
  <c r="AC60" i="3"/>
  <c r="Y31" i="12"/>
  <c r="P69" i="4"/>
  <c r="N69" i="123" s="1"/>
  <c r="O16" i="5"/>
  <c r="O14" i="5" s="1"/>
  <c r="P71" i="3"/>
  <c r="O60" i="3"/>
  <c r="K31" i="12"/>
  <c r="C27" i="2"/>
  <c r="E17" i="12"/>
  <c r="G54" i="2"/>
  <c r="L54" i="55"/>
  <c r="P44" i="55"/>
  <c r="Q72" i="3" s="1"/>
  <c r="Q16" i="4"/>
  <c r="Q68" i="4" s="1"/>
  <c r="O68" i="123" s="1"/>
  <c r="L26" i="12"/>
  <c r="Q3" i="95"/>
  <c r="R14" i="4" s="1"/>
  <c r="R13" i="4" s="1"/>
  <c r="L5" i="129" s="1"/>
  <c r="L7" i="129" s="1"/>
  <c r="R27" i="95"/>
  <c r="N60" i="123" l="1"/>
  <c r="J24" i="129"/>
  <c r="J19" i="2"/>
  <c r="L13" i="12" s="1"/>
  <c r="J20" i="129"/>
  <c r="Q15" i="108"/>
  <c r="N109" i="123"/>
  <c r="N112" i="123"/>
  <c r="AB69" i="4"/>
  <c r="Z69" i="123" s="1"/>
  <c r="T97" i="123"/>
  <c r="T110" i="123"/>
  <c r="AC16" i="4"/>
  <c r="L113" i="123"/>
  <c r="M97" i="123"/>
  <c r="O108" i="123"/>
  <c r="P108" i="123"/>
  <c r="O100" i="123"/>
  <c r="M110" i="123"/>
  <c r="Q69" i="4"/>
  <c r="O69" i="123" s="1"/>
  <c r="Q71" i="3"/>
  <c r="P16" i="5"/>
  <c r="P14" i="5" s="1"/>
  <c r="P60" i="3"/>
  <c r="L31" i="12"/>
  <c r="R16" i="4"/>
  <c r="R68" i="4" s="1"/>
  <c r="P68" i="123" s="1"/>
  <c r="Q44" i="55"/>
  <c r="R72" i="3" s="1"/>
  <c r="M54" i="55"/>
  <c r="H54" i="2"/>
  <c r="M26" i="12"/>
  <c r="C29" i="2"/>
  <c r="E20" i="12"/>
  <c r="C30" i="2"/>
  <c r="C31" i="2"/>
  <c r="S27" i="95"/>
  <c r="R3" i="95"/>
  <c r="S14" i="4" s="1"/>
  <c r="S13" i="4" s="1"/>
  <c r="S16" i="4" l="1"/>
  <c r="M5" i="129"/>
  <c r="M7" i="129" s="1"/>
  <c r="K19" i="2"/>
  <c r="M13" i="12" s="1"/>
  <c r="K20" i="129"/>
  <c r="O60" i="123"/>
  <c r="K24" i="129"/>
  <c r="U107" i="123"/>
  <c r="Q100" i="123"/>
  <c r="P109" i="123"/>
  <c r="P112" i="123"/>
  <c r="T113" i="123"/>
  <c r="N110" i="123"/>
  <c r="Y26" i="12"/>
  <c r="AC68" i="4"/>
  <c r="AA68" i="123" s="1"/>
  <c r="AB68" i="123" s="1"/>
  <c r="M113" i="123"/>
  <c r="O112" i="123"/>
  <c r="O109" i="123"/>
  <c r="P100" i="123"/>
  <c r="N97" i="123"/>
  <c r="R69" i="4"/>
  <c r="P69" i="123" s="1"/>
  <c r="I53" i="3"/>
  <c r="R71" i="3"/>
  <c r="Q16" i="5"/>
  <c r="Q14" i="5" s="1"/>
  <c r="Q60" i="3"/>
  <c r="M31" i="12"/>
  <c r="H36" i="5"/>
  <c r="H35" i="5"/>
  <c r="I54" i="2"/>
  <c r="N54" i="55"/>
  <c r="N26" i="12"/>
  <c r="R44" i="55"/>
  <c r="S72" i="3" s="1"/>
  <c r="T27" i="95"/>
  <c r="S3" i="95"/>
  <c r="T14" i="4" s="1"/>
  <c r="T13" i="4" s="1"/>
  <c r="N5" i="129" s="1"/>
  <c r="N7" i="129" s="1"/>
  <c r="S68" i="4" l="1"/>
  <c r="Q68" i="123" s="1"/>
  <c r="P60" i="123"/>
  <c r="L24" i="129"/>
  <c r="L19" i="2"/>
  <c r="N13" i="12" s="1"/>
  <c r="L20" i="129"/>
  <c r="N113" i="123"/>
  <c r="P97" i="123"/>
  <c r="P110" i="123"/>
  <c r="R100" i="123"/>
  <c r="O97" i="123"/>
  <c r="O110" i="123"/>
  <c r="AC69" i="4"/>
  <c r="AA69" i="123" s="1"/>
  <c r="AB69" i="123" s="1"/>
  <c r="I52" i="3"/>
  <c r="T16" i="4"/>
  <c r="P26" i="12" s="1"/>
  <c r="S44" i="55"/>
  <c r="T72" i="3" s="1"/>
  <c r="T71" i="3" s="1"/>
  <c r="N20" i="129" s="1"/>
  <c r="S71" i="3"/>
  <c r="R16" i="5"/>
  <c r="R14" i="5" s="1"/>
  <c r="R60" i="3"/>
  <c r="N31" i="12"/>
  <c r="H34" i="5"/>
  <c r="U27" i="95"/>
  <c r="T3" i="95"/>
  <c r="U14" i="4" s="1"/>
  <c r="U13" i="4" s="1"/>
  <c r="O5" i="129" s="1"/>
  <c r="O7" i="129" s="1"/>
  <c r="J54" i="2"/>
  <c r="O54" i="55"/>
  <c r="O26" i="12"/>
  <c r="S69" i="4" l="1"/>
  <c r="Q69" i="123" s="1"/>
  <c r="M19" i="2"/>
  <c r="O13" i="12" s="1"/>
  <c r="M20" i="129"/>
  <c r="H29" i="5"/>
  <c r="C17" i="129"/>
  <c r="Q60" i="123"/>
  <c r="M24" i="129"/>
  <c r="U108" i="123"/>
  <c r="U109" i="123"/>
  <c r="V107" i="123"/>
  <c r="S100" i="123"/>
  <c r="P113" i="123"/>
  <c r="O113" i="123"/>
  <c r="U3" i="95"/>
  <c r="V14" i="4" s="1"/>
  <c r="V13" i="4" s="1"/>
  <c r="V27" i="95"/>
  <c r="W27" i="95" s="1"/>
  <c r="X27" i="95" s="1"/>
  <c r="Y27" i="95" s="1"/>
  <c r="Z27" i="95" s="1"/>
  <c r="AA27" i="95" s="1"/>
  <c r="AB27" i="95" s="1"/>
  <c r="S16" i="5"/>
  <c r="S14" i="5" s="1"/>
  <c r="T68" i="4"/>
  <c r="R68" i="123" s="1"/>
  <c r="U16" i="4"/>
  <c r="Q26" i="12" s="1"/>
  <c r="T44" i="55"/>
  <c r="U72" i="3" s="1"/>
  <c r="T60" i="3"/>
  <c r="P31" i="12"/>
  <c r="S60" i="3"/>
  <c r="N19" i="2"/>
  <c r="O31" i="12"/>
  <c r="K54" i="2"/>
  <c r="P54" i="55"/>
  <c r="X19" i="2" l="1"/>
  <c r="R60" i="123"/>
  <c r="N24" i="129"/>
  <c r="U97" i="123"/>
  <c r="U112" i="123"/>
  <c r="U110" i="123"/>
  <c r="T100" i="123"/>
  <c r="I103" i="123"/>
  <c r="U44" i="55"/>
  <c r="V72" i="3" s="1"/>
  <c r="V16" i="5" s="1"/>
  <c r="V14" i="5" s="1"/>
  <c r="U60" i="123" s="1"/>
  <c r="V16" i="4"/>
  <c r="R26" i="12" s="1"/>
  <c r="T69" i="4"/>
  <c r="R69" i="123" s="1"/>
  <c r="U68" i="4"/>
  <c r="S68" i="123" s="1"/>
  <c r="T16" i="5"/>
  <c r="T14" i="5" s="1"/>
  <c r="U71" i="3"/>
  <c r="O20" i="129" s="1"/>
  <c r="P13" i="12"/>
  <c r="L54" i="2"/>
  <c r="Q54" i="55"/>
  <c r="S60" i="123" l="1"/>
  <c r="O24" i="129"/>
  <c r="V108" i="123"/>
  <c r="V109" i="123"/>
  <c r="W107" i="123"/>
  <c r="I104" i="123"/>
  <c r="U100" i="123"/>
  <c r="V71" i="3"/>
  <c r="Q19" i="2" s="1"/>
  <c r="U16" i="5"/>
  <c r="U14" i="5" s="1"/>
  <c r="T60" i="123" s="1"/>
  <c r="V68" i="4"/>
  <c r="T68" i="123" s="1"/>
  <c r="U69" i="4"/>
  <c r="C17" i="108"/>
  <c r="C11" i="126" s="1"/>
  <c r="U60" i="3"/>
  <c r="Q31" i="12"/>
  <c r="O19" i="2"/>
  <c r="M54" i="2"/>
  <c r="X54" i="2" s="1"/>
  <c r="R54" i="55"/>
  <c r="V112" i="123" l="1"/>
  <c r="V110" i="123"/>
  <c r="X107" i="123"/>
  <c r="U113" i="123"/>
  <c r="V97" i="123"/>
  <c r="S69" i="123"/>
  <c r="P19" i="2"/>
  <c r="R13" i="12" s="1"/>
  <c r="R31" i="12"/>
  <c r="V60" i="3"/>
  <c r="S13" i="12"/>
  <c r="V69" i="4"/>
  <c r="T69" i="123" s="1"/>
  <c r="R13" i="108"/>
  <c r="V100" i="123"/>
  <c r="J103" i="123"/>
  <c r="Q13" i="12"/>
  <c r="W108" i="123" l="1"/>
  <c r="W109" i="123"/>
  <c r="C18" i="108"/>
  <c r="C12" i="126" s="1"/>
  <c r="J104" i="123"/>
  <c r="W100" i="123"/>
  <c r="K103" i="123"/>
  <c r="V113" i="123" l="1"/>
  <c r="W97" i="123"/>
  <c r="X108" i="123"/>
  <c r="X109" i="123"/>
  <c r="W112" i="123"/>
  <c r="W110" i="123"/>
  <c r="Y107" i="123"/>
  <c r="R14" i="108"/>
  <c r="K104" i="123"/>
  <c r="X100" i="123"/>
  <c r="L103" i="123"/>
  <c r="X97" i="123" l="1"/>
  <c r="X112" i="123"/>
  <c r="X110" i="123"/>
  <c r="L104" i="123"/>
  <c r="M103" i="123"/>
  <c r="Y100" i="123" l="1"/>
  <c r="Z107" i="123"/>
  <c r="W113" i="123"/>
  <c r="Y108" i="123"/>
  <c r="Y109" i="123"/>
  <c r="M104" i="123"/>
  <c r="N103" i="123"/>
  <c r="X113" i="123" l="1"/>
  <c r="Z100" i="123"/>
  <c r="Y97" i="123"/>
  <c r="Y112" i="123"/>
  <c r="Y110" i="123"/>
  <c r="N104" i="123"/>
  <c r="M58" i="2"/>
  <c r="AA107" i="123" l="1"/>
  <c r="AB107" i="123" s="1"/>
  <c r="Z108" i="123"/>
  <c r="Z109" i="123"/>
  <c r="O103" i="123"/>
  <c r="X58" i="2"/>
  <c r="AA100" i="123" l="1"/>
  <c r="Z112" i="123"/>
  <c r="Z110" i="123"/>
  <c r="Y113" i="123"/>
  <c r="Z97" i="123"/>
  <c r="P103" i="123"/>
  <c r="O104" i="123"/>
  <c r="Q103" i="123"/>
  <c r="AA108" i="123" l="1"/>
  <c r="AB108" i="123" s="1"/>
  <c r="AA109" i="123"/>
  <c r="AB109" i="123" s="1"/>
  <c r="Q104" i="123"/>
  <c r="P104" i="123"/>
  <c r="R103" i="123"/>
  <c r="AA97" i="123" l="1"/>
  <c r="Z113" i="123"/>
  <c r="AA112" i="123"/>
  <c r="AB112" i="123" s="1"/>
  <c r="AA110" i="123"/>
  <c r="AB110" i="123" s="1"/>
  <c r="R104" i="123"/>
  <c r="S103" i="123"/>
  <c r="S104" i="123" l="1"/>
  <c r="T103" i="123"/>
  <c r="AA113" i="123" l="1"/>
  <c r="AB113" i="123" s="1"/>
  <c r="T104" i="123"/>
  <c r="U103" i="123"/>
  <c r="Q16" i="108"/>
  <c r="U104" i="123" l="1"/>
  <c r="V103" i="123" l="1"/>
  <c r="W103" i="123"/>
  <c r="V104" i="123" l="1"/>
  <c r="W104" i="123"/>
  <c r="X103" i="123"/>
  <c r="X104" i="123" l="1"/>
  <c r="Y103" i="123"/>
  <c r="Y104" i="123" l="1"/>
  <c r="Z103" i="123"/>
  <c r="Z104" i="123" l="1"/>
  <c r="AA103" i="123"/>
  <c r="AA104" i="123" l="1"/>
  <c r="Q10" i="108" l="1"/>
  <c r="Q8" i="108"/>
  <c r="Q9" i="108"/>
  <c r="L33" i="108" l="1"/>
  <c r="L24" i="108"/>
  <c r="L6" i="108"/>
  <c r="L15" i="108"/>
  <c r="K63" i="99" l="1"/>
  <c r="K40" i="99" s="1"/>
  <c r="J63" i="99"/>
  <c r="J40" i="99" s="1"/>
  <c r="P77" i="98" l="1"/>
  <c r="P32" i="98" s="1"/>
  <c r="Q32" i="98" s="1"/>
  <c r="R32" i="98" s="1"/>
  <c r="S32" i="98" s="1"/>
  <c r="T32" i="98" s="1"/>
  <c r="U32" i="98" s="1"/>
  <c r="V32" i="98" s="1"/>
  <c r="W32" i="98" s="1"/>
  <c r="X32" i="98" s="1"/>
  <c r="Y32" i="98" s="1"/>
  <c r="Z32" i="98" s="1"/>
  <c r="AA32" i="98" s="1"/>
  <c r="AB32" i="98" s="1"/>
  <c r="U100" i="99"/>
  <c r="I100" i="99" s="1"/>
  <c r="P76" i="98"/>
  <c r="AC61" i="98"/>
  <c r="AC62" i="98" s="1"/>
  <c r="U72" i="99"/>
  <c r="I72" i="99" s="1"/>
  <c r="P61" i="98" l="1"/>
  <c r="P8" i="98" s="1"/>
  <c r="Q8" i="98" s="1"/>
  <c r="Q76" i="98"/>
  <c r="R76" i="98" s="1"/>
  <c r="S76" i="98" s="1"/>
  <c r="J72" i="99"/>
  <c r="P62" i="98"/>
  <c r="P9" i="98" s="1"/>
  <c r="Q9" i="98" s="1"/>
  <c r="R9" i="98" s="1"/>
  <c r="S9" i="98" s="1"/>
  <c r="T9" i="98" s="1"/>
  <c r="U9" i="98" s="1"/>
  <c r="V9" i="98" s="1"/>
  <c r="W9" i="98" s="1"/>
  <c r="X9" i="98" s="1"/>
  <c r="Y9" i="98" s="1"/>
  <c r="Z9" i="98" s="1"/>
  <c r="AA9" i="98" s="1"/>
  <c r="AB9" i="98" s="1"/>
  <c r="AC64" i="98"/>
  <c r="P64" i="98" s="1"/>
  <c r="P11" i="98" s="1"/>
  <c r="Q11" i="98" s="1"/>
  <c r="R11" i="98" s="1"/>
  <c r="S11" i="98" s="1"/>
  <c r="T11" i="98" s="1"/>
  <c r="U11" i="98" s="1"/>
  <c r="V11" i="98" s="1"/>
  <c r="W11" i="98" s="1"/>
  <c r="X11" i="98" s="1"/>
  <c r="Y11" i="98" s="1"/>
  <c r="Z11" i="98" s="1"/>
  <c r="AA11" i="98" s="1"/>
  <c r="AB11" i="98" s="1"/>
  <c r="V72" i="99"/>
  <c r="J100" i="99"/>
  <c r="K72" i="99" l="1"/>
  <c r="Q7" i="98"/>
  <c r="R8" i="98"/>
  <c r="W72" i="99"/>
  <c r="T76" i="98"/>
  <c r="K100" i="99"/>
  <c r="P7" i="98"/>
  <c r="L72" i="99" l="1"/>
  <c r="P46" i="98"/>
  <c r="L100" i="99"/>
  <c r="R7" i="98"/>
  <c r="S8" i="98"/>
  <c r="Q46" i="98"/>
  <c r="U76" i="98"/>
  <c r="X72" i="99"/>
  <c r="M100" i="99" l="1"/>
  <c r="Y72" i="99"/>
  <c r="V76" i="98"/>
  <c r="S7" i="98"/>
  <c r="T8" i="98"/>
  <c r="R46" i="98"/>
  <c r="M72" i="99"/>
  <c r="U8" i="98" l="1"/>
  <c r="T7" i="98"/>
  <c r="N100" i="99"/>
  <c r="W76" i="98"/>
  <c r="Z72" i="99"/>
  <c r="N72" i="99"/>
  <c r="S46" i="98"/>
  <c r="T46" i="98" l="1"/>
  <c r="U7" i="98"/>
  <c r="V8" i="98"/>
  <c r="X76" i="98"/>
  <c r="O100" i="99"/>
  <c r="O72" i="99"/>
  <c r="AA72" i="99"/>
  <c r="Y76" i="98" l="1"/>
  <c r="V7" i="98"/>
  <c r="W8" i="98"/>
  <c r="AB72" i="99"/>
  <c r="U46" i="98"/>
  <c r="P72" i="99"/>
  <c r="P100" i="99"/>
  <c r="X8" i="98" l="1"/>
  <c r="W7" i="98"/>
  <c r="V46" i="98"/>
  <c r="Z76" i="98"/>
  <c r="Q72" i="99"/>
  <c r="Q100" i="99"/>
  <c r="R72" i="99" l="1"/>
  <c r="W46" i="98"/>
  <c r="X7" i="98"/>
  <c r="Y8" i="98"/>
  <c r="AA76" i="98"/>
  <c r="R100" i="99"/>
  <c r="S72" i="99" l="1"/>
  <c r="Y7" i="98"/>
  <c r="Z8" i="98"/>
  <c r="X46" i="98"/>
  <c r="S100" i="99"/>
  <c r="AB76" i="98"/>
  <c r="T100" i="99" l="1"/>
  <c r="T72" i="99"/>
  <c r="Z7" i="98"/>
  <c r="AA8" i="98"/>
  <c r="Y46" i="98"/>
  <c r="AB8" i="98" l="1"/>
  <c r="AB7" i="98" s="1"/>
  <c r="AA7" i="98"/>
  <c r="Z46" i="98"/>
  <c r="AA46" i="98" l="1"/>
  <c r="AB46" i="98"/>
  <c r="D4" i="132" l="1"/>
  <c r="D3" i="132" s="1"/>
  <c r="N3" i="80" s="1"/>
  <c r="I68" i="99" l="1"/>
  <c r="I57" i="99" s="1"/>
  <c r="E4" i="132"/>
  <c r="E3" i="132" s="1"/>
  <c r="O3" i="80" s="1"/>
  <c r="J68" i="99" l="1"/>
  <c r="I56" i="99"/>
  <c r="I58" i="99"/>
  <c r="F4" i="132"/>
  <c r="F3" i="132" s="1"/>
  <c r="P3" i="80" s="1"/>
  <c r="D8" i="132"/>
  <c r="D9" i="132"/>
  <c r="D14" i="132"/>
  <c r="D7" i="132"/>
  <c r="D13" i="132"/>
  <c r="D6" i="132"/>
  <c r="D11" i="132"/>
  <c r="D12" i="132"/>
  <c r="D5" i="132"/>
  <c r="D10" i="132"/>
  <c r="D15" i="132"/>
  <c r="K68" i="99" l="1"/>
  <c r="I62" i="99"/>
  <c r="I39" i="99" s="1"/>
  <c r="D6" i="127"/>
  <c r="D4" i="127"/>
  <c r="I80" i="99"/>
  <c r="I18" i="98"/>
  <c r="I50" i="99"/>
  <c r="I49" i="99"/>
  <c r="I5" i="99"/>
  <c r="J57" i="99"/>
  <c r="J58" i="99" s="1"/>
  <c r="I69" i="99"/>
  <c r="J47" i="100" s="1"/>
  <c r="J3" i="100" s="1"/>
  <c r="D3" i="128"/>
  <c r="D16" i="132"/>
  <c r="E11" i="132"/>
  <c r="E8" i="132"/>
  <c r="E13" i="132"/>
  <c r="E14" i="132"/>
  <c r="E7" i="132"/>
  <c r="E6" i="132"/>
  <c r="E12" i="132"/>
  <c r="E10" i="132"/>
  <c r="E9" i="132"/>
  <c r="E5" i="132"/>
  <c r="E15" i="132"/>
  <c r="G4" i="132"/>
  <c r="G3" i="132" s="1"/>
  <c r="Q3" i="80" s="1"/>
  <c r="I38" i="99" l="1"/>
  <c r="I48" i="99"/>
  <c r="J62" i="99"/>
  <c r="J39" i="99" s="1"/>
  <c r="E6" i="127"/>
  <c r="J7" i="100"/>
  <c r="I81" i="99"/>
  <c r="L68" i="99"/>
  <c r="D18" i="127"/>
  <c r="D19" i="127" s="1"/>
  <c r="I60" i="99"/>
  <c r="I61" i="99" s="1"/>
  <c r="I70" i="99"/>
  <c r="I6" i="99"/>
  <c r="I108" i="99" s="1"/>
  <c r="I27" i="99" s="1"/>
  <c r="J56" i="99"/>
  <c r="D14" i="128"/>
  <c r="D16" i="127" s="1"/>
  <c r="D10" i="128"/>
  <c r="D12" i="127" s="1"/>
  <c r="D11" i="128"/>
  <c r="D13" i="127" s="1"/>
  <c r="D13" i="128"/>
  <c r="D15" i="127" s="1"/>
  <c r="D7" i="128"/>
  <c r="D9" i="127" s="1"/>
  <c r="D12" i="128"/>
  <c r="D14" i="127" s="1"/>
  <c r="D9" i="128"/>
  <c r="D11" i="127" s="1"/>
  <c r="D6" i="128"/>
  <c r="D8" i="127" s="1"/>
  <c r="D5" i="128"/>
  <c r="D8" i="128"/>
  <c r="D10" i="127" s="1"/>
  <c r="D15" i="128"/>
  <c r="I31" i="98"/>
  <c r="I35" i="99"/>
  <c r="F14" i="132"/>
  <c r="F11" i="132"/>
  <c r="F10" i="132"/>
  <c r="F6" i="132"/>
  <c r="F12" i="132"/>
  <c r="F5" i="132"/>
  <c r="F8" i="132"/>
  <c r="F9" i="132"/>
  <c r="F13" i="132"/>
  <c r="F7" i="132"/>
  <c r="F15" i="132"/>
  <c r="E16" i="132"/>
  <c r="H4" i="132"/>
  <c r="H3" i="132" s="1"/>
  <c r="R3" i="80" s="1"/>
  <c r="J35" i="105" l="1"/>
  <c r="D30" i="104"/>
  <c r="D31" i="104" s="1"/>
  <c r="J38" i="99"/>
  <c r="K35" i="105" s="1"/>
  <c r="I13" i="99"/>
  <c r="I23" i="98" s="1"/>
  <c r="I74" i="99"/>
  <c r="I7" i="99" s="1"/>
  <c r="I71" i="99"/>
  <c r="I75" i="99"/>
  <c r="I35" i="98"/>
  <c r="J7" i="105" s="1"/>
  <c r="J6" i="105"/>
  <c r="I11" i="99"/>
  <c r="I26" i="98" s="1"/>
  <c r="J12" i="105"/>
  <c r="I28" i="99"/>
  <c r="J36" i="105" s="1"/>
  <c r="D16" i="128"/>
  <c r="D7" i="127"/>
  <c r="D17" i="127" s="1"/>
  <c r="I12" i="98"/>
  <c r="I82" i="99"/>
  <c r="K57" i="99"/>
  <c r="K58" i="99" s="1"/>
  <c r="J80" i="99"/>
  <c r="E4" i="127"/>
  <c r="J18" i="98"/>
  <c r="J5" i="99"/>
  <c r="J35" i="99" s="1"/>
  <c r="J49" i="99"/>
  <c r="J50" i="99"/>
  <c r="J69" i="99"/>
  <c r="K47" i="100" s="1"/>
  <c r="K3" i="100" s="1"/>
  <c r="E3" i="128"/>
  <c r="I15" i="99"/>
  <c r="M68" i="99"/>
  <c r="I12" i="99"/>
  <c r="G13" i="132"/>
  <c r="G11" i="132"/>
  <c r="G8" i="132"/>
  <c r="G14" i="132"/>
  <c r="G12" i="132"/>
  <c r="G6" i="132"/>
  <c r="G10" i="132"/>
  <c r="G9" i="132"/>
  <c r="G5" i="132"/>
  <c r="G7" i="132"/>
  <c r="G15" i="132"/>
  <c r="F16" i="132"/>
  <c r="I4" i="132"/>
  <c r="I3" i="132" s="1"/>
  <c r="S3" i="80" s="1"/>
  <c r="J33" i="105" l="1"/>
  <c r="J81" i="99"/>
  <c r="J82" i="99" s="1"/>
  <c r="J70" i="99"/>
  <c r="J6" i="99"/>
  <c r="J108" i="99" s="1"/>
  <c r="J27" i="99" s="1"/>
  <c r="E18" i="127"/>
  <c r="E19" i="127" s="1"/>
  <c r="J60" i="99"/>
  <c r="J61" i="99" s="1"/>
  <c r="K62" i="99"/>
  <c r="K39" i="99" s="1"/>
  <c r="F6" i="127"/>
  <c r="I10" i="99"/>
  <c r="J48" i="100"/>
  <c r="J9" i="100" s="1"/>
  <c r="K12" i="105"/>
  <c r="J28" i="99"/>
  <c r="K36" i="105" s="1"/>
  <c r="K33" i="105" s="1"/>
  <c r="K56" i="99"/>
  <c r="N68" i="99"/>
  <c r="J8" i="105"/>
  <c r="E13" i="128"/>
  <c r="E15" i="127" s="1"/>
  <c r="E6" i="128"/>
  <c r="E8" i="127" s="1"/>
  <c r="E14" i="128"/>
  <c r="E16" i="127" s="1"/>
  <c r="E7" i="128"/>
  <c r="E9" i="127" s="1"/>
  <c r="E8" i="128"/>
  <c r="E10" i="127" s="1"/>
  <c r="E11" i="128"/>
  <c r="E13" i="127" s="1"/>
  <c r="E9" i="128"/>
  <c r="E11" i="127" s="1"/>
  <c r="E10" i="128"/>
  <c r="E12" i="127" s="1"/>
  <c r="E15" i="128"/>
  <c r="E5" i="128"/>
  <c r="E12" i="128"/>
  <c r="E14" i="127" s="1"/>
  <c r="J48" i="99"/>
  <c r="E30" i="104" s="1"/>
  <c r="E31" i="104" s="1"/>
  <c r="I24" i="98"/>
  <c r="I25" i="98"/>
  <c r="K7" i="100"/>
  <c r="J31" i="98"/>
  <c r="I29" i="98"/>
  <c r="I27" i="98"/>
  <c r="I30" i="98"/>
  <c r="I28" i="98"/>
  <c r="J4" i="132"/>
  <c r="J3" i="132" s="1"/>
  <c r="T3" i="80" s="1"/>
  <c r="H6" i="132"/>
  <c r="H14" i="132"/>
  <c r="H12" i="132"/>
  <c r="H11" i="132"/>
  <c r="H10" i="132"/>
  <c r="H8" i="132"/>
  <c r="H13" i="132"/>
  <c r="H9" i="132"/>
  <c r="H5" i="132"/>
  <c r="H7" i="132"/>
  <c r="H15" i="132"/>
  <c r="G16" i="132"/>
  <c r="K38" i="99" l="1"/>
  <c r="L35" i="105" s="1"/>
  <c r="J12" i="98"/>
  <c r="J13" i="99"/>
  <c r="J23" i="98" s="1"/>
  <c r="J25" i="98" s="1"/>
  <c r="J12" i="99"/>
  <c r="J15" i="99"/>
  <c r="K6" i="105"/>
  <c r="J35" i="98"/>
  <c r="K7" i="105" s="1"/>
  <c r="J24" i="100"/>
  <c r="J12" i="100"/>
  <c r="J75" i="99"/>
  <c r="J71" i="99"/>
  <c r="J74" i="99"/>
  <c r="J7" i="99" s="1"/>
  <c r="O68" i="99"/>
  <c r="E16" i="128"/>
  <c r="E7" i="127"/>
  <c r="E17" i="127" s="1"/>
  <c r="I14" i="99"/>
  <c r="I19" i="98" s="1"/>
  <c r="L57" i="99"/>
  <c r="K49" i="99"/>
  <c r="F4" i="127"/>
  <c r="K50" i="99"/>
  <c r="K18" i="98"/>
  <c r="K5" i="99"/>
  <c r="K80" i="99"/>
  <c r="K69" i="99"/>
  <c r="L47" i="100" s="1"/>
  <c r="F3" i="128"/>
  <c r="J11" i="99"/>
  <c r="J26" i="98" s="1"/>
  <c r="J27" i="98" s="1"/>
  <c r="H16" i="132"/>
  <c r="I11" i="132"/>
  <c r="I7" i="132"/>
  <c r="I12" i="132"/>
  <c r="I5" i="132"/>
  <c r="I6" i="132"/>
  <c r="I15" i="132"/>
  <c r="I14" i="132"/>
  <c r="I9" i="132"/>
  <c r="I10" i="132"/>
  <c r="I13" i="132"/>
  <c r="I8" i="132"/>
  <c r="K4" i="132"/>
  <c r="K3" i="132" s="1"/>
  <c r="U3" i="80" s="1"/>
  <c r="J24" i="98" l="1"/>
  <c r="J30" i="98"/>
  <c r="I4" i="99"/>
  <c r="D32" i="129" s="1"/>
  <c r="J28" i="98"/>
  <c r="P68" i="99"/>
  <c r="J27" i="100"/>
  <c r="J59" i="100"/>
  <c r="J18" i="105"/>
  <c r="I13" i="98" s="1"/>
  <c r="I6" i="98" s="1"/>
  <c r="F14" i="128"/>
  <c r="F16" i="127" s="1"/>
  <c r="F5" i="128"/>
  <c r="F12" i="128"/>
  <c r="F14" i="127" s="1"/>
  <c r="F7" i="128"/>
  <c r="F9" i="127" s="1"/>
  <c r="F15" i="128"/>
  <c r="F13" i="128"/>
  <c r="F15" i="127" s="1"/>
  <c r="F11" i="128"/>
  <c r="F13" i="127" s="1"/>
  <c r="F8" i="128"/>
  <c r="F10" i="127" s="1"/>
  <c r="F10" i="128"/>
  <c r="F12" i="127" s="1"/>
  <c r="F6" i="128"/>
  <c r="F8" i="127" s="1"/>
  <c r="F9" i="128"/>
  <c r="F11" i="127" s="1"/>
  <c r="K48" i="99"/>
  <c r="F30" i="104" s="1"/>
  <c r="F31" i="104" s="1"/>
  <c r="J29" i="98"/>
  <c r="L56" i="99"/>
  <c r="L58" i="99"/>
  <c r="K70" i="99"/>
  <c r="F18" i="127"/>
  <c r="F19" i="127" s="1"/>
  <c r="K6" i="99"/>
  <c r="K108" i="99" s="1"/>
  <c r="K27" i="99" s="1"/>
  <c r="K60" i="99"/>
  <c r="K61" i="99" s="1"/>
  <c r="K81" i="99"/>
  <c r="K8" i="105"/>
  <c r="J10" i="99"/>
  <c r="J14" i="99" s="1"/>
  <c r="J19" i="98" s="1"/>
  <c r="J17" i="98" s="1"/>
  <c r="K48" i="100"/>
  <c r="K9" i="100" s="1"/>
  <c r="K31" i="98"/>
  <c r="K35" i="99"/>
  <c r="I21" i="98"/>
  <c r="I22" i="98"/>
  <c r="I20" i="98"/>
  <c r="I17" i="98"/>
  <c r="I16" i="132"/>
  <c r="J11" i="132"/>
  <c r="J5" i="132"/>
  <c r="J12" i="132"/>
  <c r="J7" i="132"/>
  <c r="J6" i="132"/>
  <c r="J15" i="132"/>
  <c r="J14" i="132"/>
  <c r="J10" i="132"/>
  <c r="J9" i="132"/>
  <c r="J13" i="132"/>
  <c r="J8" i="132"/>
  <c r="L4" i="132"/>
  <c r="L3" i="132" s="1"/>
  <c r="V3" i="80" s="1"/>
  <c r="I17" i="99" l="1"/>
  <c r="I3" i="99" s="1"/>
  <c r="K13" i="99"/>
  <c r="K23" i="98" s="1"/>
  <c r="K24" i="98" s="1"/>
  <c r="K12" i="99"/>
  <c r="K15" i="99"/>
  <c r="J20" i="105"/>
  <c r="J17" i="105" s="1"/>
  <c r="I48" i="97" s="1"/>
  <c r="K24" i="100"/>
  <c r="K12" i="100"/>
  <c r="K35" i="98"/>
  <c r="L7" i="105" s="1"/>
  <c r="L6" i="105"/>
  <c r="K12" i="98"/>
  <c r="K82" i="99"/>
  <c r="K71" i="99"/>
  <c r="K75" i="99"/>
  <c r="K74" i="99"/>
  <c r="K7" i="99" s="1"/>
  <c r="K11" i="99"/>
  <c r="K26" i="98" s="1"/>
  <c r="K29" i="98" s="1"/>
  <c r="F16" i="128"/>
  <c r="F7" i="127"/>
  <c r="F17" i="127" s="1"/>
  <c r="J20" i="98"/>
  <c r="L62" i="99"/>
  <c r="L39" i="99" s="1"/>
  <c r="G6" i="127"/>
  <c r="J22" i="98"/>
  <c r="J21" i="98"/>
  <c r="L80" i="99"/>
  <c r="L49" i="99"/>
  <c r="L5" i="99"/>
  <c r="L35" i="99" s="1"/>
  <c r="L18" i="98"/>
  <c r="G4" i="127"/>
  <c r="L50" i="99"/>
  <c r="M57" i="99"/>
  <c r="M56" i="99" s="1"/>
  <c r="L69" i="99"/>
  <c r="M47" i="100" s="1"/>
  <c r="G3" i="128"/>
  <c r="Q68" i="99"/>
  <c r="L12" i="105"/>
  <c r="K28" i="99"/>
  <c r="L36" i="105" s="1"/>
  <c r="L33" i="105" s="1"/>
  <c r="J4" i="99"/>
  <c r="I3" i="98"/>
  <c r="J14" i="105" s="1"/>
  <c r="J13" i="105" s="1"/>
  <c r="K12" i="132"/>
  <c r="K5" i="132"/>
  <c r="K11" i="132"/>
  <c r="K7" i="132"/>
  <c r="K6" i="132"/>
  <c r="K15" i="132"/>
  <c r="K14" i="132"/>
  <c r="K10" i="132"/>
  <c r="K9" i="132"/>
  <c r="K8" i="132"/>
  <c r="K13" i="132"/>
  <c r="M4" i="132"/>
  <c r="M3" i="132" s="1"/>
  <c r="W3" i="80" s="1"/>
  <c r="J16" i="132"/>
  <c r="K25" i="98" l="1"/>
  <c r="D35" i="129"/>
  <c r="F28" i="46"/>
  <c r="F28" i="106"/>
  <c r="I54" i="98"/>
  <c r="I20" i="99"/>
  <c r="I18" i="99" s="1"/>
  <c r="J10" i="105" s="1"/>
  <c r="J9" i="105" s="1"/>
  <c r="M58" i="99"/>
  <c r="H6" i="127" s="1"/>
  <c r="I49" i="97"/>
  <c r="J72" i="103" s="1"/>
  <c r="D34" i="129"/>
  <c r="E32" i="129"/>
  <c r="J17" i="99"/>
  <c r="J3" i="99" s="1"/>
  <c r="L31" i="98"/>
  <c r="L8" i="105"/>
  <c r="G10" i="128"/>
  <c r="G12" i="127" s="1"/>
  <c r="G9" i="128"/>
  <c r="G11" i="127" s="1"/>
  <c r="G11" i="128"/>
  <c r="G13" i="127" s="1"/>
  <c r="G7" i="128"/>
  <c r="G9" i="127" s="1"/>
  <c r="G8" i="128"/>
  <c r="G10" i="127" s="1"/>
  <c r="G6" i="128"/>
  <c r="G8" i="127" s="1"/>
  <c r="G5" i="128"/>
  <c r="G14" i="128"/>
  <c r="G16" i="127" s="1"/>
  <c r="G13" i="128"/>
  <c r="G15" i="127" s="1"/>
  <c r="G15" i="128"/>
  <c r="G12" i="128"/>
  <c r="G14" i="127" s="1"/>
  <c r="L48" i="99"/>
  <c r="K27" i="98"/>
  <c r="K28" i="98"/>
  <c r="K30" i="98"/>
  <c r="J75" i="103"/>
  <c r="J76" i="103" s="1"/>
  <c r="L81" i="99"/>
  <c r="R68" i="99"/>
  <c r="M12" i="105"/>
  <c r="L28" i="99"/>
  <c r="M36" i="105" s="1"/>
  <c r="L6" i="99"/>
  <c r="L108" i="99" s="1"/>
  <c r="L27" i="99" s="1"/>
  <c r="L73" i="99"/>
  <c r="L63" i="99" s="1"/>
  <c r="L40" i="99" s="1"/>
  <c r="L38" i="99" s="1"/>
  <c r="M35" i="105" s="1"/>
  <c r="L70" i="99"/>
  <c r="G18" i="127"/>
  <c r="G19" i="127" s="1"/>
  <c r="L60" i="99"/>
  <c r="L61" i="99" s="1"/>
  <c r="L48" i="100"/>
  <c r="K10" i="99"/>
  <c r="N57" i="99"/>
  <c r="N56" i="99" s="1"/>
  <c r="M18" i="98"/>
  <c r="H4" i="127"/>
  <c r="M80" i="99"/>
  <c r="M50" i="99"/>
  <c r="M49" i="99"/>
  <c r="M5" i="99"/>
  <c r="M69" i="99"/>
  <c r="N47" i="100" s="1"/>
  <c r="H3" i="128"/>
  <c r="K18" i="105"/>
  <c r="J13" i="98" s="1"/>
  <c r="J6" i="98" s="1"/>
  <c r="J3" i="98" s="1"/>
  <c r="K14" i="105" s="1"/>
  <c r="K13" i="105" s="1"/>
  <c r="K59" i="100"/>
  <c r="K27" i="100"/>
  <c r="N4" i="132"/>
  <c r="N3" i="132" s="1"/>
  <c r="X3" i="80" s="1"/>
  <c r="K16" i="132"/>
  <c r="L11" i="132"/>
  <c r="L7" i="132"/>
  <c r="L12" i="132"/>
  <c r="L5" i="132"/>
  <c r="L6" i="132"/>
  <c r="L15" i="132"/>
  <c r="L14" i="132"/>
  <c r="L10" i="132"/>
  <c r="L9" i="132"/>
  <c r="L13" i="132"/>
  <c r="L8" i="132"/>
  <c r="G30" i="104" l="1"/>
  <c r="G31" i="104" s="1"/>
  <c r="D68" i="104"/>
  <c r="F25" i="46"/>
  <c r="F26" i="46" s="1"/>
  <c r="M62" i="99"/>
  <c r="M39" i="99" s="1"/>
  <c r="F25" i="106"/>
  <c r="F26" i="106" s="1"/>
  <c r="M33" i="105"/>
  <c r="J71" i="103"/>
  <c r="J60" i="103" s="1"/>
  <c r="M81" i="99"/>
  <c r="M82" i="99" s="1"/>
  <c r="J49" i="97"/>
  <c r="K72" i="103" s="1"/>
  <c r="E34" i="129"/>
  <c r="G16" i="128"/>
  <c r="G7" i="127"/>
  <c r="G17" i="127" s="1"/>
  <c r="N58" i="99"/>
  <c r="H6" i="128"/>
  <c r="H8" i="127" s="1"/>
  <c r="H14" i="128"/>
  <c r="H16" i="127" s="1"/>
  <c r="H9" i="128"/>
  <c r="H11" i="127" s="1"/>
  <c r="H10" i="128"/>
  <c r="H12" i="127" s="1"/>
  <c r="H8" i="128"/>
  <c r="H10" i="127" s="1"/>
  <c r="H7" i="128"/>
  <c r="H9" i="127" s="1"/>
  <c r="H5" i="128"/>
  <c r="H11" i="128"/>
  <c r="H13" i="127" s="1"/>
  <c r="H15" i="128"/>
  <c r="H13" i="128"/>
  <c r="H15" i="127" s="1"/>
  <c r="H12" i="128"/>
  <c r="H14" i="127" s="1"/>
  <c r="L71" i="99"/>
  <c r="L74" i="99"/>
  <c r="L7" i="99" s="1"/>
  <c r="L75" i="99"/>
  <c r="L15" i="99"/>
  <c r="I16" i="102"/>
  <c r="L12" i="99"/>
  <c r="N18" i="98"/>
  <c r="N5" i="99"/>
  <c r="N50" i="99"/>
  <c r="N49" i="99"/>
  <c r="I4" i="127"/>
  <c r="N80" i="99"/>
  <c r="O57" i="99"/>
  <c r="O56" i="99" s="1"/>
  <c r="N69" i="99"/>
  <c r="O47" i="100" s="1"/>
  <c r="I3" i="128"/>
  <c r="M6" i="99"/>
  <c r="M108" i="99" s="1"/>
  <c r="M27" i="99" s="1"/>
  <c r="M73" i="99"/>
  <c r="M63" i="99" s="1"/>
  <c r="M40" i="99" s="1"/>
  <c r="M60" i="99"/>
  <c r="M61" i="99" s="1"/>
  <c r="H18" i="127"/>
  <c r="H19" i="127" s="1"/>
  <c r="M70" i="99"/>
  <c r="M6" i="105"/>
  <c r="L35" i="98"/>
  <c r="M7" i="105" s="1"/>
  <c r="L13" i="99"/>
  <c r="L23" i="98" s="1"/>
  <c r="S68" i="99"/>
  <c r="M31" i="98"/>
  <c r="K20" i="105"/>
  <c r="K17" i="105" s="1"/>
  <c r="M48" i="99"/>
  <c r="K14" i="99"/>
  <c r="K4" i="99" s="1"/>
  <c r="M35" i="99"/>
  <c r="L82" i="99"/>
  <c r="L12" i="98"/>
  <c r="L11" i="99"/>
  <c r="L26" i="98" s="1"/>
  <c r="L29" i="98" s="1"/>
  <c r="I50" i="97"/>
  <c r="J24" i="103" s="1"/>
  <c r="J23" i="103" s="1"/>
  <c r="J16" i="105"/>
  <c r="I47" i="97"/>
  <c r="J34" i="103" s="1"/>
  <c r="H47" i="123"/>
  <c r="H19" i="123" s="1"/>
  <c r="D33" i="129"/>
  <c r="D36" i="129" s="1"/>
  <c r="L16" i="132"/>
  <c r="M12" i="132"/>
  <c r="M5" i="132"/>
  <c r="M11" i="132"/>
  <c r="M7" i="132"/>
  <c r="M14" i="132"/>
  <c r="M15" i="132"/>
  <c r="M6" i="132"/>
  <c r="M10" i="132"/>
  <c r="M9" i="132"/>
  <c r="M8" i="132"/>
  <c r="M13" i="132"/>
  <c r="O4" i="132"/>
  <c r="H30" i="104" l="1"/>
  <c r="H31" i="104" s="1"/>
  <c r="M38" i="99"/>
  <c r="N35" i="105" s="1"/>
  <c r="M12" i="98"/>
  <c r="D49" i="129"/>
  <c r="K19" i="98"/>
  <c r="K17" i="98" s="1"/>
  <c r="M12" i="99"/>
  <c r="N48" i="99"/>
  <c r="L28" i="98"/>
  <c r="N6" i="105"/>
  <c r="M35" i="98"/>
  <c r="N7" i="105" s="1"/>
  <c r="L24" i="98"/>
  <c r="L25" i="98"/>
  <c r="M13" i="99"/>
  <c r="M23" i="98" s="1"/>
  <c r="L30" i="98"/>
  <c r="L27" i="98"/>
  <c r="N12" i="105"/>
  <c r="N35" i="99"/>
  <c r="M28" i="99"/>
  <c r="N36" i="105" s="1"/>
  <c r="M15" i="99"/>
  <c r="I12" i="128"/>
  <c r="I14" i="127" s="1"/>
  <c r="I8" i="128"/>
  <c r="I10" i="127" s="1"/>
  <c r="I13" i="128"/>
  <c r="I15" i="127" s="1"/>
  <c r="I7" i="128"/>
  <c r="I9" i="127" s="1"/>
  <c r="I14" i="128"/>
  <c r="I16" i="127" s="1"/>
  <c r="I5" i="128"/>
  <c r="I6" i="128"/>
  <c r="I8" i="127" s="1"/>
  <c r="I15" i="128"/>
  <c r="I10" i="128"/>
  <c r="I12" i="127" s="1"/>
  <c r="I11" i="128"/>
  <c r="I13" i="127" s="1"/>
  <c r="I9" i="128"/>
  <c r="I11" i="127" s="1"/>
  <c r="N31" i="98"/>
  <c r="O3" i="132"/>
  <c r="Y3" i="80" s="1"/>
  <c r="P4" i="132"/>
  <c r="P3" i="132" s="1"/>
  <c r="J33" i="103"/>
  <c r="I15" i="102"/>
  <c r="M11" i="99"/>
  <c r="M26" i="98" s="1"/>
  <c r="M8" i="105"/>
  <c r="F27" i="46"/>
  <c r="F27" i="106"/>
  <c r="J69" i="105"/>
  <c r="F32" i="129"/>
  <c r="K17" i="99"/>
  <c r="K3" i="99" s="1"/>
  <c r="M71" i="99"/>
  <c r="M74" i="99"/>
  <c r="M7" i="99" s="1"/>
  <c r="M75" i="99"/>
  <c r="I18" i="127"/>
  <c r="I19" i="127" s="1"/>
  <c r="N60" i="99"/>
  <c r="N61" i="99" s="1"/>
  <c r="N73" i="99"/>
  <c r="N63" i="99" s="1"/>
  <c r="N40" i="99" s="1"/>
  <c r="N70" i="99"/>
  <c r="N6" i="99"/>
  <c r="N108" i="99" s="1"/>
  <c r="N27" i="99" s="1"/>
  <c r="L10" i="99"/>
  <c r="M48" i="100"/>
  <c r="I17" i="102"/>
  <c r="O49" i="99"/>
  <c r="P57" i="99"/>
  <c r="P56" i="99" s="1"/>
  <c r="O50" i="99"/>
  <c r="O80" i="99"/>
  <c r="J4" i="127"/>
  <c r="O5" i="99"/>
  <c r="O18" i="98"/>
  <c r="O69" i="99"/>
  <c r="P47" i="100" s="1"/>
  <c r="J3" i="128"/>
  <c r="H16" i="128"/>
  <c r="H7" i="127"/>
  <c r="H17" i="127" s="1"/>
  <c r="J20" i="99"/>
  <c r="J18" i="99" s="1"/>
  <c r="K10" i="105" s="1"/>
  <c r="G28" i="46"/>
  <c r="G28" i="106"/>
  <c r="E35" i="129"/>
  <c r="J54" i="98"/>
  <c r="J48" i="97"/>
  <c r="K75" i="103" s="1"/>
  <c r="K76" i="103" s="1"/>
  <c r="K71" i="103" s="1"/>
  <c r="N81" i="99"/>
  <c r="N62" i="99"/>
  <c r="N39" i="99" s="1"/>
  <c r="I6" i="127"/>
  <c r="O58" i="99"/>
  <c r="N12" i="132"/>
  <c r="N7" i="132"/>
  <c r="N11" i="132"/>
  <c r="N5" i="132"/>
  <c r="N6" i="132"/>
  <c r="N15" i="132"/>
  <c r="N14" i="132"/>
  <c r="N9" i="132"/>
  <c r="N10" i="132"/>
  <c r="N8" i="132"/>
  <c r="N13" i="132"/>
  <c r="M16" i="132"/>
  <c r="I30" i="104" l="1"/>
  <c r="I31" i="104" s="1"/>
  <c r="O7" i="132"/>
  <c r="O11" i="132"/>
  <c r="O12" i="132"/>
  <c r="O9" i="132"/>
  <c r="O5" i="132"/>
  <c r="N33" i="105"/>
  <c r="O8" i="132"/>
  <c r="O13" i="132"/>
  <c r="O10" i="132"/>
  <c r="O14" i="132"/>
  <c r="O6" i="132"/>
  <c r="O15" i="132"/>
  <c r="M28" i="98"/>
  <c r="K22" i="98"/>
  <c r="K20" i="98"/>
  <c r="K21" i="98"/>
  <c r="M29" i="98"/>
  <c r="O81" i="99"/>
  <c r="O12" i="98" s="1"/>
  <c r="N11" i="99"/>
  <c r="N26" i="98" s="1"/>
  <c r="I16" i="128"/>
  <c r="I7" i="127"/>
  <c r="I17" i="127" s="1"/>
  <c r="M10" i="99"/>
  <c r="N48" i="100"/>
  <c r="I14" i="102"/>
  <c r="D59" i="129"/>
  <c r="N12" i="99"/>
  <c r="N28" i="99"/>
  <c r="O36" i="105" s="1"/>
  <c r="O12" i="105"/>
  <c r="O35" i="99"/>
  <c r="P58" i="99"/>
  <c r="O62" i="99"/>
  <c r="O39" i="99" s="1"/>
  <c r="J6" i="127"/>
  <c r="D19" i="104"/>
  <c r="F32" i="46"/>
  <c r="F32" i="106"/>
  <c r="J16" i="102"/>
  <c r="G25" i="106"/>
  <c r="G26" i="106" s="1"/>
  <c r="K9" i="105"/>
  <c r="G25" i="46"/>
  <c r="G26" i="46" s="1"/>
  <c r="E68" i="104"/>
  <c r="J12" i="128"/>
  <c r="J14" i="127" s="1"/>
  <c r="J9" i="128"/>
  <c r="J11" i="127" s="1"/>
  <c r="J11" i="128"/>
  <c r="J13" i="127" s="1"/>
  <c r="J6" i="128"/>
  <c r="J8" i="127" s="1"/>
  <c r="J13" i="128"/>
  <c r="J15" i="127" s="1"/>
  <c r="J7" i="128"/>
  <c r="J9" i="127" s="1"/>
  <c r="J14" i="128"/>
  <c r="J16" i="127" s="1"/>
  <c r="J5" i="128"/>
  <c r="J15" i="128"/>
  <c r="J10" i="128"/>
  <c r="J12" i="127" s="1"/>
  <c r="J8" i="128"/>
  <c r="J10" i="127" s="1"/>
  <c r="K4" i="127"/>
  <c r="P80" i="99"/>
  <c r="P49" i="99"/>
  <c r="P5" i="99"/>
  <c r="P18" i="98"/>
  <c r="Q57" i="99"/>
  <c r="Q56" i="99" s="1"/>
  <c r="P50" i="99"/>
  <c r="P69" i="99"/>
  <c r="Q47" i="100" s="1"/>
  <c r="Q3" i="100" s="1"/>
  <c r="K3" i="128"/>
  <c r="L14" i="99"/>
  <c r="L4" i="99" s="1"/>
  <c r="Z3" i="80"/>
  <c r="U68" i="99" s="1"/>
  <c r="P8" i="132"/>
  <c r="P5" i="132"/>
  <c r="P12" i="132"/>
  <c r="P14" i="132"/>
  <c r="P10" i="132"/>
  <c r="P7" i="132"/>
  <c r="P15" i="132"/>
  <c r="P6" i="132"/>
  <c r="P9" i="132"/>
  <c r="P13" i="132"/>
  <c r="P11" i="132"/>
  <c r="O48" i="99"/>
  <c r="N35" i="98"/>
  <c r="O7" i="105" s="1"/>
  <c r="O6" i="105"/>
  <c r="T68" i="99"/>
  <c r="M27" i="98"/>
  <c r="N8" i="105"/>
  <c r="N12" i="98"/>
  <c r="N82" i="99"/>
  <c r="O70" i="99"/>
  <c r="O60" i="99"/>
  <c r="O61" i="99" s="1"/>
  <c r="O6" i="99"/>
  <c r="O108" i="99" s="1"/>
  <c r="O27" i="99" s="1"/>
  <c r="O73" i="99"/>
  <c r="O63" i="99" s="1"/>
  <c r="O40" i="99" s="1"/>
  <c r="J18" i="127"/>
  <c r="J19" i="127" s="1"/>
  <c r="N75" i="99"/>
  <c r="N74" i="99"/>
  <c r="N7" i="99" s="1"/>
  <c r="N71" i="99"/>
  <c r="M30" i="98"/>
  <c r="E49" i="129"/>
  <c r="K60" i="103"/>
  <c r="N38" i="99"/>
  <c r="O35" i="105" s="1"/>
  <c r="H48" i="123"/>
  <c r="H20" i="123" s="1"/>
  <c r="J70" i="105"/>
  <c r="H49" i="123" s="1"/>
  <c r="H21" i="123" s="1"/>
  <c r="N13" i="99"/>
  <c r="N23" i="98" s="1"/>
  <c r="M24" i="98"/>
  <c r="O31" i="98"/>
  <c r="N15" i="99"/>
  <c r="M25" i="98"/>
  <c r="N16" i="132"/>
  <c r="J30" i="104" l="1"/>
  <c r="J31" i="104" s="1"/>
  <c r="O16" i="132"/>
  <c r="N28" i="98"/>
  <c r="N27" i="98"/>
  <c r="N30" i="98"/>
  <c r="N29" i="98"/>
  <c r="O82" i="99"/>
  <c r="O38" i="99"/>
  <c r="P35" i="105" s="1"/>
  <c r="O33" i="105"/>
  <c r="O15" i="99"/>
  <c r="N25" i="98"/>
  <c r="P48" i="99"/>
  <c r="Q7" i="100"/>
  <c r="G32" i="129"/>
  <c r="L17" i="99"/>
  <c r="L3" i="99" s="1"/>
  <c r="P31" i="98"/>
  <c r="Q58" i="99"/>
  <c r="P62" i="99"/>
  <c r="P39" i="99" s="1"/>
  <c r="K6" i="127"/>
  <c r="K12" i="128"/>
  <c r="K14" i="127" s="1"/>
  <c r="K6" i="128"/>
  <c r="K8" i="127" s="1"/>
  <c r="K9" i="128"/>
  <c r="K11" i="127" s="1"/>
  <c r="K7" i="128"/>
  <c r="K9" i="127" s="1"/>
  <c r="K13" i="128"/>
  <c r="K15" i="127" s="1"/>
  <c r="K5" i="128"/>
  <c r="K14" i="128"/>
  <c r="K16" i="127" s="1"/>
  <c r="K15" i="128"/>
  <c r="K11" i="128"/>
  <c r="K13" i="127" s="1"/>
  <c r="K10" i="128"/>
  <c r="K12" i="127" s="1"/>
  <c r="K8" i="128"/>
  <c r="K10" i="127" s="1"/>
  <c r="K16" i="105"/>
  <c r="I47" i="123"/>
  <c r="I19" i="123" s="1"/>
  <c r="J50" i="97"/>
  <c r="K24" i="103" s="1"/>
  <c r="K23" i="103" s="1"/>
  <c r="J47" i="97"/>
  <c r="K34" i="103" s="1"/>
  <c r="E33" i="129"/>
  <c r="E36" i="129" s="1"/>
  <c r="F14" i="46"/>
  <c r="F14" i="106"/>
  <c r="P12" i="105"/>
  <c r="P35" i="99"/>
  <c r="O28" i="99"/>
  <c r="P36" i="105" s="1"/>
  <c r="O35" i="98"/>
  <c r="P7" i="105" s="1"/>
  <c r="P6" i="105"/>
  <c r="P81" i="99"/>
  <c r="P6" i="99"/>
  <c r="P108" i="99" s="1"/>
  <c r="P27" i="99" s="1"/>
  <c r="K18" i="127"/>
  <c r="K19" i="127" s="1"/>
  <c r="P70" i="99"/>
  <c r="P60" i="99"/>
  <c r="P61" i="99" s="1"/>
  <c r="P73" i="99"/>
  <c r="P63" i="99" s="1"/>
  <c r="P40" i="99" s="1"/>
  <c r="O74" i="99"/>
  <c r="O7" i="99" s="1"/>
  <c r="O71" i="99"/>
  <c r="O37" i="99"/>
  <c r="O75" i="99"/>
  <c r="P16" i="132"/>
  <c r="Q49" i="99"/>
  <c r="Q5" i="99"/>
  <c r="Q80" i="99"/>
  <c r="Q18" i="98"/>
  <c r="L4" i="127"/>
  <c r="R57" i="99"/>
  <c r="Q50" i="99"/>
  <c r="Q69" i="99"/>
  <c r="R47" i="100" s="1"/>
  <c r="R3" i="100" s="1"/>
  <c r="L3" i="128"/>
  <c r="M14" i="99"/>
  <c r="M4" i="99" s="1"/>
  <c r="O12" i="99"/>
  <c r="N24" i="98"/>
  <c r="O11" i="99"/>
  <c r="O26" i="98" s="1"/>
  <c r="N10" i="99"/>
  <c r="O48" i="100"/>
  <c r="D58" i="129"/>
  <c r="H40" i="123"/>
  <c r="H8" i="123" s="1"/>
  <c r="D53" i="129"/>
  <c r="O8" i="105"/>
  <c r="O13" i="99"/>
  <c r="O23" i="98" s="1"/>
  <c r="L19" i="98"/>
  <c r="J16" i="128"/>
  <c r="J7" i="127"/>
  <c r="J17" i="127" s="1"/>
  <c r="O30" i="98" l="1"/>
  <c r="K30" i="104"/>
  <c r="K31" i="104" s="1"/>
  <c r="R58" i="99"/>
  <c r="R62" i="99" s="1"/>
  <c r="R39" i="99" s="1"/>
  <c r="P33" i="105"/>
  <c r="O25" i="98"/>
  <c r="M19" i="98"/>
  <c r="M17" i="98" s="1"/>
  <c r="Q81" i="99"/>
  <c r="Q12" i="98" s="1"/>
  <c r="P38" i="99"/>
  <c r="Q35" i="105" s="1"/>
  <c r="R56" i="99"/>
  <c r="S57" i="99" s="1"/>
  <c r="P35" i="98"/>
  <c r="Q7" i="105" s="1"/>
  <c r="Q6" i="105"/>
  <c r="P11" i="99"/>
  <c r="P26" i="98" s="1"/>
  <c r="P28" i="99"/>
  <c r="Q36" i="105" s="1"/>
  <c r="Q12" i="105"/>
  <c r="Q35" i="99"/>
  <c r="G27" i="46"/>
  <c r="G27" i="106"/>
  <c r="K69" i="105"/>
  <c r="R7" i="100"/>
  <c r="P82" i="99"/>
  <c r="P12" i="98"/>
  <c r="Q31" i="98"/>
  <c r="L18" i="127"/>
  <c r="L19" i="127" s="1"/>
  <c r="Q70" i="99"/>
  <c r="Q6" i="99"/>
  <c r="Q108" i="99" s="1"/>
  <c r="Q27" i="99" s="1"/>
  <c r="Q60" i="99"/>
  <c r="Q61" i="99" s="1"/>
  <c r="Q73" i="99"/>
  <c r="Q63" i="99" s="1"/>
  <c r="Q40" i="99" s="1"/>
  <c r="Q48" i="99"/>
  <c r="P8" i="105"/>
  <c r="Q62" i="99"/>
  <c r="Q39" i="99" s="1"/>
  <c r="L6" i="127"/>
  <c r="O28" i="98"/>
  <c r="L17" i="98"/>
  <c r="L22" i="98"/>
  <c r="L21" i="98"/>
  <c r="L20" i="98"/>
  <c r="P12" i="99"/>
  <c r="L12" i="128"/>
  <c r="L14" i="127" s="1"/>
  <c r="L13" i="128"/>
  <c r="L15" i="127" s="1"/>
  <c r="L11" i="128"/>
  <c r="L13" i="127" s="1"/>
  <c r="L14" i="128"/>
  <c r="L16" i="127" s="1"/>
  <c r="L7" i="128"/>
  <c r="L9" i="127" s="1"/>
  <c r="L5" i="128"/>
  <c r="L15" i="128"/>
  <c r="L10" i="128"/>
  <c r="L12" i="127" s="1"/>
  <c r="L8" i="128"/>
  <c r="L10" i="127" s="1"/>
  <c r="L9" i="128"/>
  <c r="L11" i="127" s="1"/>
  <c r="L6" i="128"/>
  <c r="L8" i="127" s="1"/>
  <c r="O29" i="98"/>
  <c r="O10" i="99"/>
  <c r="O14" i="99" s="1"/>
  <c r="O19" i="98" s="1"/>
  <c r="O17" i="98" s="1"/>
  <c r="P48" i="100"/>
  <c r="P71" i="99"/>
  <c r="P37" i="99"/>
  <c r="P75" i="99"/>
  <c r="P74" i="99"/>
  <c r="P7" i="99" s="1"/>
  <c r="K33" i="103"/>
  <c r="J15" i="102"/>
  <c r="P13" i="99"/>
  <c r="P23" i="98" s="1"/>
  <c r="N14" i="99"/>
  <c r="N19" i="98" s="1"/>
  <c r="N17" i="98" s="1"/>
  <c r="O27" i="98"/>
  <c r="O24" i="98"/>
  <c r="M17" i="99"/>
  <c r="M3" i="99" s="1"/>
  <c r="H32" i="129"/>
  <c r="J17" i="102"/>
  <c r="K16" i="128"/>
  <c r="K7" i="127"/>
  <c r="K17" i="127" s="1"/>
  <c r="P15" i="99"/>
  <c r="P30" i="98" l="1"/>
  <c r="L30" i="104"/>
  <c r="L31" i="104" s="1"/>
  <c r="S58" i="99"/>
  <c r="S62" i="99" s="1"/>
  <c r="S39" i="99" s="1"/>
  <c r="M6" i="127"/>
  <c r="M22" i="98"/>
  <c r="N22" i="98" s="1"/>
  <c r="O22" i="98" s="1"/>
  <c r="Q82" i="99"/>
  <c r="M20" i="98"/>
  <c r="N20" i="98" s="1"/>
  <c r="O20" i="98" s="1"/>
  <c r="M21" i="98"/>
  <c r="N21" i="98" s="1"/>
  <c r="O21" i="98" s="1"/>
  <c r="M3" i="128"/>
  <c r="M14" i="128" s="1"/>
  <c r="M16" i="127" s="1"/>
  <c r="R69" i="99"/>
  <c r="S47" i="100" s="1"/>
  <c r="S3" i="100" s="1"/>
  <c r="S7" i="100" s="1"/>
  <c r="R5" i="99"/>
  <c r="R35" i="99" s="1"/>
  <c r="R80" i="99"/>
  <c r="R49" i="99"/>
  <c r="M4" i="127"/>
  <c r="R50" i="99"/>
  <c r="R18" i="98"/>
  <c r="P27" i="98"/>
  <c r="Q33" i="105"/>
  <c r="N4" i="99"/>
  <c r="N17" i="99" s="1"/>
  <c r="N3" i="99" s="1"/>
  <c r="P28" i="98"/>
  <c r="P24" i="98"/>
  <c r="S56" i="99"/>
  <c r="T57" i="99" s="1"/>
  <c r="P29" i="98"/>
  <c r="Q13" i="99"/>
  <c r="Q23" i="98" s="1"/>
  <c r="Q48" i="100"/>
  <c r="P10" i="99"/>
  <c r="P14" i="99" s="1"/>
  <c r="P19" i="98" s="1"/>
  <c r="P17" i="98" s="1"/>
  <c r="L16" i="128"/>
  <c r="L7" i="127"/>
  <c r="L17" i="127" s="1"/>
  <c r="Q35" i="98"/>
  <c r="R7" i="105" s="1"/>
  <c r="R6" i="105"/>
  <c r="Q74" i="99"/>
  <c r="Q7" i="99" s="1"/>
  <c r="Q37" i="99"/>
  <c r="Q71" i="99"/>
  <c r="Q75" i="99"/>
  <c r="Q28" i="99"/>
  <c r="R36" i="105" s="1"/>
  <c r="R12" i="105"/>
  <c r="Q8" i="105"/>
  <c r="E59" i="129"/>
  <c r="J14" i="102"/>
  <c r="Q12" i="99"/>
  <c r="P25" i="98"/>
  <c r="Q15" i="99"/>
  <c r="O4" i="99"/>
  <c r="E19" i="104"/>
  <c r="G32" i="106"/>
  <c r="G32" i="46"/>
  <c r="Q38" i="99"/>
  <c r="R35" i="105" s="1"/>
  <c r="Q11" i="99"/>
  <c r="Q26" i="98" s="1"/>
  <c r="K70" i="105"/>
  <c r="I49" i="123" s="1"/>
  <c r="I21" i="123" s="1"/>
  <c r="I48" i="123"/>
  <c r="I20" i="123" s="1"/>
  <c r="Q30" i="98" l="1"/>
  <c r="N6" i="127"/>
  <c r="T58" i="99"/>
  <c r="T62" i="99" s="1"/>
  <c r="T39" i="99" s="1"/>
  <c r="L65" i="100"/>
  <c r="L67" i="100"/>
  <c r="L66" i="100"/>
  <c r="R31" i="98"/>
  <c r="R81" i="99"/>
  <c r="R12" i="98" s="1"/>
  <c r="R70" i="99"/>
  <c r="R75" i="99" s="1"/>
  <c r="R6" i="99"/>
  <c r="R108" i="99" s="1"/>
  <c r="R27" i="99" s="1"/>
  <c r="S6" i="105" s="1"/>
  <c r="R73" i="99"/>
  <c r="R63" i="99" s="1"/>
  <c r="R40" i="99" s="1"/>
  <c r="M18" i="127"/>
  <c r="M19" i="127" s="1"/>
  <c r="R60" i="99"/>
  <c r="R61" i="99" s="1"/>
  <c r="R48" i="99"/>
  <c r="M11" i="128"/>
  <c r="M13" i="127" s="1"/>
  <c r="M9" i="128"/>
  <c r="M11" i="127" s="1"/>
  <c r="M6" i="128"/>
  <c r="M8" i="127" s="1"/>
  <c r="M5" i="128"/>
  <c r="M7" i="127" s="1"/>
  <c r="M7" i="128"/>
  <c r="M9" i="127" s="1"/>
  <c r="M13" i="128"/>
  <c r="M15" i="127" s="1"/>
  <c r="M12" i="128"/>
  <c r="M14" i="127" s="1"/>
  <c r="M15" i="128"/>
  <c r="M10" i="128"/>
  <c r="M12" i="127" s="1"/>
  <c r="M8" i="128"/>
  <c r="M10" i="127" s="1"/>
  <c r="P22" i="98"/>
  <c r="I32" i="129"/>
  <c r="S5" i="99"/>
  <c r="S31" i="98" s="1"/>
  <c r="S80" i="99"/>
  <c r="S49" i="99"/>
  <c r="S18" i="98"/>
  <c r="Q24" i="98"/>
  <c r="N3" i="128"/>
  <c r="N12" i="128" s="1"/>
  <c r="N14" i="127" s="1"/>
  <c r="S69" i="99"/>
  <c r="T47" i="100" s="1"/>
  <c r="T3" i="100" s="1"/>
  <c r="T7" i="100" s="1"/>
  <c r="N4" i="127"/>
  <c r="S50" i="99"/>
  <c r="R33" i="105"/>
  <c r="P4" i="99"/>
  <c r="P17" i="99" s="1"/>
  <c r="P3" i="99" s="1"/>
  <c r="P21" i="98"/>
  <c r="Q25" i="98"/>
  <c r="Q29" i="98"/>
  <c r="T56" i="99"/>
  <c r="T49" i="99" s="1"/>
  <c r="E53" i="129"/>
  <c r="E58" i="129"/>
  <c r="I40" i="123"/>
  <c r="I8" i="123" s="1"/>
  <c r="R28" i="99"/>
  <c r="S36" i="105" s="1"/>
  <c r="S12" i="105"/>
  <c r="R8" i="105"/>
  <c r="J32" i="129"/>
  <c r="O17" i="99"/>
  <c r="O3" i="99" s="1"/>
  <c r="Q9" i="100"/>
  <c r="Q10" i="99"/>
  <c r="Q14" i="99" s="1"/>
  <c r="Q19" i="98" s="1"/>
  <c r="Q17" i="98" s="1"/>
  <c r="R48" i="100"/>
  <c r="R9" i="100" s="1"/>
  <c r="P20" i="98"/>
  <c r="G14" i="106"/>
  <c r="G14" i="46"/>
  <c r="Q28" i="98"/>
  <c r="Q27" i="98"/>
  <c r="R38" i="99" l="1"/>
  <c r="S35" i="105" s="1"/>
  <c r="S33" i="105" s="1"/>
  <c r="M30" i="104"/>
  <c r="M31" i="104" s="1"/>
  <c r="O6" i="127"/>
  <c r="M66" i="100"/>
  <c r="L50" i="100"/>
  <c r="M67" i="100"/>
  <c r="L51" i="100"/>
  <c r="L9" i="100" s="1"/>
  <c r="M65" i="100"/>
  <c r="L49" i="100"/>
  <c r="R82" i="99"/>
  <c r="R35" i="98"/>
  <c r="S7" i="105" s="1"/>
  <c r="S8" i="105" s="1"/>
  <c r="R11" i="99"/>
  <c r="R26" i="98" s="1"/>
  <c r="R30" i="98" s="1"/>
  <c r="R71" i="99"/>
  <c r="R74" i="99"/>
  <c r="R7" i="99" s="1"/>
  <c r="R37" i="99"/>
  <c r="R15" i="99"/>
  <c r="R13" i="99"/>
  <c r="R23" i="98" s="1"/>
  <c r="R24" i="98" s="1"/>
  <c r="R12" i="99"/>
  <c r="S35" i="99"/>
  <c r="S28" i="99" s="1"/>
  <c r="T36" i="105" s="1"/>
  <c r="M17" i="127"/>
  <c r="M16" i="128"/>
  <c r="N9" i="128"/>
  <c r="N11" i="127" s="1"/>
  <c r="N11" i="128"/>
  <c r="N13" i="127" s="1"/>
  <c r="S6" i="99"/>
  <c r="S108" i="99" s="1"/>
  <c r="S27" i="99" s="1"/>
  <c r="T6" i="105" s="1"/>
  <c r="S60" i="99"/>
  <c r="S61" i="99" s="1"/>
  <c r="N18" i="127"/>
  <c r="N19" i="127" s="1"/>
  <c r="N8" i="128"/>
  <c r="N10" i="127" s="1"/>
  <c r="N14" i="128"/>
  <c r="N16" i="127" s="1"/>
  <c r="S70" i="99"/>
  <c r="S71" i="99" s="1"/>
  <c r="S73" i="99"/>
  <c r="S63" i="99" s="1"/>
  <c r="S40" i="99" s="1"/>
  <c r="N6" i="128"/>
  <c r="N8" i="127" s="1"/>
  <c r="S48" i="99"/>
  <c r="N15" i="128"/>
  <c r="N10" i="128"/>
  <c r="N12" i="127" s="1"/>
  <c r="N13" i="128"/>
  <c r="N15" i="127" s="1"/>
  <c r="N7" i="128"/>
  <c r="N9" i="127" s="1"/>
  <c r="N5" i="128"/>
  <c r="N7" i="127" s="1"/>
  <c r="K32" i="129"/>
  <c r="S81" i="99"/>
  <c r="T69" i="99"/>
  <c r="U47" i="100" s="1"/>
  <c r="U3" i="100" s="1"/>
  <c r="U7" i="100" s="1"/>
  <c r="T18" i="98"/>
  <c r="O4" i="127"/>
  <c r="U57" i="99"/>
  <c r="D23" i="108"/>
  <c r="D23" i="126" s="1"/>
  <c r="E23" i="126" s="1"/>
  <c r="T5" i="99"/>
  <c r="T31" i="98" s="1"/>
  <c r="O3" i="128"/>
  <c r="O13" i="128" s="1"/>
  <c r="O15" i="127" s="1"/>
  <c r="T80" i="99"/>
  <c r="T50" i="99"/>
  <c r="T48" i="99" s="1"/>
  <c r="Q21" i="98"/>
  <c r="Q22" i="98"/>
  <c r="Q20" i="98"/>
  <c r="Q12" i="100"/>
  <c r="Q24" i="100"/>
  <c r="R24" i="100"/>
  <c r="R12" i="100"/>
  <c r="S48" i="100"/>
  <c r="S9" i="100" s="1"/>
  <c r="R10" i="99"/>
  <c r="R14" i="99" s="1"/>
  <c r="R19" i="98" s="1"/>
  <c r="Q4" i="99"/>
  <c r="S38" i="99" l="1"/>
  <c r="T35" i="105" s="1"/>
  <c r="T33" i="105" s="1"/>
  <c r="N30" i="104"/>
  <c r="N31" i="104" s="1"/>
  <c r="N67" i="100"/>
  <c r="M51" i="100"/>
  <c r="M9" i="100" s="1"/>
  <c r="N66" i="100"/>
  <c r="M50" i="100"/>
  <c r="N65" i="100"/>
  <c r="M49" i="100"/>
  <c r="L3" i="100"/>
  <c r="L7" i="100" s="1"/>
  <c r="L24" i="100" s="1"/>
  <c r="L18" i="105" s="1"/>
  <c r="K13" i="98" s="1"/>
  <c r="K6" i="98" s="1"/>
  <c r="K3" i="98" s="1"/>
  <c r="L14" i="105" s="1"/>
  <c r="L13" i="105" s="1"/>
  <c r="R27" i="98"/>
  <c r="R28" i="98"/>
  <c r="R29" i="98"/>
  <c r="R17" i="98"/>
  <c r="R25" i="98"/>
  <c r="T12" i="105"/>
  <c r="S11" i="99"/>
  <c r="S26" i="98" s="1"/>
  <c r="S13" i="99"/>
  <c r="S23" i="98" s="1"/>
  <c r="S24" i="98" s="1"/>
  <c r="S35" i="98"/>
  <c r="T7" i="105" s="1"/>
  <c r="T8" i="105" s="1"/>
  <c r="S12" i="99"/>
  <c r="S15" i="99"/>
  <c r="S37" i="99"/>
  <c r="S75" i="99"/>
  <c r="S10" i="99" s="1"/>
  <c r="S74" i="99"/>
  <c r="S7" i="99" s="1"/>
  <c r="N17" i="127"/>
  <c r="N16" i="128"/>
  <c r="T35" i="99"/>
  <c r="U12" i="105" s="1"/>
  <c r="T70" i="99"/>
  <c r="T75" i="99" s="1"/>
  <c r="T6" i="99"/>
  <c r="T108" i="99" s="1"/>
  <c r="T27" i="99" s="1"/>
  <c r="T35" i="98" s="1"/>
  <c r="U7" i="105" s="1"/>
  <c r="O18" i="127"/>
  <c r="O19" i="127" s="1"/>
  <c r="S82" i="99"/>
  <c r="S12" i="98"/>
  <c r="E23" i="108"/>
  <c r="F23" i="108" s="1"/>
  <c r="T73" i="99"/>
  <c r="T63" i="99" s="1"/>
  <c r="T40" i="99" s="1"/>
  <c r="D24" i="108"/>
  <c r="D24" i="126" s="1"/>
  <c r="E24" i="126" s="1"/>
  <c r="E25" i="126" s="1"/>
  <c r="T60" i="99"/>
  <c r="T61" i="99" s="1"/>
  <c r="T81" i="99"/>
  <c r="T82" i="99" s="1"/>
  <c r="D26" i="108" s="1"/>
  <c r="E26" i="108" s="1"/>
  <c r="F26" i="108" s="1"/>
  <c r="O15" i="128"/>
  <c r="O45" i="128" s="1"/>
  <c r="U22" i="135" s="1"/>
  <c r="E22" i="135" s="1"/>
  <c r="O10" i="128"/>
  <c r="O6" i="128"/>
  <c r="O8" i="128"/>
  <c r="O5" i="128"/>
  <c r="U7" i="135" s="1"/>
  <c r="O9" i="128"/>
  <c r="O12" i="128"/>
  <c r="O14" i="127" s="1"/>
  <c r="O11" i="128"/>
  <c r="O14" i="128"/>
  <c r="U20" i="135" s="1"/>
  <c r="E20" i="135" s="1"/>
  <c r="O7" i="128"/>
  <c r="U58" i="99"/>
  <c r="U62" i="99" s="1"/>
  <c r="U39" i="99" s="1"/>
  <c r="U56" i="99"/>
  <c r="R22" i="98"/>
  <c r="R4" i="99"/>
  <c r="S12" i="100"/>
  <c r="S24" i="100"/>
  <c r="R20" i="98"/>
  <c r="R21" i="98"/>
  <c r="Q27" i="100"/>
  <c r="Q59" i="100"/>
  <c r="Q18" i="105"/>
  <c r="P13" i="98" s="1"/>
  <c r="P6" i="98" s="1"/>
  <c r="P3" i="98" s="1"/>
  <c r="Q14" i="105" s="1"/>
  <c r="Q13" i="105" s="1"/>
  <c r="R59" i="100"/>
  <c r="R18" i="105"/>
  <c r="Q13" i="98" s="1"/>
  <c r="Q6" i="98" s="1"/>
  <c r="Q3" i="98" s="1"/>
  <c r="R14" i="105" s="1"/>
  <c r="R13" i="105" s="1"/>
  <c r="R27" i="100"/>
  <c r="Q17" i="99"/>
  <c r="Q3" i="99" s="1"/>
  <c r="L32" i="129"/>
  <c r="I22" i="135" l="1"/>
  <c r="H22" i="135"/>
  <c r="O46" i="128"/>
  <c r="U34" i="135" s="1"/>
  <c r="E34" i="135" s="1"/>
  <c r="O47" i="128"/>
  <c r="U21" i="135" s="1"/>
  <c r="E21" i="135" s="1"/>
  <c r="O41" i="128"/>
  <c r="U30" i="135" s="1"/>
  <c r="E30" i="135" s="1"/>
  <c r="I30" i="135" s="1"/>
  <c r="O43" i="128"/>
  <c r="U29" i="135" s="1"/>
  <c r="E29" i="135" s="1"/>
  <c r="H29" i="135" s="1"/>
  <c r="O44" i="128"/>
  <c r="U31" i="135" s="1"/>
  <c r="E31" i="135" s="1"/>
  <c r="O39" i="128"/>
  <c r="U36" i="135" s="1"/>
  <c r="E36" i="135" s="1"/>
  <c r="O40" i="128"/>
  <c r="U32" i="135" s="1"/>
  <c r="E32" i="135" s="1"/>
  <c r="O42" i="128"/>
  <c r="U33" i="135" s="1"/>
  <c r="E33" i="135" s="1"/>
  <c r="O36" i="128"/>
  <c r="U37" i="135" s="1"/>
  <c r="E37" i="135" s="1"/>
  <c r="O37" i="128"/>
  <c r="U38" i="135" s="1"/>
  <c r="E38" i="135" s="1"/>
  <c r="H20" i="135"/>
  <c r="I20" i="135"/>
  <c r="O16" i="127"/>
  <c r="O13" i="127"/>
  <c r="O12" i="127"/>
  <c r="U27" i="135"/>
  <c r="O11" i="127"/>
  <c r="U16" i="135"/>
  <c r="E16" i="135" s="1"/>
  <c r="O10" i="127"/>
  <c r="U11" i="135"/>
  <c r="E11" i="135" s="1"/>
  <c r="O32" i="128"/>
  <c r="U10" i="135" s="1"/>
  <c r="E10" i="135" s="1"/>
  <c r="O33" i="128"/>
  <c r="U28" i="135" s="1"/>
  <c r="E28" i="135" s="1"/>
  <c r="O9" i="127"/>
  <c r="O31" i="128"/>
  <c r="U9" i="135" s="1"/>
  <c r="E9" i="135" s="1"/>
  <c r="O8" i="127"/>
  <c r="U8" i="135"/>
  <c r="E8" i="135" s="1"/>
  <c r="O7" i="127"/>
  <c r="T38" i="99"/>
  <c r="U35" i="105" s="1"/>
  <c r="O30" i="104"/>
  <c r="O31" i="104" s="1"/>
  <c r="O66" i="100"/>
  <c r="N50" i="100"/>
  <c r="L12" i="100"/>
  <c r="O67" i="100"/>
  <c r="N51" i="100"/>
  <c r="N9" i="100" s="1"/>
  <c r="O65" i="100"/>
  <c r="N49" i="100"/>
  <c r="M3" i="100"/>
  <c r="M7" i="100" s="1"/>
  <c r="S27" i="98"/>
  <c r="S25" i="98"/>
  <c r="S28" i="98"/>
  <c r="S30" i="98"/>
  <c r="S29" i="98"/>
  <c r="T37" i="99"/>
  <c r="T48" i="100"/>
  <c r="T9" i="100" s="1"/>
  <c r="T12" i="100" s="1"/>
  <c r="T12" i="98"/>
  <c r="T13" i="99"/>
  <c r="T23" i="98" s="1"/>
  <c r="T24" i="98" s="1"/>
  <c r="T11" i="99"/>
  <c r="T26" i="98" s="1"/>
  <c r="U6" i="105"/>
  <c r="U8" i="105" s="1"/>
  <c r="T15" i="99"/>
  <c r="T12" i="99"/>
  <c r="T28" i="99"/>
  <c r="U36" i="105" s="1"/>
  <c r="T71" i="99"/>
  <c r="T74" i="99"/>
  <c r="T7" i="99" s="1"/>
  <c r="E24" i="108"/>
  <c r="F24" i="108" s="1"/>
  <c r="D25" i="108"/>
  <c r="D25" i="126" s="1"/>
  <c r="O16" i="128"/>
  <c r="D26" i="126"/>
  <c r="E26" i="126" s="1"/>
  <c r="U18" i="98"/>
  <c r="U69" i="99"/>
  <c r="U5" i="99"/>
  <c r="U49" i="99"/>
  <c r="U50" i="99"/>
  <c r="U80" i="99"/>
  <c r="V57" i="99"/>
  <c r="V58" i="99" s="1"/>
  <c r="V62" i="99" s="1"/>
  <c r="V39" i="99" s="1"/>
  <c r="L59" i="100"/>
  <c r="L27" i="100"/>
  <c r="Q20" i="105"/>
  <c r="Q17" i="105" s="1"/>
  <c r="P48" i="97" s="1"/>
  <c r="R20" i="105"/>
  <c r="R17" i="105" s="1"/>
  <c r="Q48" i="97" s="1"/>
  <c r="P49" i="97"/>
  <c r="Q72" i="103" s="1"/>
  <c r="K34" i="129"/>
  <c r="T10" i="99"/>
  <c r="T14" i="99" s="1"/>
  <c r="T19" i="98" s="1"/>
  <c r="U48" i="100"/>
  <c r="U9" i="100" s="1"/>
  <c r="M32" i="129"/>
  <c r="R17" i="99"/>
  <c r="R3" i="99" s="1"/>
  <c r="Q49" i="97"/>
  <c r="R72" i="103" s="1"/>
  <c r="L34" i="129"/>
  <c r="S14" i="99"/>
  <c r="S19" i="98" s="1"/>
  <c r="S17" i="98" s="1"/>
  <c r="S27" i="100"/>
  <c r="S18" i="105"/>
  <c r="R13" i="98" s="1"/>
  <c r="R6" i="98" s="1"/>
  <c r="R3" i="98" s="1"/>
  <c r="S14" i="105" s="1"/>
  <c r="S13" i="105" s="1"/>
  <c r="S59" i="100"/>
  <c r="K49" i="97"/>
  <c r="L72" i="103" s="1"/>
  <c r="F34" i="129"/>
  <c r="I21" i="135" l="1"/>
  <c r="H21" i="135"/>
  <c r="H30" i="135"/>
  <c r="U23" i="135"/>
  <c r="E27" i="135"/>
  <c r="E39" i="135" s="1"/>
  <c r="U39" i="135"/>
  <c r="I31" i="135"/>
  <c r="H31" i="135"/>
  <c r="I29" i="135"/>
  <c r="I34" i="135"/>
  <c r="H34" i="135"/>
  <c r="H33" i="135"/>
  <c r="I33" i="135"/>
  <c r="H32" i="135"/>
  <c r="I32" i="135"/>
  <c r="I36" i="135"/>
  <c r="H36" i="135"/>
  <c r="H38" i="135"/>
  <c r="I38" i="135"/>
  <c r="H37" i="135"/>
  <c r="I37" i="135"/>
  <c r="O17" i="127"/>
  <c r="H16" i="135"/>
  <c r="I16" i="135"/>
  <c r="I11" i="135"/>
  <c r="H11" i="135"/>
  <c r="H28" i="135"/>
  <c r="I28" i="135"/>
  <c r="I10" i="135"/>
  <c r="H10" i="135"/>
  <c r="H9" i="135"/>
  <c r="I9" i="135"/>
  <c r="H8" i="135"/>
  <c r="I8" i="135"/>
  <c r="E7" i="135"/>
  <c r="U33" i="105"/>
  <c r="P67" i="100"/>
  <c r="P51" i="100" s="1"/>
  <c r="P9" i="100" s="1"/>
  <c r="O51" i="100"/>
  <c r="O9" i="100" s="1"/>
  <c r="P66" i="100"/>
  <c r="P50" i="100" s="1"/>
  <c r="O50" i="100"/>
  <c r="P65" i="100"/>
  <c r="P49" i="100" s="1"/>
  <c r="O49" i="100"/>
  <c r="M12" i="100"/>
  <c r="N3" i="100"/>
  <c r="N7" i="100" s="1"/>
  <c r="M24" i="100"/>
  <c r="T27" i="98"/>
  <c r="T24" i="100"/>
  <c r="T59" i="100" s="1"/>
  <c r="T28" i="98"/>
  <c r="T25" i="98"/>
  <c r="T17" i="98"/>
  <c r="T30" i="98"/>
  <c r="T29" i="98"/>
  <c r="E25" i="108"/>
  <c r="F25" i="108" s="1"/>
  <c r="L20" i="105"/>
  <c r="L17" i="105" s="1"/>
  <c r="K48" i="97" s="1"/>
  <c r="L75" i="103" s="1"/>
  <c r="L76" i="103" s="1"/>
  <c r="K16" i="102" s="1"/>
  <c r="U81" i="99"/>
  <c r="U12" i="98" s="1"/>
  <c r="K35" i="129"/>
  <c r="M28" i="106"/>
  <c r="P20" i="99"/>
  <c r="P18" i="99" s="1"/>
  <c r="Q10" i="105" s="1"/>
  <c r="Q9" i="105" s="1"/>
  <c r="M28" i="46"/>
  <c r="U48" i="99"/>
  <c r="U31" i="98"/>
  <c r="U35" i="99"/>
  <c r="V47" i="100"/>
  <c r="V3" i="100" s="1"/>
  <c r="V7" i="100" s="1"/>
  <c r="U70" i="99"/>
  <c r="U73" i="99"/>
  <c r="U63" i="99" s="1"/>
  <c r="U40" i="99" s="1"/>
  <c r="U60" i="99"/>
  <c r="U61" i="99" s="1"/>
  <c r="U6" i="99"/>
  <c r="V56" i="99"/>
  <c r="P54" i="98"/>
  <c r="N28" i="106"/>
  <c r="S4" i="99"/>
  <c r="S17" i="99" s="1"/>
  <c r="S3" i="99" s="1"/>
  <c r="Q20" i="99"/>
  <c r="Q18" i="99" s="1"/>
  <c r="R10" i="105" s="1"/>
  <c r="N25" i="106" s="1"/>
  <c r="N28" i="46"/>
  <c r="Q54" i="98"/>
  <c r="L35" i="129"/>
  <c r="S22" i="98"/>
  <c r="T22" i="98" s="1"/>
  <c r="S21" i="98"/>
  <c r="T21" i="98" s="1"/>
  <c r="U24" i="100"/>
  <c r="U12" i="100"/>
  <c r="D22" i="108" s="1"/>
  <c r="S20" i="98"/>
  <c r="T20" i="98" s="1"/>
  <c r="R49" i="97"/>
  <c r="S72" i="103" s="1"/>
  <c r="M34" i="129"/>
  <c r="S20" i="105"/>
  <c r="S17" i="105" s="1"/>
  <c r="T4" i="99"/>
  <c r="H27" i="135" l="1"/>
  <c r="I27" i="135"/>
  <c r="I39" i="135" s="1"/>
  <c r="I7" i="135"/>
  <c r="I23" i="135" s="1"/>
  <c r="H7" i="135"/>
  <c r="E23" i="135"/>
  <c r="U38" i="99"/>
  <c r="V35" i="105" s="1"/>
  <c r="P30" i="104"/>
  <c r="P31" i="104" s="1"/>
  <c r="N12" i="100"/>
  <c r="M59" i="100"/>
  <c r="M18" i="105"/>
  <c r="L13" i="98" s="1"/>
  <c r="L6" i="98" s="1"/>
  <c r="L3" i="98" s="1"/>
  <c r="M14" i="105" s="1"/>
  <c r="M13" i="105" s="1"/>
  <c r="M27" i="100"/>
  <c r="P3" i="100"/>
  <c r="P7" i="100" s="1"/>
  <c r="O3" i="100"/>
  <c r="O7" i="100" s="1"/>
  <c r="N24" i="100"/>
  <c r="T27" i="100"/>
  <c r="T20" i="105" s="1"/>
  <c r="T18" i="105"/>
  <c r="S13" i="98" s="1"/>
  <c r="S6" i="98" s="1"/>
  <c r="S3" i="98" s="1"/>
  <c r="T14" i="105" s="1"/>
  <c r="T13" i="105" s="1"/>
  <c r="S49" i="97" s="1"/>
  <c r="T72" i="103" s="1"/>
  <c r="F35" i="129"/>
  <c r="U82" i="99"/>
  <c r="H28" i="106"/>
  <c r="K54" i="98"/>
  <c r="H28" i="46"/>
  <c r="K20" i="99"/>
  <c r="K18" i="99" s="1"/>
  <c r="L10" i="105" s="1"/>
  <c r="H25" i="46" s="1"/>
  <c r="H26" i="46" s="1"/>
  <c r="M25" i="46"/>
  <c r="K68" i="104"/>
  <c r="M25" i="106"/>
  <c r="N26" i="106" s="1"/>
  <c r="R9" i="105"/>
  <c r="Q50" i="97" s="1"/>
  <c r="R24" i="103" s="1"/>
  <c r="R23" i="103" s="1"/>
  <c r="N25" i="46"/>
  <c r="U37" i="99"/>
  <c r="U75" i="99"/>
  <c r="U74" i="99"/>
  <c r="U71" i="99"/>
  <c r="U28" i="99"/>
  <c r="V36" i="105" s="1"/>
  <c r="V12" i="105"/>
  <c r="L68" i="104"/>
  <c r="V18" i="98"/>
  <c r="V69" i="99"/>
  <c r="V50" i="99"/>
  <c r="W57" i="99"/>
  <c r="W58" i="99" s="1"/>
  <c r="W62" i="99" s="1"/>
  <c r="W39" i="99" s="1"/>
  <c r="V5" i="99"/>
  <c r="V35" i="99" s="1"/>
  <c r="V80" i="99"/>
  <c r="V49" i="99"/>
  <c r="U108" i="99"/>
  <c r="U27" i="99" s="1"/>
  <c r="U15" i="99"/>
  <c r="U12" i="99"/>
  <c r="U13" i="99"/>
  <c r="U23" i="98" s="1"/>
  <c r="U11" i="99"/>
  <c r="U26" i="98" s="1"/>
  <c r="N32" i="129"/>
  <c r="L71" i="103"/>
  <c r="O32" i="129"/>
  <c r="T17" i="99"/>
  <c r="T3" i="99" s="1"/>
  <c r="D22" i="126"/>
  <c r="E22" i="126" s="1"/>
  <c r="E22" i="108"/>
  <c r="F22" i="108" s="1"/>
  <c r="U27" i="100"/>
  <c r="U18" i="105"/>
  <c r="T13" i="98" s="1"/>
  <c r="T6" i="98" s="1"/>
  <c r="T3" i="98" s="1"/>
  <c r="U14" i="105" s="1"/>
  <c r="U13" i="105" s="1"/>
  <c r="U59" i="100"/>
  <c r="R20" i="99"/>
  <c r="R18" i="99" s="1"/>
  <c r="S10" i="105" s="1"/>
  <c r="R54" i="98"/>
  <c r="M35" i="129"/>
  <c r="O28" i="46"/>
  <c r="O28" i="106"/>
  <c r="R48" i="97"/>
  <c r="O47" i="123"/>
  <c r="O19" i="123" s="1"/>
  <c r="P47" i="97"/>
  <c r="Q34" i="103" s="1"/>
  <c r="P50" i="97"/>
  <c r="Q24" i="103" s="1"/>
  <c r="Q23" i="103" s="1"/>
  <c r="Q16" i="105"/>
  <c r="K33" i="129"/>
  <c r="K36" i="129" s="1"/>
  <c r="G39" i="135" l="1"/>
  <c r="H39" i="135"/>
  <c r="H23" i="135"/>
  <c r="G23" i="135"/>
  <c r="V33" i="105"/>
  <c r="O12" i="100"/>
  <c r="P12" i="100"/>
  <c r="M20" i="105"/>
  <c r="M17" i="105" s="1"/>
  <c r="P24" i="100"/>
  <c r="N18" i="105"/>
  <c r="M13" i="98" s="1"/>
  <c r="M6" i="98" s="1"/>
  <c r="M3" i="98" s="1"/>
  <c r="N14" i="105" s="1"/>
  <c r="N13" i="105" s="1"/>
  <c r="N27" i="100"/>
  <c r="N59" i="100"/>
  <c r="G34" i="129"/>
  <c r="L49" i="97"/>
  <c r="M72" i="103" s="1"/>
  <c r="O24" i="100"/>
  <c r="T17" i="105"/>
  <c r="S54" i="98" s="1"/>
  <c r="Q47" i="97"/>
  <c r="R34" i="103" s="1"/>
  <c r="R33" i="103" s="1"/>
  <c r="N34" i="129"/>
  <c r="R16" i="105"/>
  <c r="N27" i="46" s="1"/>
  <c r="N26" i="46"/>
  <c r="P47" i="123"/>
  <c r="P19" i="123" s="1"/>
  <c r="F68" i="104"/>
  <c r="L33" i="129"/>
  <c r="L36" i="129" s="1"/>
  <c r="H25" i="106"/>
  <c r="H26" i="106" s="1"/>
  <c r="L9" i="105"/>
  <c r="K47" i="97" s="1"/>
  <c r="L34" i="103" s="1"/>
  <c r="L33" i="103" s="1"/>
  <c r="W56" i="99"/>
  <c r="W50" i="99" s="1"/>
  <c r="V48" i="99"/>
  <c r="V81" i="99"/>
  <c r="V12" i="98" s="1"/>
  <c r="W12" i="105"/>
  <c r="V28" i="99"/>
  <c r="W36" i="105" s="1"/>
  <c r="U27" i="98"/>
  <c r="U28" i="98"/>
  <c r="U29" i="98"/>
  <c r="U30" i="98"/>
  <c r="V31" i="98"/>
  <c r="U24" i="98"/>
  <c r="U25" i="98"/>
  <c r="AC74" i="99"/>
  <c r="U7" i="99"/>
  <c r="W47" i="100"/>
  <c r="W3" i="100" s="1"/>
  <c r="W7" i="100" s="1"/>
  <c r="V70" i="99"/>
  <c r="V6" i="99"/>
  <c r="V13" i="99" s="1"/>
  <c r="V23" i="98" s="1"/>
  <c r="V60" i="99"/>
  <c r="V61" i="99" s="1"/>
  <c r="V73" i="99"/>
  <c r="V63" i="99" s="1"/>
  <c r="V40" i="99" s="1"/>
  <c r="U10" i="99"/>
  <c r="U14" i="99" s="1"/>
  <c r="U19" i="98" s="1"/>
  <c r="V48" i="100"/>
  <c r="V9" i="100" s="1"/>
  <c r="AC75" i="99"/>
  <c r="V6" i="105"/>
  <c r="U35" i="98"/>
  <c r="V7" i="105" s="1"/>
  <c r="U20" i="105"/>
  <c r="U17" i="105" s="1"/>
  <c r="Q17" i="102"/>
  <c r="S9" i="105"/>
  <c r="M68" i="104"/>
  <c r="O25" i="106"/>
  <c r="O26" i="106" s="1"/>
  <c r="O25" i="46"/>
  <c r="O26" i="46" s="1"/>
  <c r="F49" i="129"/>
  <c r="L60" i="103"/>
  <c r="Q33" i="103"/>
  <c r="T49" i="97"/>
  <c r="U72" i="103" s="1"/>
  <c r="O34" i="129"/>
  <c r="M27" i="106"/>
  <c r="M27" i="46"/>
  <c r="Q69" i="105"/>
  <c r="V38" i="99" l="1"/>
  <c r="W35" i="105" s="1"/>
  <c r="W33" i="105" s="1"/>
  <c r="Q30" i="104"/>
  <c r="Q31" i="104" s="1"/>
  <c r="Q15" i="102"/>
  <c r="L59" i="129" s="1"/>
  <c r="L48" i="97"/>
  <c r="M75" i="103" s="1"/>
  <c r="L20" i="99"/>
  <c r="L18" i="99" s="1"/>
  <c r="M10" i="105" s="1"/>
  <c r="G35" i="129"/>
  <c r="I28" i="106"/>
  <c r="I28" i="46"/>
  <c r="L54" i="98"/>
  <c r="P28" i="106"/>
  <c r="O27" i="100"/>
  <c r="O18" i="105"/>
  <c r="N13" i="98" s="1"/>
  <c r="N6" i="98" s="1"/>
  <c r="N3" i="98" s="1"/>
  <c r="O14" i="105" s="1"/>
  <c r="O13" i="105" s="1"/>
  <c r="N49" i="97" s="1"/>
  <c r="O72" i="103" s="1"/>
  <c r="O59" i="100"/>
  <c r="N35" i="129"/>
  <c r="P28" i="46"/>
  <c r="S48" i="97"/>
  <c r="N20" i="105"/>
  <c r="N17" i="105" s="1"/>
  <c r="S20" i="99"/>
  <c r="S18" i="99" s="1"/>
  <c r="T10" i="105" s="1"/>
  <c r="T9" i="105" s="1"/>
  <c r="N33" i="129" s="1"/>
  <c r="M49" i="97"/>
  <c r="N72" i="103" s="1"/>
  <c r="H34" i="129"/>
  <c r="P27" i="100"/>
  <c r="P59" i="100"/>
  <c r="P18" i="105"/>
  <c r="O13" i="98" s="1"/>
  <c r="O6" i="98" s="1"/>
  <c r="O3" i="98" s="1"/>
  <c r="P14" i="105" s="1"/>
  <c r="P13" i="105" s="1"/>
  <c r="O49" i="97" s="1"/>
  <c r="P72" i="103" s="1"/>
  <c r="N27" i="106"/>
  <c r="R69" i="105"/>
  <c r="P48" i="123" s="1"/>
  <c r="P20" i="123" s="1"/>
  <c r="K50" i="97"/>
  <c r="L24" i="103" s="1"/>
  <c r="L23" i="103" s="1"/>
  <c r="K17" i="102" s="1"/>
  <c r="J47" i="123"/>
  <c r="J19" i="123" s="1"/>
  <c r="K15" i="102"/>
  <c r="F59" i="129" s="1"/>
  <c r="F33" i="129"/>
  <c r="F36" i="129" s="1"/>
  <c r="L16" i="105"/>
  <c r="W80" i="99"/>
  <c r="W18" i="98"/>
  <c r="V82" i="99"/>
  <c r="W5" i="99"/>
  <c r="W35" i="99" s="1"/>
  <c r="X12" i="105" s="1"/>
  <c r="X57" i="99"/>
  <c r="X58" i="99" s="1"/>
  <c r="X62" i="99" s="1"/>
  <c r="X39" i="99" s="1"/>
  <c r="W49" i="99"/>
  <c r="W48" i="99" s="1"/>
  <c r="W69" i="99"/>
  <c r="V24" i="98"/>
  <c r="V8" i="105"/>
  <c r="V24" i="100"/>
  <c r="V12" i="100"/>
  <c r="U17" i="98"/>
  <c r="U21" i="98"/>
  <c r="U20" i="98"/>
  <c r="U22" i="98"/>
  <c r="V25" i="98"/>
  <c r="V108" i="99"/>
  <c r="V27" i="99" s="1"/>
  <c r="V71" i="99"/>
  <c r="V74" i="99"/>
  <c r="V7" i="99" s="1"/>
  <c r="V37" i="99"/>
  <c r="V75" i="99"/>
  <c r="V11" i="99"/>
  <c r="V26" i="98" s="1"/>
  <c r="V27" i="98" s="1"/>
  <c r="V12" i="99"/>
  <c r="U4" i="99"/>
  <c r="U17" i="99" s="1"/>
  <c r="U3" i="99" s="1"/>
  <c r="V15" i="99"/>
  <c r="Q47" i="123"/>
  <c r="Q19" i="123" s="1"/>
  <c r="R47" i="97"/>
  <c r="S34" i="103" s="1"/>
  <c r="R50" i="97"/>
  <c r="S24" i="103" s="1"/>
  <c r="S23" i="103" s="1"/>
  <c r="S16" i="105"/>
  <c r="M33" i="129"/>
  <c r="M36" i="129" s="1"/>
  <c r="Q70" i="105"/>
  <c r="O49" i="123" s="1"/>
  <c r="O21" i="123" s="1"/>
  <c r="O48" i="123"/>
  <c r="O20" i="123" s="1"/>
  <c r="T20" i="99"/>
  <c r="T18" i="99" s="1"/>
  <c r="U10" i="105" s="1"/>
  <c r="T48" i="97"/>
  <c r="Q28" i="106"/>
  <c r="Q28" i="46"/>
  <c r="O35" i="129"/>
  <c r="T54" i="98"/>
  <c r="M76" i="103" l="1"/>
  <c r="M71" i="103" s="1"/>
  <c r="G49" i="129" s="1"/>
  <c r="N68" i="104"/>
  <c r="I25" i="46"/>
  <c r="I26" i="46" s="1"/>
  <c r="M9" i="105"/>
  <c r="I25" i="106"/>
  <c r="I26" i="106" s="1"/>
  <c r="G68" i="104"/>
  <c r="I34" i="129"/>
  <c r="J34" i="129"/>
  <c r="R70" i="105"/>
  <c r="P49" i="123" s="1"/>
  <c r="P21" i="123" s="1"/>
  <c r="N36" i="129"/>
  <c r="T16" i="105"/>
  <c r="P27" i="106" s="1"/>
  <c r="S50" i="97"/>
  <c r="T24" i="103" s="1"/>
  <c r="T23" i="103" s="1"/>
  <c r="S17" i="102" s="1"/>
  <c r="R47" i="123"/>
  <c r="R19" i="123" s="1"/>
  <c r="S47" i="97"/>
  <c r="T34" i="103" s="1"/>
  <c r="S15" i="102" s="1"/>
  <c r="N59" i="129" s="1"/>
  <c r="M20" i="99"/>
  <c r="M18" i="99" s="1"/>
  <c r="N10" i="105" s="1"/>
  <c r="J28" i="106"/>
  <c r="M54" i="98"/>
  <c r="M48" i="97"/>
  <c r="J28" i="46"/>
  <c r="H35" i="129"/>
  <c r="P20" i="105"/>
  <c r="P17" i="105" s="1"/>
  <c r="P25" i="46"/>
  <c r="P26" i="46" s="1"/>
  <c r="P25" i="106"/>
  <c r="P26" i="106" s="1"/>
  <c r="O20" i="105"/>
  <c r="O17" i="105" s="1"/>
  <c r="H32" i="106"/>
  <c r="H32" i="46"/>
  <c r="K14" i="102"/>
  <c r="J40" i="123" s="1"/>
  <c r="J8" i="123" s="1"/>
  <c r="W31" i="98"/>
  <c r="F19" i="104"/>
  <c r="H14" i="106" s="1"/>
  <c r="W81" i="99"/>
  <c r="W12" i="98" s="1"/>
  <c r="W28" i="99"/>
  <c r="X36" i="105" s="1"/>
  <c r="H27" i="106"/>
  <c r="L69" i="105"/>
  <c r="H27" i="46"/>
  <c r="X56" i="99"/>
  <c r="X5" i="99" s="1"/>
  <c r="W6" i="99"/>
  <c r="W108" i="99" s="1"/>
  <c r="W27" i="99" s="1"/>
  <c r="W73" i="99"/>
  <c r="W63" i="99" s="1"/>
  <c r="W40" i="99" s="1"/>
  <c r="W70" i="99"/>
  <c r="W37" i="99" s="1"/>
  <c r="W60" i="99"/>
  <c r="W61" i="99" s="1"/>
  <c r="X47" i="100"/>
  <c r="X3" i="100" s="1"/>
  <c r="X7" i="100" s="1"/>
  <c r="V30" i="98"/>
  <c r="W6" i="105"/>
  <c r="V35" i="98"/>
  <c r="W7" i="105" s="1"/>
  <c r="V18" i="105"/>
  <c r="U13" i="98" s="1"/>
  <c r="U6" i="98" s="1"/>
  <c r="U3" i="98" s="1"/>
  <c r="V14" i="105" s="1"/>
  <c r="V13" i="105" s="1"/>
  <c r="U49" i="97" s="1"/>
  <c r="V72" i="103" s="1"/>
  <c r="V59" i="100"/>
  <c r="V27" i="100"/>
  <c r="V29" i="98"/>
  <c r="V10" i="99"/>
  <c r="V14" i="99" s="1"/>
  <c r="V19" i="98" s="1"/>
  <c r="V17" i="98" s="1"/>
  <c r="W48" i="100"/>
  <c r="W9" i="100" s="1"/>
  <c r="V28" i="98"/>
  <c r="O27" i="46"/>
  <c r="O27" i="106"/>
  <c r="S69" i="105"/>
  <c r="Q25" i="46"/>
  <c r="U9" i="105"/>
  <c r="Q25" i="106"/>
  <c r="O68" i="104"/>
  <c r="R17" i="102"/>
  <c r="S33" i="103"/>
  <c r="R15" i="102"/>
  <c r="M59" i="129" s="1"/>
  <c r="T69" i="105" l="1"/>
  <c r="R48" i="123" s="1"/>
  <c r="R20" i="123" s="1"/>
  <c r="W38" i="99"/>
  <c r="X35" i="105" s="1"/>
  <c r="X33" i="105" s="1"/>
  <c r="R30" i="104"/>
  <c r="R31" i="104" s="1"/>
  <c r="P27" i="46"/>
  <c r="M60" i="103"/>
  <c r="L16" i="102"/>
  <c r="N75" i="103"/>
  <c r="N76" i="103" s="1"/>
  <c r="M16" i="102" s="1"/>
  <c r="H38" i="94"/>
  <c r="H28" i="94"/>
  <c r="L47" i="97"/>
  <c r="M34" i="103" s="1"/>
  <c r="L50" i="97"/>
  <c r="M24" i="103" s="1"/>
  <c r="M23" i="103" s="1"/>
  <c r="L17" i="102" s="1"/>
  <c r="G33" i="129"/>
  <c r="G36" i="129" s="1"/>
  <c r="M16" i="105"/>
  <c r="K47" i="123"/>
  <c r="K19" i="123" s="1"/>
  <c r="T33" i="103"/>
  <c r="L28" i="46"/>
  <c r="L28" i="106"/>
  <c r="J35" i="129"/>
  <c r="O20" i="99"/>
  <c r="O18" i="99" s="1"/>
  <c r="P10" i="105" s="1"/>
  <c r="O48" i="97"/>
  <c r="O54" i="98"/>
  <c r="N48" i="97"/>
  <c r="K28" i="46"/>
  <c r="K28" i="106"/>
  <c r="N54" i="98"/>
  <c r="N20" i="99"/>
  <c r="N18" i="99" s="1"/>
  <c r="O10" i="105" s="1"/>
  <c r="I35" i="129"/>
  <c r="N9" i="105"/>
  <c r="J25" i="106"/>
  <c r="J26" i="106" s="1"/>
  <c r="J25" i="46"/>
  <c r="J26" i="46" s="1"/>
  <c r="H68" i="104"/>
  <c r="F58" i="129"/>
  <c r="W82" i="99"/>
  <c r="F53" i="129"/>
  <c r="H14" i="46"/>
  <c r="W12" i="99"/>
  <c r="J48" i="123"/>
  <c r="J20" i="123" s="1"/>
  <c r="L70" i="105"/>
  <c r="J49" i="123" s="1"/>
  <c r="J21" i="123" s="1"/>
  <c r="W75" i="99"/>
  <c r="X48" i="100" s="1"/>
  <c r="X9" i="100" s="1"/>
  <c r="W74" i="99"/>
  <c r="W7" i="99" s="1"/>
  <c r="W71" i="99"/>
  <c r="W11" i="99"/>
  <c r="W26" i="98" s="1"/>
  <c r="W27" i="98" s="1"/>
  <c r="X49" i="99"/>
  <c r="W13" i="99"/>
  <c r="W23" i="98" s="1"/>
  <c r="W24" i="98" s="1"/>
  <c r="W15" i="99"/>
  <c r="X50" i="99"/>
  <c r="X80" i="99"/>
  <c r="X69" i="99"/>
  <c r="Y47" i="100" s="1"/>
  <c r="Y3" i="100" s="1"/>
  <c r="Y7" i="100" s="1"/>
  <c r="X18" i="98"/>
  <c r="Y57" i="99"/>
  <c r="Y58" i="99" s="1"/>
  <c r="Y62" i="99" s="1"/>
  <c r="Y39" i="99" s="1"/>
  <c r="V20" i="105"/>
  <c r="V17" i="105" s="1"/>
  <c r="R28" i="106" s="1"/>
  <c r="W8" i="105"/>
  <c r="W24" i="100"/>
  <c r="W12" i="100"/>
  <c r="V22" i="98"/>
  <c r="X31" i="98"/>
  <c r="X35" i="99"/>
  <c r="V21" i="98"/>
  <c r="W35" i="98"/>
  <c r="X7" i="105" s="1"/>
  <c r="X6" i="105"/>
  <c r="V20" i="98"/>
  <c r="V4" i="99"/>
  <c r="V17" i="99" s="1"/>
  <c r="V3" i="99" s="1"/>
  <c r="S70" i="105"/>
  <c r="Q49" i="123" s="1"/>
  <c r="Q21" i="123" s="1"/>
  <c r="Q48" i="123"/>
  <c r="Q20" i="123" s="1"/>
  <c r="Q26" i="106"/>
  <c r="U16" i="105"/>
  <c r="T50" i="97"/>
  <c r="U24" i="103" s="1"/>
  <c r="U23" i="103" s="1"/>
  <c r="T47" i="97"/>
  <c r="U34" i="103" s="1"/>
  <c r="S47" i="123"/>
  <c r="O33" i="129"/>
  <c r="O36" i="129" s="1"/>
  <c r="Q26" i="46"/>
  <c r="T70" i="105" l="1"/>
  <c r="R49" i="123" s="1"/>
  <c r="R21" i="123" s="1"/>
  <c r="I27" i="106"/>
  <c r="M69" i="105"/>
  <c r="I27" i="46"/>
  <c r="M33" i="103"/>
  <c r="L15" i="102"/>
  <c r="H33" i="129"/>
  <c r="H36" i="129" s="1"/>
  <c r="M47" i="97"/>
  <c r="N34" i="103" s="1"/>
  <c r="N16" i="105"/>
  <c r="I28" i="94"/>
  <c r="M50" i="97"/>
  <c r="N24" i="103" s="1"/>
  <c r="N23" i="103" s="1"/>
  <c r="M17" i="102" s="1"/>
  <c r="L47" i="123"/>
  <c r="L19" i="123" s="1"/>
  <c r="I38" i="94"/>
  <c r="L25" i="46"/>
  <c r="P9" i="105"/>
  <c r="J68" i="104"/>
  <c r="L25" i="106"/>
  <c r="K25" i="106"/>
  <c r="K26" i="106" s="1"/>
  <c r="I68" i="104"/>
  <c r="O9" i="105"/>
  <c r="K25" i="46"/>
  <c r="K26" i="46" s="1"/>
  <c r="W25" i="98"/>
  <c r="W30" i="98"/>
  <c r="W29" i="98"/>
  <c r="W10" i="99"/>
  <c r="W14" i="99" s="1"/>
  <c r="W19" i="98" s="1"/>
  <c r="W17" i="98" s="1"/>
  <c r="X48" i="99"/>
  <c r="W28" i="98"/>
  <c r="X81" i="99"/>
  <c r="X82" i="99" s="1"/>
  <c r="X70" i="99"/>
  <c r="X74" i="99" s="1"/>
  <c r="X7" i="99" s="1"/>
  <c r="X73" i="99"/>
  <c r="X63" i="99" s="1"/>
  <c r="X40" i="99" s="1"/>
  <c r="Y56" i="99"/>
  <c r="Y49" i="99" s="1"/>
  <c r="X6" i="99"/>
  <c r="X108" i="99" s="1"/>
  <c r="X27" i="99" s="1"/>
  <c r="X35" i="98" s="1"/>
  <c r="Y7" i="105" s="1"/>
  <c r="X60" i="99"/>
  <c r="X61" i="99" s="1"/>
  <c r="U20" i="99"/>
  <c r="U18" i="99" s="1"/>
  <c r="V10" i="105" s="1"/>
  <c r="V9" i="105" s="1"/>
  <c r="U48" i="97"/>
  <c r="R28" i="46"/>
  <c r="U54" i="98"/>
  <c r="X8" i="105"/>
  <c r="Y12" i="105"/>
  <c r="X28" i="99"/>
  <c r="Y36" i="105" s="1"/>
  <c r="W27" i="100"/>
  <c r="W18" i="105"/>
  <c r="V13" i="98" s="1"/>
  <c r="V6" i="98" s="1"/>
  <c r="V3" i="98" s="1"/>
  <c r="W14" i="105" s="1"/>
  <c r="W13" i="105" s="1"/>
  <c r="V49" i="97" s="1"/>
  <c r="W72" i="103" s="1"/>
  <c r="W59" i="100"/>
  <c r="X12" i="100"/>
  <c r="X24" i="100"/>
  <c r="O75" i="103"/>
  <c r="O76" i="103" s="1"/>
  <c r="O71" i="103" s="1"/>
  <c r="S19" i="123"/>
  <c r="D16" i="108"/>
  <c r="U33" i="103"/>
  <c r="T15" i="102"/>
  <c r="O59" i="129" s="1"/>
  <c r="T17" i="102"/>
  <c r="N71" i="103"/>
  <c r="U69" i="105"/>
  <c r="Q27" i="46"/>
  <c r="Q27" i="106"/>
  <c r="X38" i="99" l="1"/>
  <c r="Y35" i="105" s="1"/>
  <c r="Y33" i="105" s="1"/>
  <c r="S30" i="104"/>
  <c r="S31" i="104" s="1"/>
  <c r="L14" i="102"/>
  <c r="G59" i="129"/>
  <c r="G19" i="104"/>
  <c r="I32" i="106"/>
  <c r="I32" i="46"/>
  <c r="M70" i="105"/>
  <c r="K49" i="123" s="1"/>
  <c r="K21" i="123" s="1"/>
  <c r="K48" i="123"/>
  <c r="K20" i="123" s="1"/>
  <c r="J28" i="94"/>
  <c r="J38" i="94"/>
  <c r="N50" i="97"/>
  <c r="O24" i="103" s="1"/>
  <c r="O23" i="103" s="1"/>
  <c r="N47" i="97"/>
  <c r="O34" i="103" s="1"/>
  <c r="I33" i="129"/>
  <c r="I36" i="129" s="1"/>
  <c r="M47" i="123"/>
  <c r="M19" i="123" s="1"/>
  <c r="O16" i="105"/>
  <c r="L26" i="106"/>
  <c r="M26" i="106"/>
  <c r="J27" i="46"/>
  <c r="N69" i="105"/>
  <c r="J27" i="106"/>
  <c r="N33" i="103"/>
  <c r="J32" i="46" s="1"/>
  <c r="M15" i="102"/>
  <c r="N47" i="123"/>
  <c r="N19" i="123" s="1"/>
  <c r="P16" i="105"/>
  <c r="O27" i="97"/>
  <c r="O50" i="97"/>
  <c r="P24" i="103" s="1"/>
  <c r="P23" i="103" s="1"/>
  <c r="P17" i="102" s="1"/>
  <c r="O47" i="97"/>
  <c r="P34" i="103" s="1"/>
  <c r="J33" i="129"/>
  <c r="J36" i="129" s="1"/>
  <c r="L26" i="46"/>
  <c r="M26" i="46"/>
  <c r="X75" i="99"/>
  <c r="X10" i="99" s="1"/>
  <c r="X12" i="98"/>
  <c r="X37" i="99"/>
  <c r="X71" i="99"/>
  <c r="X15" i="99"/>
  <c r="Y69" i="99"/>
  <c r="Z47" i="100" s="1"/>
  <c r="Z3" i="100" s="1"/>
  <c r="Z7" i="100" s="1"/>
  <c r="X12" i="99"/>
  <c r="P68" i="104"/>
  <c r="Y18" i="98"/>
  <c r="Y80" i="99"/>
  <c r="Y5" i="99"/>
  <c r="Y35" i="99" s="1"/>
  <c r="Z12" i="105" s="1"/>
  <c r="Y50" i="99"/>
  <c r="Y48" i="99" s="1"/>
  <c r="Y6" i="105"/>
  <c r="Y8" i="105" s="1"/>
  <c r="X13" i="99"/>
  <c r="X23" i="98" s="1"/>
  <c r="X25" i="98" s="1"/>
  <c r="X11" i="99"/>
  <c r="X26" i="98" s="1"/>
  <c r="X29" i="98" s="1"/>
  <c r="R25" i="46"/>
  <c r="R26" i="46" s="1"/>
  <c r="Z57" i="99"/>
  <c r="R25" i="106"/>
  <c r="R26" i="106" s="1"/>
  <c r="W20" i="105"/>
  <c r="W17" i="105" s="1"/>
  <c r="V54" i="98" s="1"/>
  <c r="W4" i="99"/>
  <c r="W17" i="99" s="1"/>
  <c r="W3" i="99" s="1"/>
  <c r="W20" i="98"/>
  <c r="W22" i="98"/>
  <c r="T47" i="123"/>
  <c r="T19" i="123" s="1"/>
  <c r="U50" i="97"/>
  <c r="V24" i="103" s="1"/>
  <c r="V23" i="103" s="1"/>
  <c r="U17" i="102" s="1"/>
  <c r="U47" i="97"/>
  <c r="V34" i="103" s="1"/>
  <c r="V16" i="105"/>
  <c r="X59" i="100"/>
  <c r="X27" i="100"/>
  <c r="X18" i="105"/>
  <c r="W21" i="98"/>
  <c r="N16" i="102"/>
  <c r="P75" i="103"/>
  <c r="P76" i="103" s="1"/>
  <c r="O60" i="103"/>
  <c r="I49" i="129"/>
  <c r="H49" i="129"/>
  <c r="N60" i="103"/>
  <c r="E16" i="108"/>
  <c r="F16" i="108" s="1"/>
  <c r="D10" i="126"/>
  <c r="E10" i="126" s="1"/>
  <c r="U70" i="105"/>
  <c r="S49" i="123" s="1"/>
  <c r="S48" i="123"/>
  <c r="Y60" i="99" l="1"/>
  <c r="Y61" i="99" s="1"/>
  <c r="I14" i="46"/>
  <c r="I14" i="106"/>
  <c r="G53" i="129"/>
  <c r="G58" i="129"/>
  <c r="K40" i="123"/>
  <c r="K8" i="123" s="1"/>
  <c r="H19" i="104"/>
  <c r="J14" i="106" s="1"/>
  <c r="J32" i="106"/>
  <c r="P33" i="103"/>
  <c r="P15" i="102"/>
  <c r="K59" i="129" s="1"/>
  <c r="K27" i="106"/>
  <c r="K27" i="46"/>
  <c r="O69" i="105"/>
  <c r="N70" i="105"/>
  <c r="L49" i="123" s="1"/>
  <c r="L21" i="123" s="1"/>
  <c r="L48" i="123"/>
  <c r="L20" i="123" s="1"/>
  <c r="O7" i="97"/>
  <c r="O26" i="97"/>
  <c r="P27" i="97"/>
  <c r="P20" i="97"/>
  <c r="P19" i="97" s="1"/>
  <c r="L27" i="46"/>
  <c r="L27" i="106"/>
  <c r="P69" i="105"/>
  <c r="N15" i="102"/>
  <c r="I59" i="129" s="1"/>
  <c r="O15" i="102"/>
  <c r="J59" i="129" s="1"/>
  <c r="O33" i="103"/>
  <c r="O17" i="102"/>
  <c r="H59" i="129"/>
  <c r="M14" i="102"/>
  <c r="N17" i="102"/>
  <c r="Y48" i="100"/>
  <c r="Y9" i="100" s="1"/>
  <c r="Y24" i="100" s="1"/>
  <c r="Y81" i="99"/>
  <c r="Y12" i="98" s="1"/>
  <c r="Y73" i="99"/>
  <c r="Y63" i="99" s="1"/>
  <c r="Y40" i="99" s="1"/>
  <c r="Y6" i="99"/>
  <c r="Y108" i="99" s="1"/>
  <c r="Y27" i="99" s="1"/>
  <c r="Y35" i="98" s="1"/>
  <c r="Z7" i="105" s="1"/>
  <c r="X27" i="98"/>
  <c r="Y70" i="99"/>
  <c r="Y71" i="99" s="1"/>
  <c r="Y28" i="99"/>
  <c r="Z36" i="105" s="1"/>
  <c r="X28" i="98"/>
  <c r="Y31" i="98"/>
  <c r="X24" i="98"/>
  <c r="X30" i="98"/>
  <c r="Z56" i="99"/>
  <c r="Z58" i="99"/>
  <c r="Z62" i="99" s="1"/>
  <c r="Z39" i="99" s="1"/>
  <c r="V20" i="99"/>
  <c r="V18" i="99" s="1"/>
  <c r="W10" i="105" s="1"/>
  <c r="W9" i="105" s="1"/>
  <c r="V48" i="97"/>
  <c r="X20" i="105"/>
  <c r="X17" i="105" s="1"/>
  <c r="W13" i="98"/>
  <c r="W6" i="98" s="1"/>
  <c r="W3" i="98" s="1"/>
  <c r="X14" i="105" s="1"/>
  <c r="X13" i="105" s="1"/>
  <c r="W49" i="97" s="1"/>
  <c r="X72" i="103" s="1"/>
  <c r="X14" i="99"/>
  <c r="X4" i="99" s="1"/>
  <c r="X17" i="99" s="1"/>
  <c r="X3" i="99" s="1"/>
  <c r="V69" i="105"/>
  <c r="R27" i="46"/>
  <c r="R27" i="106"/>
  <c r="V33" i="103"/>
  <c r="U15" i="102"/>
  <c r="O16" i="102"/>
  <c r="P71" i="103"/>
  <c r="Q75" i="103"/>
  <c r="Q76" i="103" s="1"/>
  <c r="R75" i="103" s="1"/>
  <c r="S21" i="123"/>
  <c r="D18" i="108"/>
  <c r="S20" i="123"/>
  <c r="D17" i="108"/>
  <c r="Y38" i="99" l="1"/>
  <c r="Z35" i="105" s="1"/>
  <c r="Z33" i="105" s="1"/>
  <c r="T30" i="104"/>
  <c r="T31" i="104" s="1"/>
  <c r="J14" i="46"/>
  <c r="L32" i="106"/>
  <c r="Y12" i="100"/>
  <c r="O14" i="102"/>
  <c r="J53" i="129" s="1"/>
  <c r="N48" i="123"/>
  <c r="N20" i="123" s="1"/>
  <c r="P70" i="105"/>
  <c r="N49" i="123" s="1"/>
  <c r="N21" i="123" s="1"/>
  <c r="H58" i="129"/>
  <c r="H53" i="129"/>
  <c r="L40" i="123"/>
  <c r="L8" i="123" s="1"/>
  <c r="M48" i="123"/>
  <c r="M20" i="123" s="1"/>
  <c r="O70" i="105"/>
  <c r="M49" i="123" s="1"/>
  <c r="M21" i="123" s="1"/>
  <c r="N14" i="102"/>
  <c r="I19" i="104"/>
  <c r="K32" i="46"/>
  <c r="K32" i="106"/>
  <c r="Q27" i="97"/>
  <c r="Q20" i="97"/>
  <c r="Q19" i="97" s="1"/>
  <c r="P26" i="97"/>
  <c r="P7" i="97"/>
  <c r="O6" i="97"/>
  <c r="Y12" i="99"/>
  <c r="Y15" i="99"/>
  <c r="Z6" i="105"/>
  <c r="Z8" i="105" s="1"/>
  <c r="Y82" i="99"/>
  <c r="Y13" i="99"/>
  <c r="Y23" i="98" s="1"/>
  <c r="Y25" i="98" s="1"/>
  <c r="Y11" i="99"/>
  <c r="Y26" i="98" s="1"/>
  <c r="Y29" i="98" s="1"/>
  <c r="Y75" i="99"/>
  <c r="Y37" i="99"/>
  <c r="Y74" i="99"/>
  <c r="Y7" i="99" s="1"/>
  <c r="Z69" i="99"/>
  <c r="Z49" i="99"/>
  <c r="Z5" i="99"/>
  <c r="Z80" i="99"/>
  <c r="Z18" i="98"/>
  <c r="Z50" i="99"/>
  <c r="AA57" i="99"/>
  <c r="Q68" i="104"/>
  <c r="J49" i="129"/>
  <c r="J19" i="104"/>
  <c r="L14" i="106" s="1"/>
  <c r="L32" i="46"/>
  <c r="V50" i="97"/>
  <c r="W24" i="103" s="1"/>
  <c r="W23" i="103" s="1"/>
  <c r="V17" i="102" s="1"/>
  <c r="U47" i="123"/>
  <c r="U19" i="123" s="1"/>
  <c r="V47" i="97"/>
  <c r="W34" i="103" s="1"/>
  <c r="W16" i="105"/>
  <c r="W69" i="105" s="1"/>
  <c r="W48" i="97"/>
  <c r="W20" i="99"/>
  <c r="W18" i="99" s="1"/>
  <c r="X10" i="105" s="1"/>
  <c r="W54" i="98"/>
  <c r="T48" i="123"/>
  <c r="T20" i="123" s="1"/>
  <c r="V70" i="105"/>
  <c r="T49" i="123" s="1"/>
  <c r="T21" i="123" s="1"/>
  <c r="Y59" i="100"/>
  <c r="Y18" i="105"/>
  <c r="X13" i="98" s="1"/>
  <c r="X6" i="98" s="1"/>
  <c r="Y27" i="100"/>
  <c r="P60" i="103"/>
  <c r="X19" i="98"/>
  <c r="Q71" i="103"/>
  <c r="K19" i="104" s="1"/>
  <c r="P16" i="102"/>
  <c r="P14" i="102" s="1"/>
  <c r="K58" i="129" s="1"/>
  <c r="R76" i="103"/>
  <c r="S75" i="103" s="1"/>
  <c r="E17" i="108"/>
  <c r="F17" i="108" s="1"/>
  <c r="D11" i="126"/>
  <c r="E11" i="126" s="1"/>
  <c r="D12" i="126"/>
  <c r="E12" i="126" s="1"/>
  <c r="E18" i="108"/>
  <c r="F18" i="108" s="1"/>
  <c r="J58" i="129" l="1"/>
  <c r="N40" i="123"/>
  <c r="N8" i="123" s="1"/>
  <c r="I53" i="129"/>
  <c r="I58" i="129"/>
  <c r="M40" i="123"/>
  <c r="M8" i="123" s="1"/>
  <c r="R27" i="97"/>
  <c r="R20" i="97"/>
  <c r="R19" i="97" s="1"/>
  <c r="Q26" i="97"/>
  <c r="Q7" i="97"/>
  <c r="P6" i="97"/>
  <c r="K14" i="46"/>
  <c r="K14" i="106"/>
  <c r="Y24" i="98"/>
  <c r="Y27" i="98"/>
  <c r="Y30" i="98"/>
  <c r="Y28" i="98"/>
  <c r="Z48" i="100"/>
  <c r="Z9" i="100" s="1"/>
  <c r="Y10" i="99"/>
  <c r="Z81" i="99"/>
  <c r="Z82" i="99" s="1"/>
  <c r="Z48" i="99"/>
  <c r="Z35" i="99"/>
  <c r="Z31" i="98"/>
  <c r="Z73" i="99"/>
  <c r="Z63" i="99" s="1"/>
  <c r="Z40" i="99" s="1"/>
  <c r="Z6" i="99"/>
  <c r="Z108" i="99" s="1"/>
  <c r="Z27" i="99" s="1"/>
  <c r="Z70" i="99"/>
  <c r="Z60" i="99"/>
  <c r="Z61" i="99" s="1"/>
  <c r="AA47" i="100"/>
  <c r="AA3" i="100" s="1"/>
  <c r="AA7" i="100" s="1"/>
  <c r="AA56" i="99"/>
  <c r="AA58" i="99"/>
  <c r="L14" i="46"/>
  <c r="K53" i="129"/>
  <c r="O40" i="123"/>
  <c r="O8" i="123" s="1"/>
  <c r="W70" i="105"/>
  <c r="U49" i="123" s="1"/>
  <c r="U21" i="123" s="1"/>
  <c r="U48" i="123"/>
  <c r="U20" i="123" s="1"/>
  <c r="W33" i="103"/>
  <c r="V15" i="102"/>
  <c r="X21" i="98"/>
  <c r="X20" i="98"/>
  <c r="X17" i="98"/>
  <c r="X3" i="98" s="1"/>
  <c r="Y14" i="105" s="1"/>
  <c r="Y13" i="105" s="1"/>
  <c r="X49" i="97" s="1"/>
  <c r="Y72" i="103" s="1"/>
  <c r="X22" i="98"/>
  <c r="R68" i="104"/>
  <c r="X9" i="105"/>
  <c r="Y20" i="105"/>
  <c r="Y17" i="105" s="1"/>
  <c r="M32" i="106"/>
  <c r="R71" i="103"/>
  <c r="L19" i="104" s="1"/>
  <c r="M32" i="46"/>
  <c r="Q16" i="102"/>
  <c r="Q14" i="102" s="1"/>
  <c r="P40" i="123" s="1"/>
  <c r="P8" i="123" s="1"/>
  <c r="K49" i="129"/>
  <c r="Q60" i="103"/>
  <c r="S76" i="103"/>
  <c r="T75" i="103" s="1"/>
  <c r="M14" i="106"/>
  <c r="M14" i="46"/>
  <c r="Z38" i="99" l="1"/>
  <c r="AA35" i="105" s="1"/>
  <c r="U30" i="104"/>
  <c r="U31" i="104" s="1"/>
  <c r="R26" i="97"/>
  <c r="S20" i="97"/>
  <c r="S19" i="97" s="1"/>
  <c r="S27" i="97"/>
  <c r="R7" i="97"/>
  <c r="Q6" i="97"/>
  <c r="Z12" i="98"/>
  <c r="Y14" i="99"/>
  <c r="Y19" i="98" s="1"/>
  <c r="Y17" i="98" s="1"/>
  <c r="Z12" i="100"/>
  <c r="Z24" i="100"/>
  <c r="R60" i="103"/>
  <c r="N32" i="106"/>
  <c r="Z12" i="99"/>
  <c r="Z13" i="99"/>
  <c r="Z23" i="98" s="1"/>
  <c r="Z24" i="98" s="1"/>
  <c r="Z15" i="99"/>
  <c r="Z11" i="99"/>
  <c r="Z26" i="98" s="1"/>
  <c r="Z29" i="98" s="1"/>
  <c r="AA18" i="98"/>
  <c r="AA5" i="99"/>
  <c r="AA35" i="99" s="1"/>
  <c r="AA80" i="99"/>
  <c r="AB57" i="99"/>
  <c r="AB56" i="99" s="1"/>
  <c r="AA49" i="99"/>
  <c r="AA69" i="99"/>
  <c r="AA50" i="99"/>
  <c r="AA62" i="99"/>
  <c r="AA39" i="99" s="1"/>
  <c r="Z71" i="99"/>
  <c r="Z37" i="99"/>
  <c r="Z75" i="99"/>
  <c r="Z74" i="99"/>
  <c r="Z7" i="99" s="1"/>
  <c r="AA12" i="105"/>
  <c r="Z28" i="99"/>
  <c r="AA36" i="105" s="1"/>
  <c r="Z35" i="98"/>
  <c r="AA7" i="105" s="1"/>
  <c r="AA6" i="105"/>
  <c r="N32" i="46"/>
  <c r="X20" i="99"/>
  <c r="X18" i="99" s="1"/>
  <c r="Y10" i="105" s="1"/>
  <c r="X54" i="98"/>
  <c r="X48" i="97"/>
  <c r="V47" i="123"/>
  <c r="V19" i="123" s="1"/>
  <c r="W47" i="97"/>
  <c r="X34" i="103" s="1"/>
  <c r="X16" i="105"/>
  <c r="X69" i="105" s="1"/>
  <c r="X70" i="105" s="1"/>
  <c r="V49" i="123" s="1"/>
  <c r="V21" i="123" s="1"/>
  <c r="W50" i="97"/>
  <c r="X24" i="103" s="1"/>
  <c r="X23" i="103" s="1"/>
  <c r="L49" i="129"/>
  <c r="L58" i="129"/>
  <c r="L53" i="129"/>
  <c r="S71" i="103"/>
  <c r="M19" i="104" s="1"/>
  <c r="N14" i="46"/>
  <c r="N14" i="106"/>
  <c r="T76" i="103"/>
  <c r="U75" i="103" s="1"/>
  <c r="R16" i="102"/>
  <c r="R14" i="102" s="1"/>
  <c r="AA33" i="105" l="1"/>
  <c r="S7" i="97"/>
  <c r="R6" i="97"/>
  <c r="T20" i="97"/>
  <c r="T19" i="97" s="1"/>
  <c r="T27" i="97"/>
  <c r="S26" i="97"/>
  <c r="Y4" i="99"/>
  <c r="Y17" i="99" s="1"/>
  <c r="Y3" i="99" s="1"/>
  <c r="Z25" i="98"/>
  <c r="Z27" i="100"/>
  <c r="Z59" i="100"/>
  <c r="Z18" i="105"/>
  <c r="Y13" i="98" s="1"/>
  <c r="Y6" i="98" s="1"/>
  <c r="Y3" i="98" s="1"/>
  <c r="Z14" i="105" s="1"/>
  <c r="Z13" i="105" s="1"/>
  <c r="Y49" i="97" s="1"/>
  <c r="Z72" i="103" s="1"/>
  <c r="Y21" i="98"/>
  <c r="Y20" i="98"/>
  <c r="Y22" i="98"/>
  <c r="AB58" i="99"/>
  <c r="AB62" i="99" s="1"/>
  <c r="AB39" i="99" s="1"/>
  <c r="Z28" i="98"/>
  <c r="Z27" i="98"/>
  <c r="Z30" i="98"/>
  <c r="AA81" i="99"/>
  <c r="AA12" i="98" s="1"/>
  <c r="AA8" i="105"/>
  <c r="AB47" i="100"/>
  <c r="AB3" i="100" s="1"/>
  <c r="AA73" i="99"/>
  <c r="AA63" i="99" s="1"/>
  <c r="AA40" i="99" s="1"/>
  <c r="AA38" i="99" s="1"/>
  <c r="AB35" i="105" s="1"/>
  <c r="AA60" i="99"/>
  <c r="AA61" i="99" s="1"/>
  <c r="AA70" i="99"/>
  <c r="AA6" i="99"/>
  <c r="AA108" i="99" s="1"/>
  <c r="AA27" i="99" s="1"/>
  <c r="AA28" i="99"/>
  <c r="AB36" i="105" s="1"/>
  <c r="AB12" i="105"/>
  <c r="AA48" i="99"/>
  <c r="AB69" i="99"/>
  <c r="AB18" i="98"/>
  <c r="AB50" i="99"/>
  <c r="AB49" i="99"/>
  <c r="AB80" i="99"/>
  <c r="AB5" i="99"/>
  <c r="AB35" i="99" s="1"/>
  <c r="AA48" i="100"/>
  <c r="AA9" i="100" s="1"/>
  <c r="Z10" i="99"/>
  <c r="AA31" i="98"/>
  <c r="V48" i="123"/>
  <c r="V20" i="123" s="1"/>
  <c r="O32" i="106"/>
  <c r="S60" i="103"/>
  <c r="M49" i="129"/>
  <c r="W17" i="102"/>
  <c r="X33" i="103"/>
  <c r="W15" i="102"/>
  <c r="O32" i="46"/>
  <c r="Y9" i="105"/>
  <c r="S68" i="104"/>
  <c r="T71" i="103"/>
  <c r="X19" i="104"/>
  <c r="O14" i="46"/>
  <c r="O14" i="106"/>
  <c r="Q40" i="123"/>
  <c r="Q8" i="123" s="1"/>
  <c r="M58" i="129"/>
  <c r="M53" i="129"/>
  <c r="S16" i="102"/>
  <c r="S14" i="102" s="1"/>
  <c r="U76" i="103"/>
  <c r="T16" i="102" s="1"/>
  <c r="T14" i="102" s="1"/>
  <c r="V30" i="104" l="1"/>
  <c r="V31" i="104" s="1"/>
  <c r="U27" i="97"/>
  <c r="U20" i="97"/>
  <c r="U19" i="97" s="1"/>
  <c r="T26" i="97"/>
  <c r="T7" i="97"/>
  <c r="S6" i="97"/>
  <c r="AA82" i="99"/>
  <c r="Z20" i="105"/>
  <c r="Z17" i="105" s="1"/>
  <c r="AB33" i="105"/>
  <c r="AA15" i="99"/>
  <c r="AB48" i="99"/>
  <c r="AC12" i="105"/>
  <c r="AB28" i="99"/>
  <c r="AC36" i="105" s="1"/>
  <c r="AA24" i="100"/>
  <c r="AA12" i="100"/>
  <c r="AB70" i="99"/>
  <c r="AB6" i="99"/>
  <c r="AB108" i="99" s="1"/>
  <c r="AB27" i="99" s="1"/>
  <c r="AB73" i="99"/>
  <c r="AB63" i="99" s="1"/>
  <c r="AB40" i="99" s="1"/>
  <c r="AB38" i="99" s="1"/>
  <c r="AC35" i="105" s="1"/>
  <c r="AB60" i="99"/>
  <c r="AB61" i="99" s="1"/>
  <c r="AA74" i="99"/>
  <c r="AA7" i="99" s="1"/>
  <c r="AA75" i="99"/>
  <c r="AA37" i="99"/>
  <c r="AA71" i="99"/>
  <c r="AB6" i="105"/>
  <c r="AA35" i="98"/>
  <c r="AB7" i="105" s="1"/>
  <c r="AA11" i="99"/>
  <c r="AA26" i="98" s="1"/>
  <c r="AC47" i="100"/>
  <c r="AC3" i="100" s="1"/>
  <c r="Z14" i="99"/>
  <c r="Z4" i="99" s="1"/>
  <c r="Z17" i="99" s="1"/>
  <c r="Z3" i="99" s="1"/>
  <c r="AA13" i="99"/>
  <c r="AA23" i="98" s="1"/>
  <c r="AB31" i="98"/>
  <c r="AB7" i="100"/>
  <c r="AA12" i="99"/>
  <c r="AB81" i="99"/>
  <c r="X50" i="97"/>
  <c r="Y24" i="103" s="1"/>
  <c r="Y23" i="103" s="1"/>
  <c r="X47" i="97"/>
  <c r="Y34" i="103" s="1"/>
  <c r="W47" i="123"/>
  <c r="W19" i="123" s="1"/>
  <c r="Y16" i="105"/>
  <c r="Y69" i="105" s="1"/>
  <c r="N58" i="129"/>
  <c r="R40" i="123"/>
  <c r="R8" i="123" s="1"/>
  <c r="N53" i="129"/>
  <c r="O58" i="129"/>
  <c r="O53" i="129"/>
  <c r="S40" i="123"/>
  <c r="S8" i="123" s="1"/>
  <c r="U71" i="103"/>
  <c r="V75" i="103"/>
  <c r="N19" i="104"/>
  <c r="T60" i="103"/>
  <c r="N49" i="129"/>
  <c r="P32" i="46"/>
  <c r="P32" i="106"/>
  <c r="W30" i="104" l="1"/>
  <c r="W31" i="104" s="1"/>
  <c r="U7" i="97"/>
  <c r="T6" i="97"/>
  <c r="V20" i="97"/>
  <c r="V19" i="97" s="1"/>
  <c r="U26" i="97"/>
  <c r="V27" i="97"/>
  <c r="Z19" i="98"/>
  <c r="Z17" i="98" s="1"/>
  <c r="Y48" i="97"/>
  <c r="Y20" i="99"/>
  <c r="Y18" i="99" s="1"/>
  <c r="Z10" i="105" s="1"/>
  <c r="Y54" i="98"/>
  <c r="AB11" i="99"/>
  <c r="AB26" i="98" s="1"/>
  <c r="AB35" i="98"/>
  <c r="AC7" i="105" s="1"/>
  <c r="AC6" i="105"/>
  <c r="AB82" i="99"/>
  <c r="AB12" i="98"/>
  <c r="AB13" i="99"/>
  <c r="AB23" i="98" s="1"/>
  <c r="AB8" i="105"/>
  <c r="AB74" i="99"/>
  <c r="AB7" i="99" s="1"/>
  <c r="AB75" i="99"/>
  <c r="AB37" i="99"/>
  <c r="AB71" i="99"/>
  <c r="AA25" i="98"/>
  <c r="AA24" i="98"/>
  <c r="AA59" i="100"/>
  <c r="AA27" i="100"/>
  <c r="AA18" i="105"/>
  <c r="Z13" i="98" s="1"/>
  <c r="Z6" i="98" s="1"/>
  <c r="AB48" i="100"/>
  <c r="AB9" i="100" s="1"/>
  <c r="AA10" i="99"/>
  <c r="AC33" i="105"/>
  <c r="AB12" i="99"/>
  <c r="AC7" i="100"/>
  <c r="AB15" i="99"/>
  <c r="AA28" i="98"/>
  <c r="AA29" i="98"/>
  <c r="AA30" i="98"/>
  <c r="AA27" i="98"/>
  <c r="X17" i="102"/>
  <c r="Y70" i="105"/>
  <c r="W49" i="123" s="1"/>
  <c r="W21" i="123" s="1"/>
  <c r="W48" i="123"/>
  <c r="W20" i="123" s="1"/>
  <c r="Y33" i="103"/>
  <c r="X15" i="102"/>
  <c r="P14" i="46"/>
  <c r="P14" i="106"/>
  <c r="O19" i="104"/>
  <c r="U60" i="103"/>
  <c r="O49" i="129"/>
  <c r="Q32" i="106"/>
  <c r="Q32" i="46"/>
  <c r="V76" i="103"/>
  <c r="W75" i="103" s="1"/>
  <c r="W27" i="97" l="1"/>
  <c r="V26" i="97"/>
  <c r="W20" i="97"/>
  <c r="W19" i="97" s="1"/>
  <c r="V7" i="97"/>
  <c r="U6" i="97"/>
  <c r="Z21" i="98"/>
  <c r="AB25" i="98"/>
  <c r="Z20" i="98"/>
  <c r="Z22" i="98"/>
  <c r="AB27" i="98"/>
  <c r="AB30" i="98"/>
  <c r="AB28" i="98"/>
  <c r="T68" i="104"/>
  <c r="Z9" i="105"/>
  <c r="AB29" i="98"/>
  <c r="AC8" i="105"/>
  <c r="AB24" i="98"/>
  <c r="AA20" i="105"/>
  <c r="AA17" i="105" s="1"/>
  <c r="Z20" i="99" s="1"/>
  <c r="Z18" i="99" s="1"/>
  <c r="AA10" i="105" s="1"/>
  <c r="AB10" i="99"/>
  <c r="AC48" i="100"/>
  <c r="AC9" i="100" s="1"/>
  <c r="AA14" i="99"/>
  <c r="AA4" i="99" s="1"/>
  <c r="AA17" i="99" s="1"/>
  <c r="AA3" i="99" s="1"/>
  <c r="AB12" i="100"/>
  <c r="AB24" i="100"/>
  <c r="Z3" i="98"/>
  <c r="AA14" i="105" s="1"/>
  <c r="AA13" i="105" s="1"/>
  <c r="Z49" i="97" s="1"/>
  <c r="AA72" i="103" s="1"/>
  <c r="U16" i="102"/>
  <c r="U14" i="102" s="1"/>
  <c r="T40" i="123" s="1"/>
  <c r="T8" i="123" s="1"/>
  <c r="V71" i="103"/>
  <c r="P19" i="104" s="1"/>
  <c r="R14" i="46" s="1"/>
  <c r="W76" i="103"/>
  <c r="X75" i="103" s="1"/>
  <c r="Q14" i="46"/>
  <c r="Q14" i="106"/>
  <c r="W7" i="97" l="1"/>
  <c r="V6" i="97"/>
  <c r="W26" i="97"/>
  <c r="X27" i="97"/>
  <c r="X20" i="97"/>
  <c r="X19" i="97" s="1"/>
  <c r="R32" i="46"/>
  <c r="X47" i="123"/>
  <c r="X19" i="123" s="1"/>
  <c r="Y50" i="97"/>
  <c r="Z24" i="103" s="1"/>
  <c r="Z23" i="103" s="1"/>
  <c r="Y17" i="102" s="1"/>
  <c r="Y47" i="97"/>
  <c r="Z34" i="103" s="1"/>
  <c r="Z16" i="105"/>
  <c r="Z69" i="105" s="1"/>
  <c r="R32" i="106"/>
  <c r="V60" i="103"/>
  <c r="Z54" i="98"/>
  <c r="Z48" i="97"/>
  <c r="AA19" i="98"/>
  <c r="AC12" i="100"/>
  <c r="AC24" i="100"/>
  <c r="AB14" i="99"/>
  <c r="AB4" i="99" s="1"/>
  <c r="AB17" i="99" s="1"/>
  <c r="AB3" i="99" s="1"/>
  <c r="AB18" i="105"/>
  <c r="AA13" i="98" s="1"/>
  <c r="AA6" i="98" s="1"/>
  <c r="AB59" i="100"/>
  <c r="AB27" i="100"/>
  <c r="AA9" i="105"/>
  <c r="U68" i="104"/>
  <c r="R14" i="106"/>
  <c r="V16" i="102"/>
  <c r="V14" i="102" s="1"/>
  <c r="U40" i="123" s="1"/>
  <c r="U8" i="123" s="1"/>
  <c r="X76" i="103"/>
  <c r="Y75" i="103" s="1"/>
  <c r="W71" i="103"/>
  <c r="Y27" i="97" l="1"/>
  <c r="Y20" i="97"/>
  <c r="Y19" i="97" s="1"/>
  <c r="X26" i="97"/>
  <c r="W6" i="97"/>
  <c r="X7" i="97"/>
  <c r="X48" i="123"/>
  <c r="X20" i="123" s="1"/>
  <c r="Z70" i="105"/>
  <c r="X49" i="123" s="1"/>
  <c r="X21" i="123" s="1"/>
  <c r="Y15" i="102"/>
  <c r="Z33" i="103"/>
  <c r="AB20" i="105"/>
  <c r="AB17" i="105" s="1"/>
  <c r="AB19" i="98"/>
  <c r="AB17" i="98" s="1"/>
  <c r="AC27" i="100"/>
  <c r="AC59" i="100"/>
  <c r="AC18" i="105"/>
  <c r="AB13" i="98" s="1"/>
  <c r="AB6" i="98" s="1"/>
  <c r="Z50" i="97"/>
  <c r="AA24" i="103" s="1"/>
  <c r="AA23" i="103" s="1"/>
  <c r="Z17" i="102" s="1"/>
  <c r="Y47" i="123"/>
  <c r="Y19" i="123" s="1"/>
  <c r="Z47" i="97"/>
  <c r="AA34" i="103" s="1"/>
  <c r="AA16" i="105"/>
  <c r="AA69" i="105" s="1"/>
  <c r="AA17" i="98"/>
  <c r="AA3" i="98" s="1"/>
  <c r="AB14" i="105" s="1"/>
  <c r="AB13" i="105" s="1"/>
  <c r="AA49" i="97" s="1"/>
  <c r="AB72" i="103" s="1"/>
  <c r="AA21" i="98"/>
  <c r="AA20" i="98"/>
  <c r="AA22" i="98"/>
  <c r="Y76" i="103"/>
  <c r="Z75" i="103" s="1"/>
  <c r="W16" i="102"/>
  <c r="W14" i="102" s="1"/>
  <c r="V40" i="123" s="1"/>
  <c r="V8" i="123" s="1"/>
  <c r="X71" i="103"/>
  <c r="R19" i="104" s="1"/>
  <c r="Q19" i="104"/>
  <c r="W60" i="103"/>
  <c r="Y7" i="97" l="1"/>
  <c r="X6" i="97"/>
  <c r="Y26" i="97"/>
  <c r="Z20" i="97"/>
  <c r="Z19" i="97" s="1"/>
  <c r="Z27" i="97"/>
  <c r="AB20" i="98"/>
  <c r="AB21" i="98"/>
  <c r="AB22" i="98"/>
  <c r="AB3" i="98"/>
  <c r="AC14" i="105" s="1"/>
  <c r="AC13" i="105" s="1"/>
  <c r="AB49" i="97" s="1"/>
  <c r="AC72" i="103" s="1"/>
  <c r="AC20" i="105"/>
  <c r="AC17" i="105" s="1"/>
  <c r="Y48" i="123"/>
  <c r="Y20" i="123" s="1"/>
  <c r="AA70" i="105"/>
  <c r="Y49" i="123" s="1"/>
  <c r="Y21" i="123" s="1"/>
  <c r="AA33" i="103"/>
  <c r="Z15" i="102"/>
  <c r="AA48" i="97"/>
  <c r="AA54" i="98"/>
  <c r="AA20" i="99"/>
  <c r="AA18" i="99" s="1"/>
  <c r="AB10" i="105" s="1"/>
  <c r="X16" i="102"/>
  <c r="X14" i="102" s="1"/>
  <c r="W40" i="123" s="1"/>
  <c r="W8" i="123" s="1"/>
  <c r="Z76" i="103"/>
  <c r="AA75" i="103" s="1"/>
  <c r="Y71" i="103"/>
  <c r="Y60" i="103" s="1"/>
  <c r="X60" i="103"/>
  <c r="AA20" i="97" l="1"/>
  <c r="AA19" i="97" s="1"/>
  <c r="Z26" i="97"/>
  <c r="AA27" i="97"/>
  <c r="Y6" i="97"/>
  <c r="Z7" i="97"/>
  <c r="AB9" i="105"/>
  <c r="V68" i="104"/>
  <c r="AB54" i="98"/>
  <c r="AB48" i="97"/>
  <c r="AB20" i="99"/>
  <c r="AB18" i="99" s="1"/>
  <c r="AC10" i="105" s="1"/>
  <c r="S19" i="104"/>
  <c r="AA76" i="103"/>
  <c r="AB75" i="103" s="1"/>
  <c r="Y16" i="102"/>
  <c r="Y14" i="102" s="1"/>
  <c r="X40" i="123" s="1"/>
  <c r="X8" i="123" s="1"/>
  <c r="Z71" i="103"/>
  <c r="AA7" i="97" l="1"/>
  <c r="Z6" i="97"/>
  <c r="AB20" i="97"/>
  <c r="AB19" i="97" s="1"/>
  <c r="AB27" i="97"/>
  <c r="AB26" i="97" s="1"/>
  <c r="AA26" i="97"/>
  <c r="AC9" i="105"/>
  <c r="W68" i="104"/>
  <c r="AA47" i="97"/>
  <c r="AB34" i="103" s="1"/>
  <c r="AA50" i="97"/>
  <c r="AB24" i="103" s="1"/>
  <c r="AB23" i="103" s="1"/>
  <c r="AA17" i="102" s="1"/>
  <c r="Z47" i="123"/>
  <c r="Z19" i="123" s="1"/>
  <c r="AB16" i="105"/>
  <c r="AB69" i="105" s="1"/>
  <c r="AB76" i="103"/>
  <c r="AC75" i="103" s="1"/>
  <c r="T19" i="104"/>
  <c r="Z60" i="103"/>
  <c r="Z16" i="102"/>
  <c r="Z14" i="102" s="1"/>
  <c r="Y40" i="123" s="1"/>
  <c r="Y8" i="123" s="1"/>
  <c r="AA71" i="103"/>
  <c r="AA6" i="97" l="1"/>
  <c r="AB7" i="97"/>
  <c r="AB6" i="97" s="1"/>
  <c r="AB70" i="105"/>
  <c r="Z49" i="123" s="1"/>
  <c r="Z21" i="123" s="1"/>
  <c r="Z48" i="123"/>
  <c r="Z20" i="123" s="1"/>
  <c r="AB33" i="103"/>
  <c r="AA15" i="102"/>
  <c r="AA47" i="123"/>
  <c r="AB47" i="97"/>
  <c r="AC34" i="103" s="1"/>
  <c r="AC33" i="103" s="1"/>
  <c r="AC16" i="105"/>
  <c r="AC69" i="105" s="1"/>
  <c r="AB50" i="97"/>
  <c r="AC24" i="103" s="1"/>
  <c r="AC23" i="103" s="1"/>
  <c r="AB17" i="102" s="1"/>
  <c r="U19" i="104"/>
  <c r="AA60" i="103"/>
  <c r="AC76" i="103"/>
  <c r="AB16" i="102" s="1"/>
  <c r="AA16" i="102"/>
  <c r="AB71" i="103"/>
  <c r="AA14" i="102" l="1"/>
  <c r="Z40" i="123" s="1"/>
  <c r="Z8" i="123" s="1"/>
  <c r="AC70" i="105"/>
  <c r="AA49" i="123" s="1"/>
  <c r="AA48" i="123"/>
  <c r="AB15" i="102"/>
  <c r="AB14" i="102" s="1"/>
  <c r="AA40" i="123" s="1"/>
  <c r="AA8" i="123" s="1"/>
  <c r="AB47" i="123"/>
  <c r="AA19" i="123"/>
  <c r="V19" i="104"/>
  <c r="AB60" i="103"/>
  <c r="AC71" i="103"/>
  <c r="AC60" i="103" s="1"/>
  <c r="AA20" i="123" l="1"/>
  <c r="AB48" i="123"/>
  <c r="AA21" i="123"/>
  <c r="AB49" i="123"/>
  <c r="W19" i="104"/>
  <c r="P58" i="2" l="1"/>
  <c r="O58" i="2"/>
  <c r="L58" i="2"/>
  <c r="K58" i="2"/>
  <c r="N58" i="2"/>
  <c r="C58" i="2"/>
  <c r="C59" i="2" s="1"/>
  <c r="H58" i="2"/>
  <c r="F58" i="2"/>
  <c r="D58" i="2"/>
  <c r="J58" i="2"/>
  <c r="I58" i="2"/>
  <c r="G58" i="2"/>
  <c r="E58" i="2"/>
  <c r="C3" i="94"/>
  <c r="C6" i="108"/>
  <c r="G8" i="94"/>
  <c r="K27" i="55" s="1"/>
  <c r="I8" i="94"/>
  <c r="M27" i="55" s="1"/>
  <c r="F8" i="94"/>
  <c r="J27" i="55" s="1"/>
  <c r="F7" i="94"/>
  <c r="J28" i="55" s="1"/>
  <c r="E7" i="94"/>
  <c r="H8" i="94"/>
  <c r="L27" i="55" s="1"/>
  <c r="H7" i="94"/>
  <c r="D59" i="2" l="1"/>
  <c r="E59" i="2" s="1"/>
  <c r="F59" i="2" s="1"/>
  <c r="G59" i="2" s="1"/>
  <c r="H59" i="2" s="1"/>
  <c r="I59" i="2" s="1"/>
  <c r="J59" i="2" s="1"/>
  <c r="K59" i="2" s="1"/>
  <c r="L59" i="2" s="1"/>
  <c r="C28" i="2"/>
  <c r="H6" i="94"/>
  <c r="R6" i="108"/>
  <c r="L28" i="55"/>
  <c r="L26" i="55" s="1"/>
  <c r="F6" i="94"/>
  <c r="J26" i="55"/>
  <c r="I28" i="55"/>
  <c r="J7" i="94"/>
  <c r="J8" i="94"/>
  <c r="N27" i="55" s="1"/>
  <c r="C4" i="94"/>
  <c r="G7" i="94"/>
  <c r="I7" i="94"/>
  <c r="M59" i="2" l="1"/>
  <c r="N59" i="2" s="1"/>
  <c r="O59" i="2" s="1"/>
  <c r="P59" i="2" s="1"/>
  <c r="Q59" i="2" s="1"/>
  <c r="R59" i="2" s="1"/>
  <c r="S59" i="2" s="1"/>
  <c r="T59" i="2" s="1"/>
  <c r="U59" i="2" s="1"/>
  <c r="V59" i="2" s="1"/>
  <c r="W59" i="2" s="1"/>
  <c r="X59" i="2"/>
  <c r="C5" i="94"/>
  <c r="E8" i="94"/>
  <c r="O27" i="55"/>
  <c r="J6" i="94"/>
  <c r="N28" i="55"/>
  <c r="G6" i="94"/>
  <c r="K28" i="55"/>
  <c r="I8" i="55"/>
  <c r="J21" i="55"/>
  <c r="I6" i="94"/>
  <c r="M28" i="55"/>
  <c r="C7" i="94"/>
  <c r="O28" i="55" l="1"/>
  <c r="J15" i="55"/>
  <c r="J55" i="95" s="1"/>
  <c r="K21" i="55"/>
  <c r="K15" i="55" s="1"/>
  <c r="K55" i="95" s="1"/>
  <c r="M26" i="55"/>
  <c r="P27" i="55"/>
  <c r="N26" i="55"/>
  <c r="K26" i="55"/>
  <c r="C8" i="94"/>
  <c r="I27" i="55"/>
  <c r="E6" i="94"/>
  <c r="C6" i="94" s="1"/>
  <c r="J8" i="55"/>
  <c r="I5" i="55"/>
  <c r="J15" i="3" s="1"/>
  <c r="K8" i="55" l="1"/>
  <c r="J5" i="55"/>
  <c r="K15" i="3" s="1"/>
  <c r="Q27" i="55"/>
  <c r="I26" i="55"/>
  <c r="J20" i="55"/>
  <c r="I7" i="55"/>
  <c r="L21" i="55"/>
  <c r="P28" i="55"/>
  <c r="L15" i="55" l="1"/>
  <c r="L55" i="95" s="1"/>
  <c r="M21" i="55"/>
  <c r="R27" i="55"/>
  <c r="Q28" i="55"/>
  <c r="I6" i="55"/>
  <c r="I4" i="55"/>
  <c r="J7" i="55"/>
  <c r="J19" i="55"/>
  <c r="J14" i="55"/>
  <c r="K20" i="55"/>
  <c r="K5" i="55"/>
  <c r="L15" i="3" s="1"/>
  <c r="L8" i="55"/>
  <c r="S27" i="55" l="1"/>
  <c r="L5" i="55"/>
  <c r="M15" i="3" s="1"/>
  <c r="M8" i="55"/>
  <c r="R28" i="55"/>
  <c r="J56" i="95"/>
  <c r="J13" i="55"/>
  <c r="J4" i="55"/>
  <c r="J6" i="55"/>
  <c r="K7" i="55"/>
  <c r="M15" i="55"/>
  <c r="M55" i="95" s="1"/>
  <c r="N21" i="55"/>
  <c r="K19" i="55"/>
  <c r="K14" i="55"/>
  <c r="L20" i="55"/>
  <c r="J16" i="3"/>
  <c r="J17" i="3" s="1"/>
  <c r="I3" i="55"/>
  <c r="K23" i="4" l="1"/>
  <c r="J44" i="95"/>
  <c r="K32" i="4" s="1"/>
  <c r="K30" i="4" s="1"/>
  <c r="S28" i="55"/>
  <c r="M5" i="55"/>
  <c r="N15" i="3" s="1"/>
  <c r="N8" i="55"/>
  <c r="K13" i="55"/>
  <c r="K56" i="95"/>
  <c r="K16" i="3"/>
  <c r="K17" i="3" s="1"/>
  <c r="J13" i="3"/>
  <c r="J7" i="3" s="1"/>
  <c r="J3" i="55"/>
  <c r="T27" i="55"/>
  <c r="N15" i="55"/>
  <c r="N55" i="95" s="1"/>
  <c r="O21" i="55"/>
  <c r="L7" i="55"/>
  <c r="K6" i="55"/>
  <c r="K4" i="55"/>
  <c r="L19" i="55"/>
  <c r="L14" i="55"/>
  <c r="M20" i="55"/>
  <c r="L56" i="95" l="1"/>
  <c r="L13" i="55"/>
  <c r="K3" i="55"/>
  <c r="L4" i="55"/>
  <c r="L6" i="55"/>
  <c r="M7" i="55"/>
  <c r="D12" i="129"/>
  <c r="I24" i="5"/>
  <c r="T28" i="55"/>
  <c r="U27" i="55"/>
  <c r="O8" i="55"/>
  <c r="N5" i="55"/>
  <c r="O15" i="3" s="1"/>
  <c r="L16" i="3"/>
  <c r="L17" i="3" s="1"/>
  <c r="K13" i="3"/>
  <c r="K7" i="3" s="1"/>
  <c r="M14" i="55"/>
  <c r="M19" i="55"/>
  <c r="N20" i="55"/>
  <c r="O15" i="55"/>
  <c r="O55" i="95" s="1"/>
  <c r="P21" i="55"/>
  <c r="K44" i="95"/>
  <c r="L32" i="4" s="1"/>
  <c r="L30" i="4" s="1"/>
  <c r="L23" i="4"/>
  <c r="E9" i="129"/>
  <c r="K37" i="4"/>
  <c r="E18" i="2"/>
  <c r="G12" i="12" s="1"/>
  <c r="J9" i="5"/>
  <c r="J8" i="5" s="1"/>
  <c r="U28" i="55" l="1"/>
  <c r="N7" i="55"/>
  <c r="M4" i="55"/>
  <c r="M6" i="55"/>
  <c r="E12" i="129"/>
  <c r="L3" i="55"/>
  <c r="M13" i="55"/>
  <c r="M56" i="95"/>
  <c r="J24" i="5"/>
  <c r="H61" i="123"/>
  <c r="I23" i="5"/>
  <c r="F30" i="12"/>
  <c r="D20" i="2"/>
  <c r="K63" i="4"/>
  <c r="K64" i="4" s="1"/>
  <c r="K57" i="4"/>
  <c r="K55" i="4"/>
  <c r="M16" i="3"/>
  <c r="L13" i="3"/>
  <c r="L7" i="3" s="1"/>
  <c r="P15" i="55"/>
  <c r="P55" i="95" s="1"/>
  <c r="Q21" i="55"/>
  <c r="P8" i="55"/>
  <c r="O5" i="55"/>
  <c r="P15" i="3" s="1"/>
  <c r="V27" i="55"/>
  <c r="L44" i="95"/>
  <c r="M32" i="4" s="1"/>
  <c r="M30" i="4" s="1"/>
  <c r="M23" i="4"/>
  <c r="K9" i="5"/>
  <c r="K8" i="5" s="1"/>
  <c r="F18" i="2"/>
  <c r="H12" i="12" s="1"/>
  <c r="F9" i="129"/>
  <c r="L37" i="4"/>
  <c r="E23" i="129"/>
  <c r="I59" i="123"/>
  <c r="N14" i="55"/>
  <c r="N19" i="55"/>
  <c r="O20" i="55"/>
  <c r="F12" i="129" l="1"/>
  <c r="H62" i="123"/>
  <c r="D25" i="129"/>
  <c r="D27" i="129" s="1"/>
  <c r="K24" i="5"/>
  <c r="E10" i="129"/>
  <c r="E8" i="129" s="1"/>
  <c r="J7" i="5"/>
  <c r="K45" i="4"/>
  <c r="K44" i="4" s="1"/>
  <c r="J23" i="5"/>
  <c r="I61" i="123"/>
  <c r="G30" i="12"/>
  <c r="E20" i="2"/>
  <c r="G14" i="12" s="1"/>
  <c r="K70" i="4"/>
  <c r="I70" i="123" s="1"/>
  <c r="I72" i="123"/>
  <c r="K61" i="4"/>
  <c r="M44" i="95"/>
  <c r="N32" i="4" s="1"/>
  <c r="N30" i="4" s="1"/>
  <c r="N23" i="4"/>
  <c r="M3" i="55"/>
  <c r="W27" i="55"/>
  <c r="J59" i="123"/>
  <c r="F23" i="129"/>
  <c r="N4" i="55"/>
  <c r="O7" i="55"/>
  <c r="N6" i="55"/>
  <c r="O19" i="55"/>
  <c r="O14" i="55"/>
  <c r="P20" i="55"/>
  <c r="P5" i="55"/>
  <c r="Q15" i="3" s="1"/>
  <c r="Q8" i="55"/>
  <c r="G18" i="2"/>
  <c r="I12" i="12" s="1"/>
  <c r="G9" i="129"/>
  <c r="L9" i="5"/>
  <c r="L8" i="5" s="1"/>
  <c r="M37" i="4"/>
  <c r="Q15" i="55"/>
  <c r="Q55" i="95" s="1"/>
  <c r="R21" i="55"/>
  <c r="V28" i="55"/>
  <c r="L55" i="4"/>
  <c r="L63" i="4"/>
  <c r="L64" i="4" s="1"/>
  <c r="L57" i="4"/>
  <c r="N13" i="55"/>
  <c r="N56" i="95"/>
  <c r="F14" i="12"/>
  <c r="D24" i="2"/>
  <c r="M17" i="3"/>
  <c r="N16" i="3" s="1"/>
  <c r="N17" i="3" l="1"/>
  <c r="O16" i="3" s="1"/>
  <c r="W28" i="55"/>
  <c r="Q5" i="55"/>
  <c r="R15" i="3" s="1"/>
  <c r="R8" i="55"/>
  <c r="G28" i="12"/>
  <c r="K62" i="4"/>
  <c r="E64" i="2"/>
  <c r="I62" i="123"/>
  <c r="E25" i="129"/>
  <c r="K23" i="5"/>
  <c r="J61" i="123"/>
  <c r="F20" i="2"/>
  <c r="H14" i="12" s="1"/>
  <c r="H30" i="12"/>
  <c r="P14" i="55"/>
  <c r="P19" i="55"/>
  <c r="Q20" i="55"/>
  <c r="X27" i="55"/>
  <c r="N44" i="95"/>
  <c r="O32" i="4" s="1"/>
  <c r="O30" i="4" s="1"/>
  <c r="O23" i="4"/>
  <c r="M63" i="4"/>
  <c r="M64" i="4" s="1"/>
  <c r="M57" i="4"/>
  <c r="M55" i="4"/>
  <c r="M13" i="3"/>
  <c r="M7" i="3" s="1"/>
  <c r="J72" i="123"/>
  <c r="L70" i="4"/>
  <c r="J70" i="123" s="1"/>
  <c r="L61" i="4"/>
  <c r="K59" i="123"/>
  <c r="G23" i="129"/>
  <c r="R15" i="55"/>
  <c r="R55" i="95" s="1"/>
  <c r="S21" i="55"/>
  <c r="O13" i="55"/>
  <c r="O56" i="95"/>
  <c r="O6" i="55"/>
  <c r="O4" i="55"/>
  <c r="P7" i="55"/>
  <c r="H9" i="129"/>
  <c r="M9" i="5"/>
  <c r="M8" i="5" s="1"/>
  <c r="H18" i="2"/>
  <c r="J12" i="12" s="1"/>
  <c r="N37" i="4"/>
  <c r="J21" i="5"/>
  <c r="J18" i="5" s="1"/>
  <c r="E26" i="129" s="1"/>
  <c r="K47" i="4"/>
  <c r="K54" i="4" s="1"/>
  <c r="F17" i="12"/>
  <c r="D28" i="2"/>
  <c r="D27" i="2"/>
  <c r="F10" i="129"/>
  <c r="F8" i="129" s="1"/>
  <c r="L45" i="4"/>
  <c r="L44" i="4" s="1"/>
  <c r="K7" i="5"/>
  <c r="N3" i="55"/>
  <c r="I57" i="123"/>
  <c r="E22" i="129"/>
  <c r="E27" i="129" l="1"/>
  <c r="O17" i="3"/>
  <c r="P16" i="3" s="1"/>
  <c r="L59" i="123"/>
  <c r="H23" i="129"/>
  <c r="G34" i="12"/>
  <c r="G29" i="12"/>
  <c r="G12" i="129"/>
  <c r="L24" i="5"/>
  <c r="R5" i="55"/>
  <c r="S15" i="3" s="1"/>
  <c r="S8" i="55"/>
  <c r="G10" i="129"/>
  <c r="G8" i="129" s="1"/>
  <c r="M45" i="4"/>
  <c r="M44" i="4" s="1"/>
  <c r="L7" i="5"/>
  <c r="O3" i="55"/>
  <c r="M61" i="4"/>
  <c r="K72" i="123"/>
  <c r="M70" i="4"/>
  <c r="K70" i="123" s="1"/>
  <c r="Y27" i="55"/>
  <c r="J62" i="123"/>
  <c r="F25" i="129"/>
  <c r="X28" i="55"/>
  <c r="I73" i="123"/>
  <c r="K59" i="3"/>
  <c r="E17" i="2"/>
  <c r="H28" i="12"/>
  <c r="F64" i="2"/>
  <c r="L62" i="4"/>
  <c r="Q14" i="55"/>
  <c r="Q19" i="55"/>
  <c r="R20" i="55"/>
  <c r="O44" i="95"/>
  <c r="P32" i="4" s="1"/>
  <c r="P30" i="4" s="1"/>
  <c r="P23" i="4"/>
  <c r="J57" i="123"/>
  <c r="F22" i="129"/>
  <c r="N63" i="4"/>
  <c r="N64" i="4" s="1"/>
  <c r="N57" i="4"/>
  <c r="N55" i="4"/>
  <c r="N9" i="5"/>
  <c r="N8" i="5" s="1"/>
  <c r="I18" i="2"/>
  <c r="K12" i="12" s="1"/>
  <c r="I9" i="129"/>
  <c r="O37" i="4"/>
  <c r="N13" i="3"/>
  <c r="N7" i="3" s="1"/>
  <c r="M24" i="5" s="1"/>
  <c r="F20" i="12"/>
  <c r="D29" i="2"/>
  <c r="D31" i="2"/>
  <c r="D30" i="2"/>
  <c r="P6" i="55"/>
  <c r="Q7" i="55"/>
  <c r="P4" i="55"/>
  <c r="K21" i="5"/>
  <c r="K18" i="5" s="1"/>
  <c r="F26" i="129" s="1"/>
  <c r="L47" i="4"/>
  <c r="L54" i="4" s="1"/>
  <c r="S15" i="55"/>
  <c r="S55" i="95" s="1"/>
  <c r="T21" i="55"/>
  <c r="P56" i="95"/>
  <c r="P13" i="55"/>
  <c r="F27" i="129" l="1"/>
  <c r="H20" i="2"/>
  <c r="J14" i="12" s="1"/>
  <c r="M23" i="5"/>
  <c r="J30" i="12"/>
  <c r="L61" i="123"/>
  <c r="P17" i="3"/>
  <c r="Q16" i="3" s="1"/>
  <c r="O57" i="4"/>
  <c r="O63" i="4"/>
  <c r="O64" i="4" s="1"/>
  <c r="O55" i="4"/>
  <c r="Y28" i="55"/>
  <c r="G64" i="2"/>
  <c r="M62" i="4"/>
  <c r="I28" i="12"/>
  <c r="Q13" i="55"/>
  <c r="Q56" i="95"/>
  <c r="S5" i="55"/>
  <c r="T15" i="3" s="1"/>
  <c r="T8" i="55"/>
  <c r="P3" i="55"/>
  <c r="M59" i="123"/>
  <c r="I23" i="129"/>
  <c r="J9" i="129"/>
  <c r="J18" i="2"/>
  <c r="L12" i="12" s="1"/>
  <c r="O9" i="5"/>
  <c r="O8" i="5" s="1"/>
  <c r="P37" i="4"/>
  <c r="G20" i="2"/>
  <c r="I14" i="12" s="1"/>
  <c r="K61" i="123"/>
  <c r="I30" i="12"/>
  <c r="L23" i="5"/>
  <c r="P44" i="95"/>
  <c r="Q32" i="4" s="1"/>
  <c r="Q30" i="4" s="1"/>
  <c r="Q23" i="4"/>
  <c r="H34" i="12"/>
  <c r="H29" i="12"/>
  <c r="Z27" i="55"/>
  <c r="I36" i="5"/>
  <c r="J53" i="3"/>
  <c r="H10" i="129"/>
  <c r="H8" i="129" s="1"/>
  <c r="N45" i="4"/>
  <c r="N44" i="4" s="1"/>
  <c r="M7" i="5"/>
  <c r="G11" i="12"/>
  <c r="E24" i="2"/>
  <c r="K57" i="123"/>
  <c r="G22" i="129"/>
  <c r="Q6" i="55"/>
  <c r="R7" i="55"/>
  <c r="Q4" i="55"/>
  <c r="T15" i="55"/>
  <c r="T55" i="95" s="1"/>
  <c r="U21" i="55"/>
  <c r="L59" i="3"/>
  <c r="F17" i="2"/>
  <c r="J73" i="123"/>
  <c r="N61" i="4"/>
  <c r="L72" i="123"/>
  <c r="N70" i="4"/>
  <c r="L70" i="123" s="1"/>
  <c r="L21" i="5"/>
  <c r="L18" i="5" s="1"/>
  <c r="G26" i="129" s="1"/>
  <c r="M47" i="4"/>
  <c r="M54" i="4" s="1"/>
  <c r="O13" i="3"/>
  <c r="O7" i="3" s="1"/>
  <c r="I58" i="3"/>
  <c r="I35" i="5"/>
  <c r="I34" i="5" s="1"/>
  <c r="H12" i="129"/>
  <c r="R14" i="55"/>
  <c r="R19" i="55"/>
  <c r="S20" i="55"/>
  <c r="Q17" i="3" l="1"/>
  <c r="R16" i="3" s="1"/>
  <c r="AA27" i="55"/>
  <c r="I34" i="12"/>
  <c r="I29" i="12"/>
  <c r="P57" i="4"/>
  <c r="P63" i="4"/>
  <c r="P64" i="4" s="1"/>
  <c r="P55" i="4"/>
  <c r="J28" i="12"/>
  <c r="H64" i="2"/>
  <c r="N62" i="4"/>
  <c r="N59" i="123"/>
  <c r="J23" i="129"/>
  <c r="P13" i="3"/>
  <c r="P7" i="3" s="1"/>
  <c r="O24" i="5" s="1"/>
  <c r="I48" i="3"/>
  <c r="H30" i="5"/>
  <c r="H28" i="5" s="1"/>
  <c r="H31" i="5" s="1"/>
  <c r="I12" i="129"/>
  <c r="K18" i="2"/>
  <c r="M12" i="12" s="1"/>
  <c r="P9" i="5"/>
  <c r="P8" i="5" s="1"/>
  <c r="K9" i="129"/>
  <c r="Q37" i="4"/>
  <c r="Z28" i="55"/>
  <c r="E28" i="2"/>
  <c r="G17" i="12"/>
  <c r="E27" i="2"/>
  <c r="T5" i="55"/>
  <c r="U15" i="3" s="1"/>
  <c r="U8" i="55"/>
  <c r="K73" i="123"/>
  <c r="M59" i="3"/>
  <c r="G17" i="2"/>
  <c r="J52" i="3"/>
  <c r="G25" i="129"/>
  <c r="G27" i="129" s="1"/>
  <c r="K62" i="123"/>
  <c r="O45" i="4"/>
  <c r="O44" i="4" s="1"/>
  <c r="I10" i="129"/>
  <c r="I8" i="129" s="1"/>
  <c r="N7" i="5"/>
  <c r="S14" i="55"/>
  <c r="S19" i="55"/>
  <c r="T20" i="55"/>
  <c r="N24" i="5"/>
  <c r="Q3" i="55"/>
  <c r="H22" i="129"/>
  <c r="L57" i="123"/>
  <c r="Q44" i="95"/>
  <c r="R32" i="4" s="1"/>
  <c r="R30" i="4" s="1"/>
  <c r="R23" i="4"/>
  <c r="L62" i="123"/>
  <c r="H25" i="129"/>
  <c r="H11" i="12"/>
  <c r="F24" i="2"/>
  <c r="U15" i="55"/>
  <c r="U55" i="95" s="1"/>
  <c r="V21" i="55"/>
  <c r="R56" i="95"/>
  <c r="R13" i="55"/>
  <c r="R6" i="55"/>
  <c r="R4" i="55"/>
  <c r="S7" i="55"/>
  <c r="M21" i="5"/>
  <c r="M18" i="5" s="1"/>
  <c r="H26" i="129" s="1"/>
  <c r="N47" i="4"/>
  <c r="N54" i="4" s="1"/>
  <c r="M72" i="123"/>
  <c r="O70" i="4"/>
  <c r="M70" i="123" s="1"/>
  <c r="O61" i="4"/>
  <c r="R17" i="3" l="1"/>
  <c r="S16" i="3" s="1"/>
  <c r="K28" i="12"/>
  <c r="I64" i="2"/>
  <c r="O62" i="4"/>
  <c r="S4" i="55"/>
  <c r="T7" i="55"/>
  <c r="S6" i="55"/>
  <c r="N21" i="5"/>
  <c r="N18" i="5" s="1"/>
  <c r="I26" i="129" s="1"/>
  <c r="O47" i="4"/>
  <c r="O54" i="4" s="1"/>
  <c r="I11" i="12"/>
  <c r="G24" i="2"/>
  <c r="R3" i="55"/>
  <c r="N23" i="5"/>
  <c r="M61" i="123"/>
  <c r="K30" i="12"/>
  <c r="I20" i="2"/>
  <c r="K14" i="12" s="1"/>
  <c r="AA28" i="55"/>
  <c r="N61" i="123"/>
  <c r="J20" i="2"/>
  <c r="L14" i="12" s="1"/>
  <c r="O23" i="5"/>
  <c r="L30" i="12"/>
  <c r="L18" i="2"/>
  <c r="N12" i="12" s="1"/>
  <c r="L9" i="129"/>
  <c r="R37" i="4"/>
  <c r="Q9" i="5"/>
  <c r="Q8" i="5" s="1"/>
  <c r="T19" i="55"/>
  <c r="T14" i="55"/>
  <c r="U20" i="55"/>
  <c r="U5" i="55"/>
  <c r="V15" i="3" s="1"/>
  <c r="V8" i="55"/>
  <c r="Q63" i="4"/>
  <c r="Q64" i="4" s="1"/>
  <c r="Q55" i="4"/>
  <c r="Q57" i="4"/>
  <c r="R44" i="95"/>
  <c r="S32" i="4" s="1"/>
  <c r="S30" i="4" s="1"/>
  <c r="S23" i="4"/>
  <c r="H38" i="5"/>
  <c r="G63" i="123"/>
  <c r="H32" i="5"/>
  <c r="I41" i="3" s="1"/>
  <c r="J34" i="12"/>
  <c r="J29" i="12"/>
  <c r="AB27" i="55"/>
  <c r="O59" i="123"/>
  <c r="K23" i="129"/>
  <c r="P45" i="4"/>
  <c r="P44" i="4" s="1"/>
  <c r="O7" i="5"/>
  <c r="J10" i="129"/>
  <c r="J8" i="129" s="1"/>
  <c r="V15" i="55"/>
  <c r="V55" i="95" s="1"/>
  <c r="W21" i="55"/>
  <c r="I29" i="5"/>
  <c r="D17" i="129"/>
  <c r="H17" i="2"/>
  <c r="N59" i="3"/>
  <c r="L73" i="123"/>
  <c r="H27" i="129"/>
  <c r="I22" i="129"/>
  <c r="M57" i="123"/>
  <c r="I47" i="3"/>
  <c r="C15" i="129" s="1"/>
  <c r="C16" i="129"/>
  <c r="Q13" i="3"/>
  <c r="Q7" i="3" s="1"/>
  <c r="S13" i="55"/>
  <c r="S56" i="95"/>
  <c r="E29" i="2"/>
  <c r="E31" i="2"/>
  <c r="E30" i="2"/>
  <c r="G20" i="12"/>
  <c r="F28" i="2"/>
  <c r="H17" i="12"/>
  <c r="F27" i="2"/>
  <c r="J12" i="129"/>
  <c r="N72" i="123"/>
  <c r="P70" i="4"/>
  <c r="N70" i="123" s="1"/>
  <c r="P61" i="4"/>
  <c r="S17" i="3" l="1"/>
  <c r="T16" i="3" s="1"/>
  <c r="K12" i="129"/>
  <c r="M18" i="2"/>
  <c r="R9" i="5"/>
  <c r="R8" i="5" s="1"/>
  <c r="M9" i="129"/>
  <c r="S37" i="4"/>
  <c r="U14" i="55"/>
  <c r="U19" i="55"/>
  <c r="V20" i="55"/>
  <c r="N62" i="123"/>
  <c r="J25" i="129"/>
  <c r="M62" i="123"/>
  <c r="I25" i="129"/>
  <c r="I27" i="129" s="1"/>
  <c r="T4" i="55"/>
  <c r="U7" i="55"/>
  <c r="T6" i="55"/>
  <c r="T13" i="55"/>
  <c r="T56" i="95"/>
  <c r="S3" i="55"/>
  <c r="C21" i="129"/>
  <c r="J22" i="129"/>
  <c r="N57" i="123"/>
  <c r="O72" i="123"/>
  <c r="Q70" i="4"/>
  <c r="O70" i="123" s="1"/>
  <c r="Q61" i="4"/>
  <c r="J35" i="5"/>
  <c r="J58" i="3"/>
  <c r="J11" i="12"/>
  <c r="H24" i="2"/>
  <c r="O21" i="5"/>
  <c r="O18" i="5" s="1"/>
  <c r="J26" i="129" s="1"/>
  <c r="P47" i="4"/>
  <c r="P54" i="4" s="1"/>
  <c r="Q45" i="4"/>
  <c r="Q44" i="4" s="1"/>
  <c r="P7" i="5"/>
  <c r="K10" i="129"/>
  <c r="K8" i="129" s="1"/>
  <c r="L23" i="129"/>
  <c r="P59" i="123"/>
  <c r="I17" i="12"/>
  <c r="G28" i="2"/>
  <c r="G27" i="2"/>
  <c r="C68" i="2"/>
  <c r="C65" i="2" s="1"/>
  <c r="I22" i="3"/>
  <c r="E35" i="12"/>
  <c r="E32" i="12" s="1"/>
  <c r="I6" i="5"/>
  <c r="R63" i="4"/>
  <c r="R64" i="4" s="1"/>
  <c r="R57" i="4"/>
  <c r="R55" i="4"/>
  <c r="AB28" i="55"/>
  <c r="K34" i="12"/>
  <c r="K29" i="12"/>
  <c r="L28" i="12"/>
  <c r="J64" i="2"/>
  <c r="P62" i="4"/>
  <c r="G64" i="123"/>
  <c r="M73" i="123"/>
  <c r="O59" i="3"/>
  <c r="I17" i="2"/>
  <c r="J36" i="5"/>
  <c r="K53" i="3"/>
  <c r="S44" i="95"/>
  <c r="T32" i="4" s="1"/>
  <c r="T30" i="4" s="1"/>
  <c r="T23" i="4"/>
  <c r="V5" i="55"/>
  <c r="W15" i="3" s="1"/>
  <c r="W8" i="55"/>
  <c r="R13" i="3"/>
  <c r="R7" i="3" s="1"/>
  <c r="Q24" i="5" s="1"/>
  <c r="P24" i="5"/>
  <c r="F30" i="2"/>
  <c r="K35" i="5" s="1"/>
  <c r="F31" i="2"/>
  <c r="K36" i="5" s="1"/>
  <c r="F29" i="2"/>
  <c r="H20" i="12"/>
  <c r="W15" i="55"/>
  <c r="W55" i="95" s="1"/>
  <c r="X21" i="55"/>
  <c r="C5" i="108"/>
  <c r="K34" i="5" l="1"/>
  <c r="L20" i="2"/>
  <c r="N14" i="12" s="1"/>
  <c r="P61" i="123"/>
  <c r="N30" i="12"/>
  <c r="Q23" i="5"/>
  <c r="T17" i="3"/>
  <c r="U16" i="3" s="1"/>
  <c r="W5" i="55"/>
  <c r="X15" i="3" s="1"/>
  <c r="X8" i="55"/>
  <c r="H27" i="2"/>
  <c r="J17" i="12"/>
  <c r="H28" i="2"/>
  <c r="V19" i="55"/>
  <c r="V14" i="55"/>
  <c r="W20" i="55"/>
  <c r="R5" i="108"/>
  <c r="C5" i="126"/>
  <c r="O61" i="123"/>
  <c r="K20" i="2"/>
  <c r="M14" i="12" s="1"/>
  <c r="M30" i="12"/>
  <c r="P23" i="5"/>
  <c r="J27" i="129"/>
  <c r="V7" i="55"/>
  <c r="U4" i="55"/>
  <c r="U6" i="55"/>
  <c r="U13" i="55"/>
  <c r="U56" i="95"/>
  <c r="N9" i="129"/>
  <c r="S9" i="5"/>
  <c r="S8" i="5" s="1"/>
  <c r="N18" i="2"/>
  <c r="P12" i="12" s="1"/>
  <c r="T37" i="4"/>
  <c r="I6" i="3"/>
  <c r="C13" i="129"/>
  <c r="T3" i="55"/>
  <c r="S63" i="4"/>
  <c r="S64" i="4" s="1"/>
  <c r="S55" i="4"/>
  <c r="S57" i="4"/>
  <c r="K22" i="129"/>
  <c r="O57" i="123"/>
  <c r="I30" i="5"/>
  <c r="I28" i="5" s="1"/>
  <c r="I31" i="5" s="1"/>
  <c r="K58" i="3"/>
  <c r="J48" i="3"/>
  <c r="X15" i="55"/>
  <c r="X55" i="95" s="1"/>
  <c r="Y21" i="55"/>
  <c r="L53" i="3"/>
  <c r="K52" i="3"/>
  <c r="R45" i="4"/>
  <c r="R44" i="4" s="1"/>
  <c r="L10" i="129"/>
  <c r="L8" i="129" s="1"/>
  <c r="Q7" i="5"/>
  <c r="P21" i="5"/>
  <c r="P18" i="5" s="1"/>
  <c r="K26" i="129" s="1"/>
  <c r="Q47" i="4"/>
  <c r="Q54" i="4" s="1"/>
  <c r="J34" i="5"/>
  <c r="M23" i="129"/>
  <c r="Q59" i="123"/>
  <c r="S13" i="3"/>
  <c r="S7" i="3" s="1"/>
  <c r="R24" i="5" s="1"/>
  <c r="G29" i="2"/>
  <c r="G30" i="2"/>
  <c r="L35" i="5" s="1"/>
  <c r="I20" i="12"/>
  <c r="G31" i="2"/>
  <c r="L36" i="5" s="1"/>
  <c r="N73" i="123"/>
  <c r="P59" i="3"/>
  <c r="J17" i="2"/>
  <c r="M28" i="12"/>
  <c r="Q62" i="4"/>
  <c r="K64" i="2"/>
  <c r="O12" i="12"/>
  <c r="X18" i="2"/>
  <c r="L12" i="129"/>
  <c r="I24" i="2"/>
  <c r="K11" i="12"/>
  <c r="L34" i="12"/>
  <c r="L29" i="12"/>
  <c r="R70" i="4"/>
  <c r="P70" i="123" s="1"/>
  <c r="R61" i="4"/>
  <c r="P72" i="123"/>
  <c r="T44" i="95"/>
  <c r="U32" i="4" s="1"/>
  <c r="U30" i="4" s="1"/>
  <c r="U23" i="4"/>
  <c r="T13" i="3" l="1"/>
  <c r="T7" i="3" s="1"/>
  <c r="L34" i="5"/>
  <c r="U17" i="3"/>
  <c r="V16" i="3" s="1"/>
  <c r="Q61" i="123"/>
  <c r="M20" i="2"/>
  <c r="O30" i="12"/>
  <c r="R23" i="5"/>
  <c r="T9" i="5"/>
  <c r="T8" i="5" s="1"/>
  <c r="O18" i="2"/>
  <c r="Q12" i="12" s="1"/>
  <c r="O9" i="129"/>
  <c r="U37" i="4"/>
  <c r="L22" i="129"/>
  <c r="P57" i="123"/>
  <c r="T63" i="4"/>
  <c r="T64" i="4" s="1"/>
  <c r="T57" i="4"/>
  <c r="T55" i="4"/>
  <c r="U3" i="55"/>
  <c r="W14" i="55"/>
  <c r="W19" i="55"/>
  <c r="X20" i="55"/>
  <c r="J47" i="3"/>
  <c r="D15" i="129" s="1"/>
  <c r="D16" i="129"/>
  <c r="M10" i="129"/>
  <c r="M8" i="129" s="1"/>
  <c r="S45" i="4"/>
  <c r="S44" i="4" s="1"/>
  <c r="R7" i="5"/>
  <c r="V6" i="55"/>
  <c r="V4" i="55"/>
  <c r="W7" i="55"/>
  <c r="V13" i="55"/>
  <c r="V56" i="95"/>
  <c r="N12" i="129"/>
  <c r="I28" i="2"/>
  <c r="K17" i="12"/>
  <c r="I27" i="2"/>
  <c r="M34" i="12"/>
  <c r="M29" i="12"/>
  <c r="Q21" i="5"/>
  <c r="Q18" i="5" s="1"/>
  <c r="L26" i="129" s="1"/>
  <c r="R47" i="4"/>
  <c r="R54" i="4" s="1"/>
  <c r="J30" i="5"/>
  <c r="L58" i="3"/>
  <c r="R59" i="123"/>
  <c r="N23" i="129"/>
  <c r="I38" i="5"/>
  <c r="H63" i="123"/>
  <c r="P62" i="123"/>
  <c r="L25" i="129"/>
  <c r="L11" i="12"/>
  <c r="J24" i="2"/>
  <c r="J29" i="5"/>
  <c r="K48" i="3"/>
  <c r="E17" i="129"/>
  <c r="N28" i="12"/>
  <c r="R62" i="4"/>
  <c r="L64" i="2"/>
  <c r="M53" i="3"/>
  <c r="L52" i="3"/>
  <c r="V23" i="4"/>
  <c r="U44" i="95"/>
  <c r="V32" i="4" s="1"/>
  <c r="V30" i="4" s="1"/>
  <c r="K25" i="129"/>
  <c r="K27" i="129" s="1"/>
  <c r="O62" i="123"/>
  <c r="H30" i="2"/>
  <c r="M35" i="5" s="1"/>
  <c r="H29" i="2"/>
  <c r="H31" i="2"/>
  <c r="M36" i="5" s="1"/>
  <c r="J20" i="12"/>
  <c r="M12" i="129"/>
  <c r="S24" i="5"/>
  <c r="O73" i="123"/>
  <c r="Q59" i="3"/>
  <c r="K17" i="2"/>
  <c r="Y8" i="55"/>
  <c r="X5" i="55"/>
  <c r="Y15" i="3" s="1"/>
  <c r="Y15" i="55"/>
  <c r="Y55" i="95" s="1"/>
  <c r="Z21" i="55"/>
  <c r="S70" i="4"/>
  <c r="Q70" i="123" s="1"/>
  <c r="Q72" i="123"/>
  <c r="S61" i="4"/>
  <c r="I90" i="3"/>
  <c r="C8" i="2" s="1"/>
  <c r="C13" i="2" s="1"/>
  <c r="C11" i="129"/>
  <c r="C14" i="129" s="1"/>
  <c r="I87" i="3"/>
  <c r="I32" i="5"/>
  <c r="J41" i="3" s="1"/>
  <c r="J28" i="5" l="1"/>
  <c r="J31" i="5" s="1"/>
  <c r="V17" i="3"/>
  <c r="W16" i="3" s="1"/>
  <c r="S59" i="123"/>
  <c r="O23" i="129"/>
  <c r="D68" i="2"/>
  <c r="D65" i="2" s="1"/>
  <c r="J22" i="3"/>
  <c r="F35" i="12"/>
  <c r="F32" i="12" s="1"/>
  <c r="J6" i="5"/>
  <c r="R61" i="123"/>
  <c r="S23" i="5"/>
  <c r="P30" i="12"/>
  <c r="N20" i="2"/>
  <c r="P14" i="12" s="1"/>
  <c r="H64" i="123"/>
  <c r="W23" i="4"/>
  <c r="V44" i="95"/>
  <c r="W32" i="4" s="1"/>
  <c r="W30" i="4" s="1"/>
  <c r="Q62" i="123"/>
  <c r="M25" i="129"/>
  <c r="N34" i="12"/>
  <c r="N29" i="12"/>
  <c r="D21" i="129"/>
  <c r="M52" i="3"/>
  <c r="N53" i="3"/>
  <c r="M64" i="2"/>
  <c r="S62" i="4"/>
  <c r="O28" i="12"/>
  <c r="M11" i="12"/>
  <c r="K24" i="2"/>
  <c r="I30" i="2"/>
  <c r="N35" i="5" s="1"/>
  <c r="I31" i="2"/>
  <c r="N36" i="5" s="1"/>
  <c r="K20" i="12"/>
  <c r="I29" i="2"/>
  <c r="W6" i="55"/>
  <c r="X7" i="55"/>
  <c r="W4" i="55"/>
  <c r="L27" i="129"/>
  <c r="X20" i="2"/>
  <c r="O14" i="12"/>
  <c r="M34" i="5"/>
  <c r="E16" i="129"/>
  <c r="K47" i="3"/>
  <c r="E15" i="129" s="1"/>
  <c r="V3" i="55"/>
  <c r="U9" i="5"/>
  <c r="U8" i="5" s="1"/>
  <c r="T59" i="123" s="1"/>
  <c r="P18" i="2"/>
  <c r="R12" i="12" s="1"/>
  <c r="V37" i="4"/>
  <c r="Y5" i="55"/>
  <c r="Z15" i="3" s="1"/>
  <c r="Z8" i="55"/>
  <c r="I63" i="123"/>
  <c r="J38" i="5"/>
  <c r="K30" i="5"/>
  <c r="M58" i="3"/>
  <c r="X19" i="55"/>
  <c r="X14" i="55"/>
  <c r="Y20" i="55"/>
  <c r="T45" i="4"/>
  <c r="T44" i="4" s="1"/>
  <c r="N10" i="129"/>
  <c r="N8" i="129" s="1"/>
  <c r="S7" i="5"/>
  <c r="U63" i="4"/>
  <c r="U64" i="4" s="1"/>
  <c r="U55" i="4"/>
  <c r="U57" i="4"/>
  <c r="Z15" i="55"/>
  <c r="Z55" i="95" s="1"/>
  <c r="AA21" i="55"/>
  <c r="L48" i="3"/>
  <c r="F17" i="129"/>
  <c r="K29" i="5"/>
  <c r="L17" i="12"/>
  <c r="J28" i="2"/>
  <c r="J27" i="2"/>
  <c r="M22" i="129"/>
  <c r="Q57" i="123"/>
  <c r="T70" i="4"/>
  <c r="R70" i="123" s="1"/>
  <c r="T61" i="4"/>
  <c r="R72" i="123"/>
  <c r="U13" i="3"/>
  <c r="U7" i="3" s="1"/>
  <c r="P73" i="123"/>
  <c r="R59" i="3"/>
  <c r="L17" i="2"/>
  <c r="R21" i="5"/>
  <c r="R18" i="5" s="1"/>
  <c r="M26" i="129" s="1"/>
  <c r="S47" i="4"/>
  <c r="S54" i="4" s="1"/>
  <c r="W13" i="55"/>
  <c r="W56" i="95"/>
  <c r="J32" i="5" l="1"/>
  <c r="K41" i="3" s="1"/>
  <c r="E21" i="129"/>
  <c r="K28" i="5"/>
  <c r="K31" i="5" s="1"/>
  <c r="J63" i="123" s="1"/>
  <c r="N34" i="5"/>
  <c r="W17" i="3"/>
  <c r="X16" i="3" s="1"/>
  <c r="M27" i="129"/>
  <c r="L47" i="3"/>
  <c r="F15" i="129" s="1"/>
  <c r="F16" i="129"/>
  <c r="O34" i="12"/>
  <c r="O29" i="12"/>
  <c r="D13" i="129"/>
  <c r="J6" i="3"/>
  <c r="AA15" i="55"/>
  <c r="AA55" i="95" s="1"/>
  <c r="AB21" i="55"/>
  <c r="AB15" i="55" s="1"/>
  <c r="AB55" i="95" s="1"/>
  <c r="S21" i="5"/>
  <c r="S18" i="5" s="1"/>
  <c r="N26" i="129" s="1"/>
  <c r="T47" i="4"/>
  <c r="T54" i="4" s="1"/>
  <c r="Y19" i="55"/>
  <c r="Y14" i="55"/>
  <c r="Z20" i="55"/>
  <c r="I64" i="123"/>
  <c r="O12" i="129"/>
  <c r="T24" i="5"/>
  <c r="W44" i="95"/>
  <c r="X32" i="4" s="1"/>
  <c r="X30" i="4" s="1"/>
  <c r="X23" i="4"/>
  <c r="J29" i="2"/>
  <c r="J31" i="2"/>
  <c r="O36" i="5" s="1"/>
  <c r="J30" i="2"/>
  <c r="O35" i="5" s="1"/>
  <c r="L20" i="12"/>
  <c r="U70" i="4"/>
  <c r="S70" i="123" s="1"/>
  <c r="S72" i="123"/>
  <c r="U61" i="4"/>
  <c r="X56" i="95"/>
  <c r="X13" i="55"/>
  <c r="AA8" i="55"/>
  <c r="Z5" i="55"/>
  <c r="AA15" i="3" s="1"/>
  <c r="N52" i="3"/>
  <c r="O53" i="3"/>
  <c r="L29" i="5"/>
  <c r="G17" i="129"/>
  <c r="M48" i="3"/>
  <c r="R62" i="123"/>
  <c r="N25" i="129"/>
  <c r="Q73" i="123"/>
  <c r="S59" i="3"/>
  <c r="M17" i="2"/>
  <c r="T7" i="5"/>
  <c r="U45" i="4"/>
  <c r="U44" i="4" s="1"/>
  <c r="O10" i="129"/>
  <c r="O8" i="129" s="1"/>
  <c r="V63" i="4"/>
  <c r="V64" i="4" s="1"/>
  <c r="V55" i="4"/>
  <c r="V57" i="4"/>
  <c r="W3" i="55"/>
  <c r="V13" i="3"/>
  <c r="V7" i="3" s="1"/>
  <c r="P28" i="12"/>
  <c r="T62" i="4"/>
  <c r="N64" i="2"/>
  <c r="X4" i="55"/>
  <c r="X6" i="55"/>
  <c r="Y7" i="55"/>
  <c r="K28" i="2"/>
  <c r="M17" i="12"/>
  <c r="K27" i="2"/>
  <c r="E68" i="2"/>
  <c r="E65" i="2" s="1"/>
  <c r="K22" i="3"/>
  <c r="G35" i="12"/>
  <c r="G32" i="12" s="1"/>
  <c r="K6" i="5"/>
  <c r="N11" i="12"/>
  <c r="L24" i="2"/>
  <c r="R57" i="123"/>
  <c r="N22" i="129"/>
  <c r="L30" i="5"/>
  <c r="N58" i="3"/>
  <c r="V9" i="5"/>
  <c r="V8" i="5" s="1"/>
  <c r="U59" i="123" s="1"/>
  <c r="W37" i="4"/>
  <c r="Q18" i="2"/>
  <c r="S12" i="12" s="1"/>
  <c r="K32" i="5" l="1"/>
  <c r="L41" i="3" s="1"/>
  <c r="K38" i="5"/>
  <c r="O34" i="5"/>
  <c r="N27" i="129"/>
  <c r="F21" i="129"/>
  <c r="X17" i="3"/>
  <c r="Y16" i="3" s="1"/>
  <c r="L22" i="3"/>
  <c r="F68" i="2"/>
  <c r="F65" i="2" s="1"/>
  <c r="H35" i="12"/>
  <c r="H32" i="12" s="1"/>
  <c r="L6" i="5"/>
  <c r="P34" i="12"/>
  <c r="P29" i="12"/>
  <c r="X44" i="95"/>
  <c r="Y32" i="4" s="1"/>
  <c r="Y30" i="4" s="1"/>
  <c r="Y23" i="4"/>
  <c r="R18" i="2"/>
  <c r="T12" i="12" s="1"/>
  <c r="W9" i="5"/>
  <c r="W8" i="5" s="1"/>
  <c r="V59" i="123" s="1"/>
  <c r="X37" i="4"/>
  <c r="Z19" i="55"/>
  <c r="Z14" i="55"/>
  <c r="AA20" i="55"/>
  <c r="Q28" i="12"/>
  <c r="O64" i="2"/>
  <c r="U62" i="4"/>
  <c r="Y13" i="55"/>
  <c r="Y56" i="95"/>
  <c r="X3" i="55"/>
  <c r="E13" i="129"/>
  <c r="K6" i="3"/>
  <c r="G16" i="129"/>
  <c r="M47" i="3"/>
  <c r="G15" i="129" s="1"/>
  <c r="T23" i="5"/>
  <c r="S61" i="123"/>
  <c r="O20" i="2"/>
  <c r="Q14" i="12" s="1"/>
  <c r="Q30" i="12"/>
  <c r="D11" i="129"/>
  <c r="D14" i="129" s="1"/>
  <c r="J87" i="3"/>
  <c r="J90" i="3"/>
  <c r="D8" i="2" s="1"/>
  <c r="D13" i="2" s="1"/>
  <c r="T21" i="5"/>
  <c r="T18" i="5" s="1"/>
  <c r="O26" i="129" s="1"/>
  <c r="U47" i="4"/>
  <c r="U54" i="4" s="1"/>
  <c r="P53" i="3"/>
  <c r="O52" i="3"/>
  <c r="C19" i="108"/>
  <c r="U24" i="5"/>
  <c r="K30" i="2"/>
  <c r="P35" i="5" s="1"/>
  <c r="K29" i="2"/>
  <c r="K31" i="2"/>
  <c r="P36" i="5" s="1"/>
  <c r="M20" i="12"/>
  <c r="J64" i="123"/>
  <c r="O22" i="129"/>
  <c r="S57" i="123"/>
  <c r="L28" i="5"/>
  <c r="L31" i="5" s="1"/>
  <c r="H17" i="129"/>
  <c r="M29" i="5"/>
  <c r="N48" i="3"/>
  <c r="W63" i="4"/>
  <c r="W64" i="4" s="1"/>
  <c r="W55" i="4"/>
  <c r="W57" i="4"/>
  <c r="T72" i="123"/>
  <c r="V70" i="4"/>
  <c r="T70" i="123" s="1"/>
  <c r="V61" i="4"/>
  <c r="O11" i="12"/>
  <c r="X17" i="2"/>
  <c r="X24" i="2" s="1"/>
  <c r="M24" i="2"/>
  <c r="AB8" i="55"/>
  <c r="AB5" i="55" s="1"/>
  <c r="AC15" i="3" s="1"/>
  <c r="AA5" i="55"/>
  <c r="AB15" i="3" s="1"/>
  <c r="T59" i="3"/>
  <c r="R73" i="123"/>
  <c r="N17" i="2"/>
  <c r="W13" i="3"/>
  <c r="W7" i="3" s="1"/>
  <c r="V24" i="5" s="1"/>
  <c r="L28" i="2"/>
  <c r="L27" i="2"/>
  <c r="N17" i="12"/>
  <c r="O58" i="3"/>
  <c r="M30" i="5"/>
  <c r="Y4" i="55"/>
  <c r="Y6" i="55"/>
  <c r="Z7" i="55"/>
  <c r="U7" i="5"/>
  <c r="V45" i="4"/>
  <c r="V44" i="4" s="1"/>
  <c r="V23" i="5" l="1"/>
  <c r="Q20" i="2"/>
  <c r="S14" i="12" s="1"/>
  <c r="U61" i="123"/>
  <c r="S30" i="12"/>
  <c r="Y17" i="3"/>
  <c r="Z16" i="3" s="1"/>
  <c r="P11" i="12"/>
  <c r="N24" i="2"/>
  <c r="U59" i="3"/>
  <c r="O17" i="2"/>
  <c r="S73" i="123"/>
  <c r="X57" i="4"/>
  <c r="X63" i="4"/>
  <c r="X64" i="4" s="1"/>
  <c r="X55" i="4"/>
  <c r="L32" i="5"/>
  <c r="M41" i="3" s="1"/>
  <c r="W61" i="4"/>
  <c r="W70" i="4"/>
  <c r="U70" i="123" s="1"/>
  <c r="U72" i="123"/>
  <c r="K63" i="123"/>
  <c r="L38" i="5"/>
  <c r="Q34" i="12"/>
  <c r="Q29" i="12"/>
  <c r="P34" i="5"/>
  <c r="O25" i="129"/>
  <c r="O27" i="129" s="1"/>
  <c r="S62" i="123"/>
  <c r="N30" i="5"/>
  <c r="P58" i="3"/>
  <c r="M27" i="2"/>
  <c r="O17" i="12"/>
  <c r="M28" i="2"/>
  <c r="W45" i="4"/>
  <c r="W44" i="4" s="1"/>
  <c r="V7" i="5"/>
  <c r="T61" i="123"/>
  <c r="R30" i="12"/>
  <c r="P20" i="2"/>
  <c r="R14" i="12" s="1"/>
  <c r="U23" i="5"/>
  <c r="G21" i="129"/>
  <c r="X9" i="5"/>
  <c r="X8" i="5" s="1"/>
  <c r="W59" i="123" s="1"/>
  <c r="Y37" i="4"/>
  <c r="S18" i="2"/>
  <c r="U12" i="12" s="1"/>
  <c r="F13" i="129"/>
  <c r="L6" i="3"/>
  <c r="Y3" i="55"/>
  <c r="U21" i="5"/>
  <c r="U18" i="5" s="1"/>
  <c r="V47" i="4"/>
  <c r="V54" i="4" s="1"/>
  <c r="L30" i="2"/>
  <c r="Q35" i="5" s="1"/>
  <c r="L29" i="2"/>
  <c r="N20" i="12"/>
  <c r="L31" i="2"/>
  <c r="Q36" i="5" s="1"/>
  <c r="C13" i="126"/>
  <c r="R15" i="108"/>
  <c r="E11" i="129"/>
  <c r="E14" i="129" s="1"/>
  <c r="K90" i="3"/>
  <c r="E8" i="2" s="1"/>
  <c r="E13" i="2" s="1"/>
  <c r="K87" i="3"/>
  <c r="Y44" i="95"/>
  <c r="Z32" i="4" s="1"/>
  <c r="Z30" i="4" s="1"/>
  <c r="Z23" i="4"/>
  <c r="AA19" i="55"/>
  <c r="AA14" i="55"/>
  <c r="AB20" i="55"/>
  <c r="X13" i="3"/>
  <c r="X7" i="3" s="1"/>
  <c r="W24" i="5" s="1"/>
  <c r="T57" i="123"/>
  <c r="R28" i="12"/>
  <c r="P64" i="2"/>
  <c r="V62" i="4"/>
  <c r="N47" i="3"/>
  <c r="H15" i="129" s="1"/>
  <c r="H16" i="129"/>
  <c r="N29" i="5"/>
  <c r="O48" i="3"/>
  <c r="I17" i="129"/>
  <c r="Z56" i="95"/>
  <c r="Z13" i="55"/>
  <c r="C35" i="2"/>
  <c r="C36" i="2" s="1"/>
  <c r="X27" i="2"/>
  <c r="D35" i="2" s="1"/>
  <c r="D36" i="2" s="1"/>
  <c r="Z6" i="55"/>
  <c r="Z4" i="55"/>
  <c r="AA7" i="55"/>
  <c r="M28" i="5"/>
  <c r="M31" i="5" s="1"/>
  <c r="P52" i="3"/>
  <c r="Q53" i="3"/>
  <c r="Q34" i="5" l="1"/>
  <c r="T62" i="123"/>
  <c r="N28" i="5"/>
  <c r="N31" i="5" s="1"/>
  <c r="M63" i="123" s="1"/>
  <c r="U62" i="123"/>
  <c r="Z17" i="3"/>
  <c r="AA16" i="3" s="1"/>
  <c r="P17" i="2"/>
  <c r="V59" i="3"/>
  <c r="T73" i="123"/>
  <c r="V21" i="5"/>
  <c r="V18" i="5" s="1"/>
  <c r="W47" i="4"/>
  <c r="W54" i="4" s="1"/>
  <c r="W7" i="5"/>
  <c r="X45" i="4"/>
  <c r="X44" i="4" s="1"/>
  <c r="O47" i="3"/>
  <c r="I15" i="129" s="1"/>
  <c r="I16" i="129"/>
  <c r="AB14" i="55"/>
  <c r="AB19" i="55"/>
  <c r="Y13" i="3"/>
  <c r="Y7" i="3" s="1"/>
  <c r="X24" i="5" s="1"/>
  <c r="AA56" i="95"/>
  <c r="AA13" i="55"/>
  <c r="K64" i="123"/>
  <c r="X70" i="4"/>
  <c r="V70" i="123" s="1"/>
  <c r="V72" i="123"/>
  <c r="X61" i="4"/>
  <c r="M29" i="2"/>
  <c r="M31" i="2"/>
  <c r="R36" i="5" s="1"/>
  <c r="M30" i="2"/>
  <c r="R35" i="5" s="1"/>
  <c r="O20" i="12"/>
  <c r="R29" i="12"/>
  <c r="R34" i="12"/>
  <c r="Q52" i="3"/>
  <c r="R53" i="3"/>
  <c r="O29" i="5"/>
  <c r="J17" i="129"/>
  <c r="P48" i="3"/>
  <c r="H21" i="129"/>
  <c r="Y9" i="5"/>
  <c r="Y8" i="5" s="1"/>
  <c r="X59" i="123" s="1"/>
  <c r="T18" i="2"/>
  <c r="V12" i="12" s="1"/>
  <c r="Z37" i="4"/>
  <c r="L87" i="3"/>
  <c r="F11" i="129"/>
  <c r="F14" i="129" s="1"/>
  <c r="L90" i="3"/>
  <c r="F8" i="2" s="1"/>
  <c r="F13" i="2" s="1"/>
  <c r="Q11" i="12"/>
  <c r="O24" i="2"/>
  <c r="Z44" i="95"/>
  <c r="AA32" i="4" s="1"/>
  <c r="AA30" i="4" s="1"/>
  <c r="AA23" i="4"/>
  <c r="O30" i="5"/>
  <c r="Q58" i="3"/>
  <c r="S28" i="12"/>
  <c r="Q64" i="2"/>
  <c r="W62" i="4"/>
  <c r="R20" i="2"/>
  <c r="T14" i="12" s="1"/>
  <c r="W23" i="5"/>
  <c r="V61" i="123"/>
  <c r="T30" i="12"/>
  <c r="AA6" i="55"/>
  <c r="AA4" i="55"/>
  <c r="AB7" i="55"/>
  <c r="Z3" i="55"/>
  <c r="L63" i="123"/>
  <c r="M38" i="5"/>
  <c r="M22" i="3"/>
  <c r="I35" i="12"/>
  <c r="I32" i="12" s="1"/>
  <c r="G68" i="2"/>
  <c r="G65" i="2" s="1"/>
  <c r="M6" i="5"/>
  <c r="M32" i="5" s="1"/>
  <c r="N41" i="3" s="1"/>
  <c r="P17" i="12"/>
  <c r="N28" i="2"/>
  <c r="N27" i="2"/>
  <c r="Y63" i="4"/>
  <c r="Y64" i="4" s="1"/>
  <c r="Y55" i="4"/>
  <c r="Y57" i="4"/>
  <c r="U57" i="123"/>
  <c r="N38" i="5" l="1"/>
  <c r="I21" i="129"/>
  <c r="R34" i="5"/>
  <c r="W61" i="123"/>
  <c r="X23" i="5"/>
  <c r="S20" i="2"/>
  <c r="U14" i="12" s="1"/>
  <c r="U30" i="12"/>
  <c r="AA17" i="3"/>
  <c r="AB16" i="3" s="1"/>
  <c r="R11" i="12"/>
  <c r="P24" i="2"/>
  <c r="AB13" i="55"/>
  <c r="AB56" i="95"/>
  <c r="X7" i="5"/>
  <c r="Y45" i="4"/>
  <c r="Y44" i="4" s="1"/>
  <c r="O28" i="5"/>
  <c r="O31" i="5" s="1"/>
  <c r="AA44" i="95"/>
  <c r="AB32" i="4" s="1"/>
  <c r="AB30" i="4" s="1"/>
  <c r="AB23" i="4"/>
  <c r="G13" i="129"/>
  <c r="M6" i="3"/>
  <c r="L64" i="123"/>
  <c r="V62" i="123"/>
  <c r="R52" i="3"/>
  <c r="S53" i="3"/>
  <c r="R64" i="2"/>
  <c r="X62" i="4"/>
  <c r="T28" i="12"/>
  <c r="W21" i="5"/>
  <c r="W18" i="5" s="1"/>
  <c r="X47" i="4"/>
  <c r="X54" i="4" s="1"/>
  <c r="P30" i="5"/>
  <c r="R58" i="3"/>
  <c r="Z63" i="4"/>
  <c r="Z64" i="4" s="1"/>
  <c r="Z57" i="4"/>
  <c r="Z55" i="4"/>
  <c r="K17" i="129"/>
  <c r="P29" i="5"/>
  <c r="Q48" i="3"/>
  <c r="M64" i="123"/>
  <c r="V57" i="123"/>
  <c r="W72" i="123"/>
  <c r="Y70" i="4"/>
  <c r="W70" i="123" s="1"/>
  <c r="Y61" i="4"/>
  <c r="U18" i="2"/>
  <c r="W12" i="12" s="1"/>
  <c r="Z9" i="5"/>
  <c r="Z8" i="5" s="1"/>
  <c r="Y59" i="123" s="1"/>
  <c r="AA37" i="4"/>
  <c r="U73" i="123"/>
  <c r="W59" i="3"/>
  <c r="Q17" i="2"/>
  <c r="AB6" i="55"/>
  <c r="AB4" i="55"/>
  <c r="J35" i="12"/>
  <c r="J32" i="12" s="1"/>
  <c r="H68" i="2"/>
  <c r="H65" i="2" s="1"/>
  <c r="N22" i="3"/>
  <c r="N6" i="5"/>
  <c r="N32" i="5" s="1"/>
  <c r="O41" i="3" s="1"/>
  <c r="J16" i="129"/>
  <c r="P47" i="3"/>
  <c r="J15" i="129" s="1"/>
  <c r="N30" i="2"/>
  <c r="S35" i="5" s="1"/>
  <c r="N29" i="2"/>
  <c r="N31" i="2"/>
  <c r="S36" i="5" s="1"/>
  <c r="P20" i="12"/>
  <c r="AA3" i="55"/>
  <c r="S29" i="12"/>
  <c r="S34" i="12"/>
  <c r="O28" i="2"/>
  <c r="Q17" i="12"/>
  <c r="O27" i="2"/>
  <c r="Z13" i="3"/>
  <c r="Z7" i="3" s="1"/>
  <c r="W62" i="123" l="1"/>
  <c r="P28" i="5"/>
  <c r="P31" i="5" s="1"/>
  <c r="J21" i="129"/>
  <c r="AB17" i="3"/>
  <c r="AC16" i="3" s="1"/>
  <c r="H13" i="129"/>
  <c r="N6" i="3"/>
  <c r="V73" i="123"/>
  <c r="X59" i="3"/>
  <c r="R17" i="2"/>
  <c r="O29" i="2"/>
  <c r="O31" i="2"/>
  <c r="T36" i="5" s="1"/>
  <c r="O30" i="2"/>
  <c r="T35" i="5" s="1"/>
  <c r="Q20" i="12"/>
  <c r="Y24" i="5"/>
  <c r="Z45" i="4"/>
  <c r="Z44" i="4" s="1"/>
  <c r="Y7" i="5"/>
  <c r="N63" i="123"/>
  <c r="O38" i="5"/>
  <c r="AA13" i="3"/>
  <c r="AA7" i="3" s="1"/>
  <c r="Z24" i="5" s="1"/>
  <c r="Z70" i="4"/>
  <c r="X70" i="123" s="1"/>
  <c r="Z61" i="4"/>
  <c r="X72" i="123"/>
  <c r="T29" i="12"/>
  <c r="T34" i="12"/>
  <c r="G11" i="129"/>
  <c r="G14" i="129" s="1"/>
  <c r="M90" i="3"/>
  <c r="G8" i="2" s="1"/>
  <c r="G13" i="2" s="1"/>
  <c r="M87" i="3"/>
  <c r="X21" i="5"/>
  <c r="X18" i="5" s="1"/>
  <c r="Y47" i="4"/>
  <c r="Y54" i="4" s="1"/>
  <c r="W57" i="123"/>
  <c r="S34" i="5"/>
  <c r="AB44" i="95"/>
  <c r="AC32" i="4" s="1"/>
  <c r="AC30" i="4" s="1"/>
  <c r="AC23" i="4"/>
  <c r="AA57" i="4"/>
  <c r="AA63" i="4"/>
  <c r="AA64" i="4" s="1"/>
  <c r="AA55" i="4"/>
  <c r="K16" i="129"/>
  <c r="Q47" i="3"/>
  <c r="K15" i="129" s="1"/>
  <c r="S52" i="3"/>
  <c r="T53" i="3"/>
  <c r="AB3" i="55"/>
  <c r="S11" i="12"/>
  <c r="Q24" i="2"/>
  <c r="U28" i="12"/>
  <c r="Y62" i="4"/>
  <c r="S64" i="2"/>
  <c r="P38" i="5"/>
  <c r="O63" i="123"/>
  <c r="Q30" i="5"/>
  <c r="S58" i="3"/>
  <c r="L17" i="129"/>
  <c r="Q29" i="5"/>
  <c r="R48" i="3"/>
  <c r="AA9" i="5"/>
  <c r="AA8" i="5" s="1"/>
  <c r="Z59" i="123" s="1"/>
  <c r="V18" i="2"/>
  <c r="X12" i="12" s="1"/>
  <c r="AB37" i="4"/>
  <c r="R17" i="12"/>
  <c r="P27" i="2"/>
  <c r="P28" i="2"/>
  <c r="J6" i="2" s="1"/>
  <c r="K35" i="12"/>
  <c r="K32" i="12" s="1"/>
  <c r="I68" i="2"/>
  <c r="I65" i="2" s="1"/>
  <c r="O22" i="3"/>
  <c r="O6" i="5"/>
  <c r="O32" i="5" s="1"/>
  <c r="P41" i="3" s="1"/>
  <c r="N6" i="2" l="1"/>
  <c r="T34" i="5"/>
  <c r="M6" i="2"/>
  <c r="Y61" i="123"/>
  <c r="U20" i="2"/>
  <c r="W14" i="12" s="1"/>
  <c r="Z23" i="5"/>
  <c r="W30" i="12"/>
  <c r="AC17" i="3"/>
  <c r="AC13" i="3" s="1"/>
  <c r="AC7" i="3" s="1"/>
  <c r="O64" i="123"/>
  <c r="K21" i="129"/>
  <c r="AB9" i="5"/>
  <c r="AB8" i="5" s="1"/>
  <c r="AA59" i="123" s="1"/>
  <c r="W18" i="2"/>
  <c r="Y12" i="12" s="1"/>
  <c r="AC37" i="4"/>
  <c r="W73" i="123"/>
  <c r="Y59" i="3"/>
  <c r="S17" i="2"/>
  <c r="Z62" i="4"/>
  <c r="T64" i="2"/>
  <c r="V28" i="12"/>
  <c r="Y21" i="5"/>
  <c r="Y18" i="5" s="1"/>
  <c r="Z47" i="4"/>
  <c r="Z54" i="4" s="1"/>
  <c r="T11" i="12"/>
  <c r="R24" i="2"/>
  <c r="T20" i="2"/>
  <c r="V14" i="12" s="1"/>
  <c r="V30" i="12"/>
  <c r="Y23" i="5"/>
  <c r="X61" i="123"/>
  <c r="K6" i="2"/>
  <c r="H6" i="2"/>
  <c r="H11" i="2" s="1"/>
  <c r="AB63" i="4"/>
  <c r="AB64" i="4" s="1"/>
  <c r="AB57" i="4"/>
  <c r="AB55" i="4"/>
  <c r="L16" i="129"/>
  <c r="R47" i="3"/>
  <c r="L15" i="129" s="1"/>
  <c r="N90" i="3"/>
  <c r="H8" i="2" s="1"/>
  <c r="H13" i="2" s="1"/>
  <c r="H11" i="129"/>
  <c r="H14" i="129" s="1"/>
  <c r="N87" i="3"/>
  <c r="I13" i="129"/>
  <c r="O6" i="3"/>
  <c r="AA45" i="4"/>
  <c r="AA44" i="4" s="1"/>
  <c r="Z7" i="5"/>
  <c r="J68" i="2"/>
  <c r="J65" i="2" s="1"/>
  <c r="L35" i="12"/>
  <c r="L32" i="12" s="1"/>
  <c r="P22" i="3"/>
  <c r="P6" i="5"/>
  <c r="P32" i="5" s="1"/>
  <c r="Q41" i="3" s="1"/>
  <c r="O6" i="2"/>
  <c r="C6" i="2"/>
  <c r="C11" i="2" s="1"/>
  <c r="E6" i="2"/>
  <c r="E11" i="2" s="1"/>
  <c r="D6" i="2"/>
  <c r="D11" i="2" s="1"/>
  <c r="G6" i="2"/>
  <c r="G11" i="2" s="1"/>
  <c r="F6" i="2"/>
  <c r="F11" i="2" s="1"/>
  <c r="I6" i="2"/>
  <c r="I11" i="2" s="1"/>
  <c r="S17" i="12"/>
  <c r="Q28" i="2"/>
  <c r="Q27" i="2"/>
  <c r="T52" i="3"/>
  <c r="U53" i="3"/>
  <c r="N64" i="123"/>
  <c r="AB13" i="3"/>
  <c r="AB7" i="3" s="1"/>
  <c r="AA24" i="5" s="1"/>
  <c r="Q28" i="5"/>
  <c r="Q31" i="5" s="1"/>
  <c r="U34" i="12"/>
  <c r="U29" i="12"/>
  <c r="R20" i="12"/>
  <c r="P31" i="2"/>
  <c r="U36" i="5" s="1"/>
  <c r="P29" i="2"/>
  <c r="K7" i="2" s="1"/>
  <c r="P30" i="2"/>
  <c r="U35" i="5" s="1"/>
  <c r="R30" i="5"/>
  <c r="T58" i="3"/>
  <c r="R29" i="5"/>
  <c r="M17" i="129"/>
  <c r="S48" i="3"/>
  <c r="Y72" i="123"/>
  <c r="AA61" i="4"/>
  <c r="AA70" i="4"/>
  <c r="Y70" i="123" s="1"/>
  <c r="L6" i="2"/>
  <c r="X57" i="123"/>
  <c r="N2" i="2" l="1"/>
  <c r="L21" i="129"/>
  <c r="X6" i="2"/>
  <c r="Y62" i="123"/>
  <c r="R28" i="5"/>
  <c r="R31" i="5" s="1"/>
  <c r="R38" i="5" s="1"/>
  <c r="L7" i="2"/>
  <c r="L55" i="2" s="1"/>
  <c r="X62" i="123"/>
  <c r="U34" i="5"/>
  <c r="Z61" i="123"/>
  <c r="V20" i="2"/>
  <c r="X14" i="12" s="1"/>
  <c r="X30" i="12"/>
  <c r="AA23" i="5"/>
  <c r="AB45" i="4"/>
  <c r="AB44" i="4" s="1"/>
  <c r="AA7" i="5"/>
  <c r="S47" i="3"/>
  <c r="M15" i="129" s="1"/>
  <c r="M16" i="129"/>
  <c r="K68" i="2"/>
  <c r="K65" i="2" s="1"/>
  <c r="Q22" i="3"/>
  <c r="M35" i="12"/>
  <c r="M32" i="12" s="1"/>
  <c r="Q6" i="5"/>
  <c r="Q32" i="5" s="1"/>
  <c r="R41" i="3" s="1"/>
  <c r="T17" i="2"/>
  <c r="X73" i="123"/>
  <c r="Z59" i="3"/>
  <c r="AC63" i="4"/>
  <c r="AC64" i="4" s="1"/>
  <c r="AC55" i="4"/>
  <c r="AC57" i="4"/>
  <c r="Z72" i="123"/>
  <c r="AB61" i="4"/>
  <c r="AB70" i="4"/>
  <c r="Z70" i="123" s="1"/>
  <c r="K2" i="2"/>
  <c r="V34" i="12"/>
  <c r="V29" i="12"/>
  <c r="U52" i="3"/>
  <c r="V53" i="3"/>
  <c r="L2" i="2"/>
  <c r="S29" i="5"/>
  <c r="T48" i="3"/>
  <c r="N17" i="129"/>
  <c r="P63" i="123"/>
  <c r="Q38" i="5"/>
  <c r="AB24" i="5"/>
  <c r="K55" i="2"/>
  <c r="Q30" i="2"/>
  <c r="V35" i="5" s="1"/>
  <c r="Q31" i="2"/>
  <c r="V36" i="5" s="1"/>
  <c r="Q29" i="2"/>
  <c r="S20" i="12"/>
  <c r="Y57" i="123"/>
  <c r="J11" i="2"/>
  <c r="S30" i="5"/>
  <c r="U58" i="3"/>
  <c r="O7" i="2"/>
  <c r="E7" i="2"/>
  <c r="D7" i="2"/>
  <c r="C7" i="2"/>
  <c r="G7" i="2"/>
  <c r="F7" i="2"/>
  <c r="M7" i="2"/>
  <c r="I7" i="2"/>
  <c r="H7" i="2"/>
  <c r="J7" i="2"/>
  <c r="N7" i="2"/>
  <c r="Z21" i="5"/>
  <c r="Z18" i="5" s="1"/>
  <c r="AA47" i="4"/>
  <c r="AA54" i="4" s="1"/>
  <c r="U11" i="12"/>
  <c r="S24" i="2"/>
  <c r="J2" i="2"/>
  <c r="J13" i="129"/>
  <c r="P6" i="3"/>
  <c r="AA62" i="4"/>
  <c r="W28" i="12"/>
  <c r="U64" i="2"/>
  <c r="O2" i="2"/>
  <c r="O87" i="3"/>
  <c r="O90" i="3"/>
  <c r="I8" i="2" s="1"/>
  <c r="I13" i="2" s="1"/>
  <c r="I11" i="129"/>
  <c r="I14" i="129" s="1"/>
  <c r="M2" i="2"/>
  <c r="T17" i="12"/>
  <c r="R28" i="2"/>
  <c r="R27" i="2"/>
  <c r="Q63" i="123" l="1"/>
  <c r="Z62" i="123"/>
  <c r="K12" i="2"/>
  <c r="M21" i="129"/>
  <c r="V34" i="5"/>
  <c r="W34" i="12"/>
  <c r="W29" i="12"/>
  <c r="G55" i="2"/>
  <c r="G12" i="2"/>
  <c r="L68" i="2"/>
  <c r="R22" i="3"/>
  <c r="N35" i="12"/>
  <c r="N32" i="12" s="1"/>
  <c r="R6" i="5"/>
  <c r="R32" i="5" s="1"/>
  <c r="S41" i="3" s="1"/>
  <c r="C55" i="2"/>
  <c r="C12" i="2"/>
  <c r="AB23" i="5"/>
  <c r="Y30" i="12"/>
  <c r="AA61" i="123"/>
  <c r="W20" i="2"/>
  <c r="Y14" i="12" s="1"/>
  <c r="AA72" i="123"/>
  <c r="AC61" i="4"/>
  <c r="AC70" i="4"/>
  <c r="AA70" i="123" s="1"/>
  <c r="Z57" i="123"/>
  <c r="P90" i="3"/>
  <c r="J8" i="2" s="1"/>
  <c r="J13" i="2" s="1"/>
  <c r="J11" i="129"/>
  <c r="J14" i="129" s="1"/>
  <c r="P87" i="3"/>
  <c r="N55" i="2"/>
  <c r="D12" i="2"/>
  <c r="D55" i="2"/>
  <c r="T47" i="3"/>
  <c r="N15" i="129" s="1"/>
  <c r="N16" i="129"/>
  <c r="K13" i="129"/>
  <c r="Q6" i="3"/>
  <c r="AA21" i="5"/>
  <c r="AA18" i="5" s="1"/>
  <c r="AB47" i="4"/>
  <c r="AB54" i="4" s="1"/>
  <c r="J55" i="2"/>
  <c r="J12" i="2"/>
  <c r="E55" i="2"/>
  <c r="E12" i="2"/>
  <c r="O55" i="2"/>
  <c r="S28" i="5"/>
  <c r="S31" i="5" s="1"/>
  <c r="AB7" i="5"/>
  <c r="AC45" i="4"/>
  <c r="AC44" i="4" s="1"/>
  <c r="R31" i="2"/>
  <c r="W36" i="5" s="1"/>
  <c r="T20" i="12"/>
  <c r="R29" i="2"/>
  <c r="R30" i="2"/>
  <c r="W35" i="5" s="1"/>
  <c r="H55" i="2"/>
  <c r="H12" i="2"/>
  <c r="P64" i="123"/>
  <c r="U17" i="12"/>
  <c r="S27" i="2"/>
  <c r="S28" i="2"/>
  <c r="I55" i="2"/>
  <c r="I12" i="2"/>
  <c r="T30" i="5"/>
  <c r="V58" i="3"/>
  <c r="K11" i="2"/>
  <c r="X7" i="2"/>
  <c r="M55" i="2"/>
  <c r="X55" i="2" s="1"/>
  <c r="Q64" i="123"/>
  <c r="V52" i="3"/>
  <c r="W53" i="3"/>
  <c r="AA59" i="3"/>
  <c r="Y73" i="123"/>
  <c r="U17" i="2"/>
  <c r="F12" i="2"/>
  <c r="F55" i="2"/>
  <c r="T29" i="5"/>
  <c r="O17" i="129"/>
  <c r="U48" i="3"/>
  <c r="X28" i="12"/>
  <c r="AB62" i="4"/>
  <c r="V64" i="2"/>
  <c r="V11" i="12"/>
  <c r="T24" i="2"/>
  <c r="W34" i="5" l="1"/>
  <c r="T28" i="5"/>
  <c r="T31" i="5" s="1"/>
  <c r="T38" i="5" s="1"/>
  <c r="N21" i="129"/>
  <c r="AB21" i="5"/>
  <c r="AB18" i="5" s="1"/>
  <c r="AC47" i="4"/>
  <c r="AC54" i="4" s="1"/>
  <c r="L65" i="2"/>
  <c r="L12" i="2"/>
  <c r="L11" i="2"/>
  <c r="X34" i="12"/>
  <c r="X29" i="12"/>
  <c r="S30" i="2"/>
  <c r="X35" i="5" s="1"/>
  <c r="S31" i="2"/>
  <c r="X36" i="5" s="1"/>
  <c r="U20" i="12"/>
  <c r="S29" i="2"/>
  <c r="AA57" i="123"/>
  <c r="AB59" i="3"/>
  <c r="V17" i="2"/>
  <c r="Z73" i="123"/>
  <c r="AB70" i="123"/>
  <c r="S38" i="5"/>
  <c r="R63" i="123"/>
  <c r="AC62" i="4"/>
  <c r="Y28" i="12"/>
  <c r="W64" i="2"/>
  <c r="U47" i="3"/>
  <c r="O15" i="129" s="1"/>
  <c r="O16" i="129"/>
  <c r="K11" i="129"/>
  <c r="K14" i="129" s="1"/>
  <c r="Q90" i="3"/>
  <c r="K8" i="2" s="1"/>
  <c r="K13" i="2" s="1"/>
  <c r="Q87" i="3"/>
  <c r="AB72" i="123"/>
  <c r="S63" i="123"/>
  <c r="W52" i="3"/>
  <c r="X53" i="3"/>
  <c r="W11" i="12"/>
  <c r="U24" i="2"/>
  <c r="U30" i="5"/>
  <c r="W58" i="3"/>
  <c r="T27" i="2"/>
  <c r="V17" i="12"/>
  <c r="T28" i="2"/>
  <c r="U29" i="5"/>
  <c r="V48" i="3"/>
  <c r="V47" i="3" s="1"/>
  <c r="AB61" i="123"/>
  <c r="C4" i="108" s="1"/>
  <c r="O35" i="12"/>
  <c r="O32" i="12" s="1"/>
  <c r="M68" i="2"/>
  <c r="S22" i="3"/>
  <c r="S6" i="5"/>
  <c r="S32" i="5" s="1"/>
  <c r="T41" i="3" s="1"/>
  <c r="AA62" i="123"/>
  <c r="L13" i="129"/>
  <c r="R6" i="3"/>
  <c r="O21" i="129" l="1"/>
  <c r="C4" i="126"/>
  <c r="R4" i="108"/>
  <c r="C7" i="108"/>
  <c r="V29" i="5"/>
  <c r="W48" i="3"/>
  <c r="W47" i="3" s="1"/>
  <c r="U28" i="2"/>
  <c r="W17" i="12"/>
  <c r="U27" i="2"/>
  <c r="S64" i="123"/>
  <c r="X34" i="5"/>
  <c r="AC59" i="3"/>
  <c r="AA73" i="123"/>
  <c r="W17" i="2"/>
  <c r="U28" i="5"/>
  <c r="U31" i="5" s="1"/>
  <c r="X11" i="12"/>
  <c r="V24" i="2"/>
  <c r="T22" i="3"/>
  <c r="N68" i="2"/>
  <c r="P35" i="12"/>
  <c r="P32" i="12" s="1"/>
  <c r="T6" i="5"/>
  <c r="T32" i="5" s="1"/>
  <c r="U41" i="3" s="1"/>
  <c r="Y34" i="12"/>
  <c r="Y29" i="12"/>
  <c r="M13" i="129"/>
  <c r="S6" i="3"/>
  <c r="R64" i="123"/>
  <c r="M65" i="2"/>
  <c r="M11" i="2"/>
  <c r="X11" i="2" s="1"/>
  <c r="M12" i="2"/>
  <c r="X12" i="2" s="1"/>
  <c r="T29" i="2"/>
  <c r="T31" i="2"/>
  <c r="Y36" i="5" s="1"/>
  <c r="T30" i="2"/>
  <c r="Y35" i="5" s="1"/>
  <c r="V20" i="12"/>
  <c r="R90" i="3"/>
  <c r="L8" i="2" s="1"/>
  <c r="L13" i="2" s="1"/>
  <c r="L11" i="129"/>
  <c r="L14" i="129" s="1"/>
  <c r="R87" i="3"/>
  <c r="V30" i="5"/>
  <c r="X58" i="3"/>
  <c r="X52" i="3"/>
  <c r="Y53" i="3"/>
  <c r="Y34" i="5" l="1"/>
  <c r="C20" i="108"/>
  <c r="V28" i="5"/>
  <c r="V31" i="5" s="1"/>
  <c r="Q35" i="12"/>
  <c r="Q32" i="12" s="1"/>
  <c r="O68" i="2"/>
  <c r="U22" i="3"/>
  <c r="U6" i="5"/>
  <c r="U32" i="5" s="1"/>
  <c r="V41" i="3" s="1"/>
  <c r="T63" i="123"/>
  <c r="U38" i="5"/>
  <c r="Y52" i="3"/>
  <c r="Z53" i="3"/>
  <c r="U30" i="2"/>
  <c r="Z35" i="5" s="1"/>
  <c r="U31" i="2"/>
  <c r="Z36" i="5" s="1"/>
  <c r="W20" i="12"/>
  <c r="U29" i="2"/>
  <c r="C6" i="126"/>
  <c r="R7" i="108"/>
  <c r="N65" i="2"/>
  <c r="N11" i="2"/>
  <c r="N12" i="2"/>
  <c r="W29" i="5"/>
  <c r="X48" i="3"/>
  <c r="X47" i="3" s="1"/>
  <c r="N13" i="129"/>
  <c r="T6" i="3"/>
  <c r="Y11" i="12"/>
  <c r="W24" i="2"/>
  <c r="W30" i="5"/>
  <c r="Y58" i="3"/>
  <c r="S90" i="3"/>
  <c r="M8" i="2" s="1"/>
  <c r="M11" i="129"/>
  <c r="M14" i="129" s="1"/>
  <c r="S87" i="3"/>
  <c r="V28" i="2"/>
  <c r="X17" i="12"/>
  <c r="V27" i="2"/>
  <c r="AB73" i="123"/>
  <c r="M13" i="2" l="1"/>
  <c r="X13" i="2" s="1"/>
  <c r="X8" i="2"/>
  <c r="W28" i="5"/>
  <c r="W31" i="5" s="1"/>
  <c r="O13" i="129"/>
  <c r="U6" i="3"/>
  <c r="X30" i="5"/>
  <c r="Z58" i="3"/>
  <c r="O65" i="2"/>
  <c r="O11" i="2"/>
  <c r="O12" i="2"/>
  <c r="Z34" i="5"/>
  <c r="W28" i="2"/>
  <c r="W6" i="2" s="1"/>
  <c r="Y17" i="12"/>
  <c r="W27" i="2"/>
  <c r="Z52" i="3"/>
  <c r="AA53" i="3"/>
  <c r="V38" i="5"/>
  <c r="U63" i="123"/>
  <c r="X29" i="5"/>
  <c r="Y48" i="3"/>
  <c r="Y47" i="3" s="1"/>
  <c r="R16" i="108"/>
  <c r="C14" i="126"/>
  <c r="V6" i="2"/>
  <c r="N11" i="129"/>
  <c r="N14" i="129" s="1"/>
  <c r="T87" i="3"/>
  <c r="T90" i="3"/>
  <c r="N8" i="2" s="1"/>
  <c r="N13" i="2" s="1"/>
  <c r="V30" i="2"/>
  <c r="AA35" i="5" s="1"/>
  <c r="V29" i="2"/>
  <c r="X20" i="12"/>
  <c r="V31" i="2"/>
  <c r="AA36" i="5" s="1"/>
  <c r="T64" i="123"/>
  <c r="R35" i="12"/>
  <c r="R32" i="12" s="1"/>
  <c r="V22" i="3"/>
  <c r="V6" i="3" s="1"/>
  <c r="P68" i="2"/>
  <c r="P65" i="2" s="1"/>
  <c r="V6" i="5"/>
  <c r="V32" i="5" s="1"/>
  <c r="W41" i="3" s="1"/>
  <c r="S6" i="2" l="1"/>
  <c r="T6" i="2"/>
  <c r="AA34" i="5"/>
  <c r="V90" i="3"/>
  <c r="P8" i="2" s="1"/>
  <c r="P13" i="2" s="1"/>
  <c r="V87" i="3"/>
  <c r="AB53" i="3"/>
  <c r="AA52" i="3"/>
  <c r="Z48" i="3"/>
  <c r="Z47" i="3" s="1"/>
  <c r="Y29" i="5"/>
  <c r="Y30" i="5"/>
  <c r="AA58" i="3"/>
  <c r="W30" i="2"/>
  <c r="AB35" i="5" s="1"/>
  <c r="W31" i="2"/>
  <c r="AB36" i="5" s="1"/>
  <c r="W29" i="2"/>
  <c r="S7" i="2" s="1"/>
  <c r="Y20" i="12"/>
  <c r="O11" i="129"/>
  <c r="O14" i="129" s="1"/>
  <c r="U87" i="3"/>
  <c r="U90" i="3"/>
  <c r="O8" i="2" s="1"/>
  <c r="O13" i="2" s="1"/>
  <c r="C38" i="2"/>
  <c r="Q6" i="2"/>
  <c r="P6" i="2"/>
  <c r="R6" i="2"/>
  <c r="U6" i="2"/>
  <c r="W6" i="5"/>
  <c r="W32" i="5" s="1"/>
  <c r="X41" i="3" s="1"/>
  <c r="S35" i="12"/>
  <c r="S32" i="12" s="1"/>
  <c r="Q68" i="2"/>
  <c r="Q65" i="2" s="1"/>
  <c r="W22" i="3"/>
  <c r="W6" i="3" s="1"/>
  <c r="X28" i="5"/>
  <c r="X31" i="5" s="1"/>
  <c r="W38" i="5"/>
  <c r="V63" i="123"/>
  <c r="U64" i="123"/>
  <c r="W2" i="2"/>
  <c r="T2" i="2" l="1"/>
  <c r="P7" i="2"/>
  <c r="P55" i="2" s="1"/>
  <c r="W7" i="2"/>
  <c r="W55" i="2" s="1"/>
  <c r="T7" i="2"/>
  <c r="T55" i="2" s="1"/>
  <c r="V7" i="2"/>
  <c r="V55" i="2" s="1"/>
  <c r="S55" i="2"/>
  <c r="T35" i="12"/>
  <c r="T32" i="12" s="1"/>
  <c r="R68" i="2"/>
  <c r="R65" i="2" s="1"/>
  <c r="X22" i="3"/>
  <c r="X6" i="3" s="1"/>
  <c r="X6" i="5"/>
  <c r="X32" i="5" s="1"/>
  <c r="Y41" i="3" s="1"/>
  <c r="Y28" i="5"/>
  <c r="Y31" i="5" s="1"/>
  <c r="Z30" i="5"/>
  <c r="AB58" i="3"/>
  <c r="R2" i="2"/>
  <c r="S2" i="2"/>
  <c r="P2" i="2"/>
  <c r="P11" i="2"/>
  <c r="AA48" i="3"/>
  <c r="AA47" i="3" s="1"/>
  <c r="Z29" i="5"/>
  <c r="V64" i="123"/>
  <c r="W63" i="123"/>
  <c r="X38" i="5"/>
  <c r="Q2" i="2"/>
  <c r="Q11" i="2"/>
  <c r="D38" i="2"/>
  <c r="C10" i="108" s="1"/>
  <c r="R7" i="2"/>
  <c r="AC53" i="3"/>
  <c r="AC52" i="3" s="1"/>
  <c r="AB52" i="3"/>
  <c r="Q7" i="2"/>
  <c r="U2" i="2"/>
  <c r="W90" i="3"/>
  <c r="Q8" i="2" s="1"/>
  <c r="Q13" i="2" s="1"/>
  <c r="W87" i="3"/>
  <c r="V2" i="2"/>
  <c r="U7" i="2"/>
  <c r="P12" i="2"/>
  <c r="AB34" i="5"/>
  <c r="Z28" i="5" l="1"/>
  <c r="Z31" i="5" s="1"/>
  <c r="Z38" i="5" s="1"/>
  <c r="R11" i="2"/>
  <c r="S68" i="2"/>
  <c r="U35" i="12"/>
  <c r="U32" i="12" s="1"/>
  <c r="Y6" i="5"/>
  <c r="Y32" i="5" s="1"/>
  <c r="Z41" i="3" s="1"/>
  <c r="Y22" i="3"/>
  <c r="Y6" i="3" s="1"/>
  <c r="X87" i="3"/>
  <c r="X90" i="3"/>
  <c r="R8" i="2" s="1"/>
  <c r="R13" i="2" s="1"/>
  <c r="Y63" i="123"/>
  <c r="U55" i="2"/>
  <c r="R9" i="108"/>
  <c r="AC58" i="3"/>
  <c r="AB30" i="5" s="1"/>
  <c r="AA30" i="5"/>
  <c r="AB29" i="5"/>
  <c r="AB48" i="3"/>
  <c r="AB47" i="3" s="1"/>
  <c r="AA29" i="5"/>
  <c r="R55" i="2"/>
  <c r="R12" i="2"/>
  <c r="Q12" i="2"/>
  <c r="Q55" i="2"/>
  <c r="W64" i="123"/>
  <c r="X63" i="123"/>
  <c r="Y38" i="5"/>
  <c r="AC48" i="3" l="1"/>
  <c r="AC47" i="3" s="1"/>
  <c r="AB28" i="5"/>
  <c r="AB31" i="5" s="1"/>
  <c r="AB38" i="5" s="1"/>
  <c r="Y64" i="123"/>
  <c r="Y90" i="3"/>
  <c r="S8" i="2" s="1"/>
  <c r="S13" i="2" s="1"/>
  <c r="Y87" i="3"/>
  <c r="V35" i="12"/>
  <c r="V32" i="12" s="1"/>
  <c r="T68" i="2"/>
  <c r="Z22" i="3"/>
  <c r="Z6" i="3" s="1"/>
  <c r="Z6" i="5"/>
  <c r="Z32" i="5" s="1"/>
  <c r="AA41" i="3" s="1"/>
  <c r="X64" i="123"/>
  <c r="AA28" i="5"/>
  <c r="AA31" i="5" s="1"/>
  <c r="S65" i="2"/>
  <c r="S11" i="2"/>
  <c r="S12" i="2"/>
  <c r="AA63" i="123" l="1"/>
  <c r="W35" i="12"/>
  <c r="W32" i="12" s="1"/>
  <c r="AA22" i="3"/>
  <c r="AA6" i="3" s="1"/>
  <c r="U68" i="2"/>
  <c r="AA6" i="5"/>
  <c r="AA32" i="5" s="1"/>
  <c r="AB41" i="3" s="1"/>
  <c r="Z87" i="3"/>
  <c r="Z90" i="3"/>
  <c r="T8" i="2" s="1"/>
  <c r="T13" i="2" s="1"/>
  <c r="AA64" i="123"/>
  <c r="T65" i="2"/>
  <c r="T11" i="2"/>
  <c r="T12" i="2"/>
  <c r="Z63" i="123"/>
  <c r="AA38" i="5"/>
  <c r="V68" i="2" l="1"/>
  <c r="X35" i="12"/>
  <c r="X32" i="12" s="1"/>
  <c r="AB22" i="3"/>
  <c r="AB6" i="3" s="1"/>
  <c r="AB6" i="5"/>
  <c r="AB32" i="5" s="1"/>
  <c r="AC41" i="3" s="1"/>
  <c r="U65" i="2"/>
  <c r="U11" i="2"/>
  <c r="U12" i="2"/>
  <c r="AA90" i="3"/>
  <c r="U8" i="2" s="1"/>
  <c r="U13" i="2" s="1"/>
  <c r="AA87" i="3"/>
  <c r="Z64" i="123"/>
  <c r="AB90" i="3" l="1"/>
  <c r="V8" i="2" s="1"/>
  <c r="V13" i="2" s="1"/>
  <c r="AB87" i="3"/>
  <c r="W68" i="2"/>
  <c r="AC22" i="3"/>
  <c r="AC6" i="3" s="1"/>
  <c r="Y35" i="12"/>
  <c r="Y32" i="12" s="1"/>
  <c r="V65" i="2"/>
  <c r="V11" i="2"/>
  <c r="V12" i="2"/>
  <c r="AB64" i="123"/>
  <c r="C8" i="108" s="1"/>
  <c r="AC87" i="3" l="1"/>
  <c r="AC90" i="3"/>
  <c r="W8" i="2" s="1"/>
  <c r="W13" i="2" s="1"/>
  <c r="R8" i="108"/>
  <c r="W65" i="2"/>
  <c r="W11" i="2"/>
  <c r="W12" i="2"/>
  <c r="S26" i="125"/>
  <c r="S12" i="125"/>
  <c r="S13" i="125" l="1"/>
  <c r="V26" i="125"/>
  <c r="V12" i="125"/>
  <c r="V13" i="125" l="1"/>
  <c r="Z26" i="125"/>
  <c r="X26" i="125"/>
  <c r="Z12" i="125"/>
  <c r="X12" i="125"/>
  <c r="AA12" i="125" s="1"/>
  <c r="BK26" i="125" l="1"/>
  <c r="BJ26" i="125"/>
  <c r="BH26" i="125"/>
  <c r="BG26" i="125"/>
  <c r="BI26" i="125"/>
  <c r="BE26" i="125"/>
  <c r="BF26" i="125"/>
  <c r="AA26" i="125"/>
  <c r="AV12" i="125"/>
  <c r="AT12" i="125"/>
  <c r="AU12" i="125"/>
  <c r="AR12" i="125"/>
  <c r="AQ12" i="125"/>
  <c r="AP12" i="125"/>
  <c r="AS12" i="125"/>
  <c r="X13" i="125"/>
  <c r="Z13" i="125"/>
  <c r="BI12" i="125"/>
  <c r="BG12" i="125"/>
  <c r="BH12" i="125"/>
  <c r="BF12" i="125"/>
  <c r="BK12" i="125"/>
  <c r="BJ12" i="125"/>
  <c r="BE12" i="125"/>
  <c r="AT26" i="125" l="1"/>
  <c r="AP26" i="125"/>
  <c r="AV26" i="125"/>
  <c r="AS26" i="125"/>
  <c r="AQ26" i="125"/>
  <c r="AU26" i="125"/>
  <c r="AR26" i="125"/>
  <c r="BG13" i="125"/>
  <c r="BJ13" i="125"/>
  <c r="BK13" i="125"/>
  <c r="BI13" i="125"/>
  <c r="BE13" i="125"/>
  <c r="BF13" i="125"/>
  <c r="BH13" i="125"/>
  <c r="AA13" i="125"/>
  <c r="AT13" i="125" l="1"/>
  <c r="AQ13" i="125"/>
  <c r="AV13" i="125"/>
  <c r="AR13" i="125"/>
  <c r="AS13" i="125"/>
  <c r="AP13" i="125"/>
  <c r="AU13" i="125"/>
  <c r="S27" i="125"/>
  <c r="V27" i="125" l="1"/>
  <c r="S17" i="125"/>
  <c r="V17" i="125" l="1"/>
  <c r="Z27" i="125"/>
  <c r="X27" i="125"/>
  <c r="S14" i="125"/>
  <c r="BI27" i="125" l="1"/>
  <c r="BK27" i="125"/>
  <c r="BG27" i="125"/>
  <c r="BF27" i="125"/>
  <c r="BE27" i="125"/>
  <c r="BH27" i="125"/>
  <c r="BJ27" i="125"/>
  <c r="V14" i="125"/>
  <c r="Z17" i="125"/>
  <c r="X17" i="125"/>
  <c r="AA27" i="125"/>
  <c r="S15" i="125"/>
  <c r="BI17" i="125" l="1"/>
  <c r="BE17" i="125"/>
  <c r="BK17" i="125"/>
  <c r="BH17" i="125"/>
  <c r="BG17" i="125"/>
  <c r="BJ17" i="125"/>
  <c r="BF17" i="125"/>
  <c r="S16" i="125"/>
  <c r="V15" i="125"/>
  <c r="AQ27" i="125"/>
  <c r="AU27" i="125"/>
  <c r="AS27" i="125"/>
  <c r="AR27" i="125"/>
  <c r="AV27" i="125"/>
  <c r="AT27" i="125"/>
  <c r="AP27" i="125"/>
  <c r="Z14" i="125"/>
  <c r="X14" i="125"/>
  <c r="AA17" i="125"/>
  <c r="AA14" i="125" l="1"/>
  <c r="AQ14" i="125" s="1"/>
  <c r="AR14" i="125"/>
  <c r="AP14" i="125"/>
  <c r="AV14" i="125"/>
  <c r="AU14" i="125"/>
  <c r="AT14" i="125"/>
  <c r="AS14" i="125"/>
  <c r="Z15" i="125"/>
  <c r="X15" i="125"/>
  <c r="BJ14" i="125"/>
  <c r="BE14" i="125"/>
  <c r="BH14" i="125"/>
  <c r="BK14" i="125"/>
  <c r="BG14" i="125"/>
  <c r="BF14" i="125"/>
  <c r="BI14" i="125"/>
  <c r="AQ17" i="125"/>
  <c r="AP17" i="125"/>
  <c r="AS17" i="125"/>
  <c r="AV17" i="125"/>
  <c r="AR17" i="125"/>
  <c r="AU17" i="125"/>
  <c r="AT17" i="125"/>
  <c r="V16" i="125"/>
  <c r="S1" i="125"/>
  <c r="BF15" i="125" l="1"/>
  <c r="BG15" i="125"/>
  <c r="BE15" i="125"/>
  <c r="BJ15" i="125"/>
  <c r="BI15" i="125"/>
  <c r="BH15" i="125"/>
  <c r="BK15" i="125"/>
  <c r="AA15" i="125"/>
  <c r="S19" i="125"/>
  <c r="Z16" i="125"/>
  <c r="X16" i="125"/>
  <c r="AA16" i="125" s="1"/>
  <c r="V1" i="125"/>
  <c r="AU16" i="125" l="1"/>
  <c r="AT16" i="125"/>
  <c r="AQ16" i="125"/>
  <c r="AS16" i="125"/>
  <c r="AR16" i="125"/>
  <c r="AP16" i="125"/>
  <c r="AV16" i="125"/>
  <c r="BJ16" i="125"/>
  <c r="BJ49" i="125" s="1"/>
  <c r="AU50" i="125" s="1"/>
  <c r="I11" i="130" s="1"/>
  <c r="BF16" i="125"/>
  <c r="BG16" i="125"/>
  <c r="BE16" i="125"/>
  <c r="BE49" i="125" s="1"/>
  <c r="AP50" i="125" s="1"/>
  <c r="BI16" i="125"/>
  <c r="BI49" i="125" s="1"/>
  <c r="AT50" i="125" s="1"/>
  <c r="H11" i="130" s="1"/>
  <c r="BK16" i="125"/>
  <c r="BH16" i="125"/>
  <c r="X1" i="125"/>
  <c r="Z1" i="125"/>
  <c r="S20" i="125"/>
  <c r="AV15" i="125"/>
  <c r="AP15" i="125"/>
  <c r="AR15" i="125"/>
  <c r="AQ15" i="125"/>
  <c r="AS15" i="125"/>
  <c r="AT15" i="125"/>
  <c r="AU15" i="125"/>
  <c r="V19" i="125"/>
  <c r="BG49" i="125" l="1"/>
  <c r="AR50" i="125" s="1"/>
  <c r="AT49" i="125"/>
  <c r="AT51" i="125" s="1"/>
  <c r="H12" i="130" s="1"/>
  <c r="H13" i="130" s="1"/>
  <c r="AS49" i="125"/>
  <c r="BF49" i="125"/>
  <c r="AQ50" i="125" s="1"/>
  <c r="AQ49" i="125"/>
  <c r="Z19" i="125"/>
  <c r="X19" i="125"/>
  <c r="AA19" i="125" s="1"/>
  <c r="AR49" i="125"/>
  <c r="AR51" i="125" s="1"/>
  <c r="AP49" i="125"/>
  <c r="AP51" i="125" s="1"/>
  <c r="BH49" i="125"/>
  <c r="AS50" i="125" s="1"/>
  <c r="D30" i="94"/>
  <c r="D11" i="130"/>
  <c r="AV49" i="125"/>
  <c r="BK49" i="125"/>
  <c r="AV50" i="125" s="1"/>
  <c r="J11" i="130" s="1"/>
  <c r="AU49" i="125"/>
  <c r="AU51" i="125" s="1"/>
  <c r="I12" i="130" s="1"/>
  <c r="I13" i="130" s="1"/>
  <c r="S21" i="125"/>
  <c r="V20" i="125"/>
  <c r="AV51" i="125" l="1"/>
  <c r="J12" i="130" s="1"/>
  <c r="AQ51" i="125"/>
  <c r="E29" i="94" s="1"/>
  <c r="Z20" i="125"/>
  <c r="X20" i="125"/>
  <c r="AS51" i="125"/>
  <c r="S22" i="125"/>
  <c r="J13" i="130"/>
  <c r="BK19" i="125"/>
  <c r="BJ19" i="125"/>
  <c r="BI19" i="125"/>
  <c r="BE19" i="125"/>
  <c r="BF19" i="125"/>
  <c r="BG19" i="125"/>
  <c r="BH19" i="125"/>
  <c r="D29" i="94"/>
  <c r="D12" i="130"/>
  <c r="AQ19" i="125"/>
  <c r="AV19" i="125"/>
  <c r="AR19" i="125"/>
  <c r="AT19" i="125"/>
  <c r="AP19" i="125"/>
  <c r="AU19" i="125"/>
  <c r="AS19" i="125"/>
  <c r="E12" i="130"/>
  <c r="F11" i="130"/>
  <c r="F30" i="94"/>
  <c r="F33" i="94" s="1"/>
  <c r="V21" i="125"/>
  <c r="D33" i="94"/>
  <c r="G30" i="94"/>
  <c r="G33" i="94" s="1"/>
  <c r="G11" i="130"/>
  <c r="F12" i="130"/>
  <c r="F29" i="94"/>
  <c r="E11" i="130"/>
  <c r="E30" i="94"/>
  <c r="E33" i="94" s="1"/>
  <c r="E13" i="130" l="1"/>
  <c r="F13" i="130"/>
  <c r="E28" i="94"/>
  <c r="E32" i="94"/>
  <c r="E31" i="94" s="1"/>
  <c r="V22" i="125"/>
  <c r="S23" i="125"/>
  <c r="D28" i="94"/>
  <c r="D32" i="94"/>
  <c r="G12" i="130"/>
  <c r="C12" i="130" s="1"/>
  <c r="G29" i="94"/>
  <c r="BJ20" i="125"/>
  <c r="BI20" i="125"/>
  <c r="BF20" i="125"/>
  <c r="BH20" i="125"/>
  <c r="BG20" i="125"/>
  <c r="BK20" i="125"/>
  <c r="BE20" i="125"/>
  <c r="F32" i="94"/>
  <c r="F31" i="94" s="1"/>
  <c r="F28" i="94"/>
  <c r="Z21" i="125"/>
  <c r="X21" i="125"/>
  <c r="D13" i="130"/>
  <c r="G13" i="130"/>
  <c r="C11" i="130"/>
  <c r="AA20" i="125"/>
  <c r="D31" i="94" l="1"/>
  <c r="AQ20" i="125"/>
  <c r="AT20" i="125"/>
  <c r="AR20" i="125"/>
  <c r="AS20" i="125"/>
  <c r="AP20" i="125"/>
  <c r="AU20" i="125"/>
  <c r="AV20" i="125"/>
  <c r="V23" i="125"/>
  <c r="C13" i="130"/>
  <c r="S24" i="125"/>
  <c r="BH21" i="125"/>
  <c r="BG21" i="125"/>
  <c r="BK21" i="125"/>
  <c r="BI21" i="125"/>
  <c r="BJ21" i="125"/>
  <c r="BE21" i="125"/>
  <c r="BF21" i="125"/>
  <c r="G28" i="94"/>
  <c r="H29" i="94" s="1"/>
  <c r="G32" i="94"/>
  <c r="G31" i="94" s="1"/>
  <c r="Z22" i="125"/>
  <c r="X22" i="125"/>
  <c r="AA21" i="125"/>
  <c r="AA22" i="125" l="1"/>
  <c r="H30" i="94"/>
  <c r="H32" i="94"/>
  <c r="I29" i="94"/>
  <c r="AU22" i="125"/>
  <c r="AT22" i="125"/>
  <c r="AR22" i="125"/>
  <c r="AQ22" i="125"/>
  <c r="AP22" i="125"/>
  <c r="AS22" i="125"/>
  <c r="AV22" i="125"/>
  <c r="C3" i="131"/>
  <c r="C28" i="94"/>
  <c r="V24" i="125"/>
  <c r="BJ22" i="125"/>
  <c r="BK22" i="125"/>
  <c r="BI22" i="125"/>
  <c r="BF22" i="125"/>
  <c r="BG22" i="125"/>
  <c r="BE22" i="125"/>
  <c r="BH22" i="125"/>
  <c r="S28" i="125"/>
  <c r="AV21" i="125"/>
  <c r="AP21" i="125"/>
  <c r="AQ21" i="125"/>
  <c r="AS21" i="125"/>
  <c r="AU21" i="125"/>
  <c r="AR21" i="125"/>
  <c r="AT21" i="125"/>
  <c r="S2" i="125"/>
  <c r="Z23" i="125"/>
  <c r="X23" i="125"/>
  <c r="AA23" i="125" s="1"/>
  <c r="V2" i="125"/>
  <c r="AT23" i="125" l="1"/>
  <c r="AS23" i="125"/>
  <c r="AU23" i="125"/>
  <c r="AR23" i="125"/>
  <c r="AV23" i="125"/>
  <c r="AP23" i="125"/>
  <c r="AQ23" i="125"/>
  <c r="X24" i="125"/>
  <c r="Z24" i="125"/>
  <c r="J29" i="94"/>
  <c r="C29" i="94" s="1"/>
  <c r="I32" i="94"/>
  <c r="I30" i="94"/>
  <c r="I33" i="94" s="1"/>
  <c r="BF23" i="125"/>
  <c r="BE23" i="125"/>
  <c r="BI23" i="125"/>
  <c r="BG23" i="125"/>
  <c r="BH23" i="125"/>
  <c r="BJ23" i="125"/>
  <c r="BK23" i="125"/>
  <c r="X2" i="125"/>
  <c r="V28" i="125"/>
  <c r="S29" i="125"/>
  <c r="H33" i="94"/>
  <c r="H31" i="94" s="1"/>
  <c r="AA24" i="125" l="1"/>
  <c r="AR24" i="125"/>
  <c r="AP24" i="125"/>
  <c r="AQ24" i="125"/>
  <c r="AQ54" i="125" s="1"/>
  <c r="AT24" i="125"/>
  <c r="AS24" i="125"/>
  <c r="AS54" i="125" s="1"/>
  <c r="AV24" i="125"/>
  <c r="AV54" i="125" s="1"/>
  <c r="AU24" i="125"/>
  <c r="AA4" i="125"/>
  <c r="AP54" i="125"/>
  <c r="Z28" i="125"/>
  <c r="X28" i="125"/>
  <c r="BK24" i="125"/>
  <c r="BG24" i="125"/>
  <c r="BG54" i="125" s="1"/>
  <c r="AR55" i="125" s="1"/>
  <c r="BJ24" i="125"/>
  <c r="BI24" i="125"/>
  <c r="BH24" i="125"/>
  <c r="BF24" i="125"/>
  <c r="BE24" i="125"/>
  <c r="AR54" i="125"/>
  <c r="AU54" i="125"/>
  <c r="V29" i="125"/>
  <c r="S30" i="125"/>
  <c r="Z2" i="125"/>
  <c r="I31" i="94"/>
  <c r="J32" i="94"/>
  <c r="J30" i="94"/>
  <c r="AA28" i="125" l="1"/>
  <c r="J33" i="94"/>
  <c r="C33" i="94" s="1"/>
  <c r="C30" i="94"/>
  <c r="BH28" i="125"/>
  <c r="BF28" i="125"/>
  <c r="BI28" i="125"/>
  <c r="BG28" i="125"/>
  <c r="BE28" i="125"/>
  <c r="BK28" i="125"/>
  <c r="BJ28" i="125"/>
  <c r="F16" i="130"/>
  <c r="F40" i="94"/>
  <c r="F43" i="94" s="1"/>
  <c r="AT28" i="125"/>
  <c r="AU28" i="125"/>
  <c r="AQ28" i="125"/>
  <c r="AR28" i="125"/>
  <c r="AS28" i="125"/>
  <c r="AP28" i="125"/>
  <c r="AV28" i="125"/>
  <c r="Z29" i="125"/>
  <c r="X29" i="125"/>
  <c r="S25" i="134" s="1"/>
  <c r="C32" i="94"/>
  <c r="AR56" i="125"/>
  <c r="S31" i="125"/>
  <c r="V30" i="125"/>
  <c r="J31" i="94" l="1"/>
  <c r="C31" i="94" s="1"/>
  <c r="AA29" i="125"/>
  <c r="U25" i="134" s="1"/>
  <c r="V31" i="125"/>
  <c r="Z30" i="125"/>
  <c r="X30" i="125"/>
  <c r="S26" i="134" s="1"/>
  <c r="AR29" i="125"/>
  <c r="AP29" i="125"/>
  <c r="AS29" i="125"/>
  <c r="AQ29" i="125"/>
  <c r="AV29" i="125"/>
  <c r="AU29" i="125"/>
  <c r="S32" i="125"/>
  <c r="F39" i="94"/>
  <c r="F17" i="130"/>
  <c r="F18" i="130" s="1"/>
  <c r="BJ29" i="125"/>
  <c r="BF29" i="125"/>
  <c r="BK29" i="125"/>
  <c r="BI29" i="125"/>
  <c r="BE29" i="125"/>
  <c r="BG29" i="125"/>
  <c r="BH29" i="125"/>
  <c r="AT29" i="125" l="1"/>
  <c r="Z31" i="125"/>
  <c r="X31" i="125"/>
  <c r="S27" i="134" s="1"/>
  <c r="BF30" i="125"/>
  <c r="BG30" i="125"/>
  <c r="BJ30" i="125"/>
  <c r="BE30" i="125"/>
  <c r="BH30" i="125"/>
  <c r="BI30" i="125"/>
  <c r="BK30" i="125"/>
  <c r="AA30" i="125"/>
  <c r="U26" i="134" s="1"/>
  <c r="F38" i="94"/>
  <c r="F42" i="94"/>
  <c r="F41" i="94" s="1"/>
  <c r="V32" i="125"/>
  <c r="S33" i="125"/>
  <c r="AA31" i="125" l="1"/>
  <c r="U27" i="134" s="1"/>
  <c r="BH31" i="125"/>
  <c r="BJ31" i="125"/>
  <c r="BE31" i="125"/>
  <c r="BI31" i="125"/>
  <c r="BG31" i="125"/>
  <c r="BK31" i="125"/>
  <c r="BF31" i="125"/>
  <c r="Z32" i="125"/>
  <c r="X32" i="125"/>
  <c r="V33" i="125"/>
  <c r="S34" i="125"/>
  <c r="P30" i="134" s="1"/>
  <c r="AP30" i="125"/>
  <c r="AS30" i="125"/>
  <c r="AU30" i="125"/>
  <c r="AQ30" i="125"/>
  <c r="AV30" i="125"/>
  <c r="AR30" i="125"/>
  <c r="AT30" i="125"/>
  <c r="AV31" i="125"/>
  <c r="AP31" i="125"/>
  <c r="AQ31" i="125"/>
  <c r="AU31" i="125"/>
  <c r="AT31" i="125"/>
  <c r="AS31" i="125"/>
  <c r="AR31" i="125"/>
  <c r="AA32" i="125" l="1"/>
  <c r="U28" i="134" s="1"/>
  <c r="S28" i="134"/>
  <c r="Z33" i="125"/>
  <c r="X33" i="125"/>
  <c r="AU32" i="125"/>
  <c r="AT32" i="125"/>
  <c r="AS32" i="125"/>
  <c r="AV32" i="125"/>
  <c r="AR32" i="125"/>
  <c r="AP32" i="125"/>
  <c r="AQ32" i="125"/>
  <c r="BE32" i="125"/>
  <c r="BG32" i="125"/>
  <c r="BJ32" i="125"/>
  <c r="BF32" i="125"/>
  <c r="BK32" i="125"/>
  <c r="BH32" i="125"/>
  <c r="BI32" i="125"/>
  <c r="S35" i="125"/>
  <c r="P31" i="134" s="1"/>
  <c r="V34" i="125"/>
  <c r="R30" i="134" s="1"/>
  <c r="AA33" i="125" l="1"/>
  <c r="U29" i="134" s="1"/>
  <c r="S29" i="134"/>
  <c r="Z34" i="125"/>
  <c r="T30" i="134" s="1"/>
  <c r="X34" i="125"/>
  <c r="S30" i="134" s="1"/>
  <c r="V35" i="125"/>
  <c r="R31" i="134" s="1"/>
  <c r="AV33" i="125"/>
  <c r="AR33" i="125"/>
  <c r="AS33" i="125"/>
  <c r="AQ33" i="125"/>
  <c r="AU33" i="125"/>
  <c r="AT33" i="125"/>
  <c r="AP33" i="125"/>
  <c r="BG33" i="125"/>
  <c r="BI33" i="125"/>
  <c r="BH33" i="125"/>
  <c r="BK33" i="125"/>
  <c r="BE33" i="125"/>
  <c r="BJ33" i="125"/>
  <c r="BF33" i="125"/>
  <c r="S36" i="125"/>
  <c r="P32" i="134" s="1"/>
  <c r="S37" i="125" l="1"/>
  <c r="P33" i="134" s="1"/>
  <c r="V36" i="125"/>
  <c r="R32" i="134" s="1"/>
  <c r="BK34" i="125"/>
  <c r="BI34" i="125"/>
  <c r="BJ34" i="125"/>
  <c r="BH34" i="125"/>
  <c r="BF34" i="125"/>
  <c r="BE34" i="125"/>
  <c r="BG34" i="125"/>
  <c r="Z35" i="125"/>
  <c r="T31" i="134" s="1"/>
  <c r="X35" i="125"/>
  <c r="AA34" i="125"/>
  <c r="U30" i="134" s="1"/>
  <c r="AA35" i="125" l="1"/>
  <c r="U31" i="134" s="1"/>
  <c r="S31" i="134"/>
  <c r="BJ35" i="125"/>
  <c r="BG35" i="125"/>
  <c r="BK35" i="125"/>
  <c r="BF35" i="125"/>
  <c r="BI35" i="125"/>
  <c r="BH35" i="125"/>
  <c r="BE35" i="125"/>
  <c r="Z36" i="125"/>
  <c r="T32" i="134" s="1"/>
  <c r="X36" i="125"/>
  <c r="S32" i="134" s="1"/>
  <c r="AP35" i="125"/>
  <c r="AV35" i="125"/>
  <c r="AU35" i="125"/>
  <c r="AR35" i="125"/>
  <c r="AQ35" i="125"/>
  <c r="AS35" i="125"/>
  <c r="AT35" i="125"/>
  <c r="S38" i="125"/>
  <c r="P34" i="134" s="1"/>
  <c r="AV34" i="125"/>
  <c r="AS34" i="125"/>
  <c r="AT34" i="125"/>
  <c r="AU34" i="125"/>
  <c r="AR34" i="125"/>
  <c r="AQ34" i="125"/>
  <c r="AP34" i="125"/>
  <c r="V37" i="125"/>
  <c r="R33" i="134" s="1"/>
  <c r="AA36" i="125" l="1"/>
  <c r="U32" i="134" s="1"/>
  <c r="S39" i="125"/>
  <c r="P35" i="134" s="1"/>
  <c r="BG36" i="125"/>
  <c r="BI36" i="125"/>
  <c r="BF36" i="125"/>
  <c r="BE36" i="125"/>
  <c r="BK36" i="125"/>
  <c r="BJ36" i="125"/>
  <c r="BH36" i="125"/>
  <c r="Z37" i="125"/>
  <c r="T33" i="134" s="1"/>
  <c r="X37" i="125"/>
  <c r="S33" i="134" s="1"/>
  <c r="V38" i="125"/>
  <c r="R34" i="134" s="1"/>
  <c r="AP36" i="125"/>
  <c r="AU36" i="125"/>
  <c r="AS36" i="125"/>
  <c r="AV36" i="125"/>
  <c r="AR36" i="125"/>
  <c r="AQ36" i="125"/>
  <c r="AT36" i="125"/>
  <c r="BJ37" i="125" l="1"/>
  <c r="BK37" i="125"/>
  <c r="BH37" i="125"/>
  <c r="BF37" i="125"/>
  <c r="BG37" i="125"/>
  <c r="BI37" i="125"/>
  <c r="BE37" i="125"/>
  <c r="S40" i="125"/>
  <c r="P36" i="134" s="1"/>
  <c r="S41" i="125"/>
  <c r="P37" i="134" s="1"/>
  <c r="X38" i="125"/>
  <c r="S34" i="134" s="1"/>
  <c r="Z38" i="125"/>
  <c r="T34" i="134" s="1"/>
  <c r="AA37" i="125"/>
  <c r="U33" i="134" s="1"/>
  <c r="V39" i="125"/>
  <c r="R35" i="134" s="1"/>
  <c r="AA38" i="125" l="1"/>
  <c r="AV38" i="125"/>
  <c r="AT38" i="125"/>
  <c r="AR38" i="125"/>
  <c r="AS38" i="125"/>
  <c r="AQ38" i="125"/>
  <c r="AV37" i="125"/>
  <c r="AT37" i="125"/>
  <c r="AQ37" i="125"/>
  <c r="AP37" i="125"/>
  <c r="AR37" i="125"/>
  <c r="AS37" i="125"/>
  <c r="AU37" i="125"/>
  <c r="V41" i="125"/>
  <c r="R37" i="134" s="1"/>
  <c r="S5" i="125"/>
  <c r="S3" i="125"/>
  <c r="BH38" i="125"/>
  <c r="BF38" i="125"/>
  <c r="BJ38" i="125"/>
  <c r="BI38" i="125"/>
  <c r="BK38" i="125"/>
  <c r="BG38" i="125"/>
  <c r="BE38" i="125"/>
  <c r="Z39" i="125"/>
  <c r="T35" i="134" s="1"/>
  <c r="X39" i="125"/>
  <c r="S35" i="134" s="1"/>
  <c r="V40" i="125"/>
  <c r="R36" i="134" s="1"/>
  <c r="AP38" i="125" l="1"/>
  <c r="U34" i="134"/>
  <c r="AU38" i="125"/>
  <c r="BE39" i="125"/>
  <c r="BJ39" i="125"/>
  <c r="BG39" i="125"/>
  <c r="BK39" i="125"/>
  <c r="BI39" i="125"/>
  <c r="BF39" i="125"/>
  <c r="BH39" i="125"/>
  <c r="AA39" i="125"/>
  <c r="U35" i="134" s="1"/>
  <c r="X40" i="125"/>
  <c r="S36" i="134" s="1"/>
  <c r="Z40" i="125"/>
  <c r="T36" i="134" s="1"/>
  <c r="X41" i="125"/>
  <c r="S37" i="134" s="1"/>
  <c r="Z41" i="125"/>
  <c r="V5" i="125"/>
  <c r="V3" i="125"/>
  <c r="BE41" i="125" l="1"/>
  <c r="BK41" i="125"/>
  <c r="BJ41" i="125"/>
  <c r="BH41" i="125"/>
  <c r="BF41" i="125"/>
  <c r="BG41" i="125"/>
  <c r="BI41" i="125"/>
  <c r="X5" i="125"/>
  <c r="X3" i="125"/>
  <c r="AA41" i="125"/>
  <c r="U37" i="134" s="1"/>
  <c r="AA40" i="125"/>
  <c r="U36" i="134" s="1"/>
  <c r="BJ40" i="125"/>
  <c r="BK40" i="125"/>
  <c r="BG40" i="125"/>
  <c r="BE40" i="125"/>
  <c r="BF40" i="125"/>
  <c r="BH40" i="125"/>
  <c r="BI40" i="125"/>
  <c r="Z5" i="125"/>
  <c r="Z3" i="125"/>
  <c r="AP39" i="125"/>
  <c r="AS39" i="125"/>
  <c r="AV39" i="125"/>
  <c r="AR39" i="125"/>
  <c r="AQ39" i="125"/>
  <c r="AT39" i="125"/>
  <c r="AU39" i="125"/>
  <c r="BI43" i="125" l="1"/>
  <c r="AT44" i="125" s="1"/>
  <c r="H50" i="94" s="1"/>
  <c r="BI54" i="125"/>
  <c r="AT55" i="125" s="1"/>
  <c r="H16" i="130" s="1"/>
  <c r="BI59" i="125"/>
  <c r="AT60" i="125" s="1"/>
  <c r="H21" i="130" s="1"/>
  <c r="BG43" i="125"/>
  <c r="AR44" i="125" s="1"/>
  <c r="F50" i="94" s="1"/>
  <c r="BG59" i="125"/>
  <c r="AR60" i="125" s="1"/>
  <c r="F21" i="130" s="1"/>
  <c r="BF43" i="125"/>
  <c r="AQ44" i="125" s="1"/>
  <c r="E50" i="94" s="1"/>
  <c r="BF54" i="125"/>
  <c r="AQ55" i="125" s="1"/>
  <c r="BF59" i="125"/>
  <c r="AQ60" i="125" s="1"/>
  <c r="E21" i="130" s="1"/>
  <c r="AS40" i="125"/>
  <c r="AP40" i="125"/>
  <c r="AV40" i="125"/>
  <c r="AQ40" i="125"/>
  <c r="AR40" i="125"/>
  <c r="AU40" i="125"/>
  <c r="AT40" i="125"/>
  <c r="BH43" i="125"/>
  <c r="AS44" i="125" s="1"/>
  <c r="G50" i="94" s="1"/>
  <c r="BH54" i="125"/>
  <c r="AS55" i="125" s="1"/>
  <c r="BH59" i="125"/>
  <c r="AS60" i="125" s="1"/>
  <c r="G21" i="130" s="1"/>
  <c r="AV41" i="125"/>
  <c r="AU41" i="125"/>
  <c r="AT41" i="125"/>
  <c r="AR41" i="125"/>
  <c r="AQ41" i="125"/>
  <c r="AS41" i="125"/>
  <c r="AP41" i="125"/>
  <c r="AA42" i="125"/>
  <c r="AE42" i="125"/>
  <c r="C5" i="130" s="1"/>
  <c r="AF42" i="125"/>
  <c r="C6" i="130" s="1"/>
  <c r="AD42" i="125"/>
  <c r="C4" i="130" s="1"/>
  <c r="AC42" i="125"/>
  <c r="C3" i="130" s="1"/>
  <c r="AA5" i="125"/>
  <c r="BJ43" i="125"/>
  <c r="AU44" i="125" s="1"/>
  <c r="I50" i="94" s="1"/>
  <c r="BJ54" i="125"/>
  <c r="AU55" i="125" s="1"/>
  <c r="BJ59" i="125"/>
  <c r="AU60" i="125" s="1"/>
  <c r="I21" i="130" s="1"/>
  <c r="BK43" i="125"/>
  <c r="AV44" i="125" s="1"/>
  <c r="J50" i="94" s="1"/>
  <c r="BK54" i="125"/>
  <c r="AV55" i="125" s="1"/>
  <c r="BK59" i="125"/>
  <c r="AV60" i="125" s="1"/>
  <c r="J21" i="130" s="1"/>
  <c r="BE54" i="125"/>
  <c r="AP55" i="125" s="1"/>
  <c r="BE59" i="125"/>
  <c r="AP60" i="125" s="1"/>
  <c r="D21" i="130" s="1"/>
  <c r="AA43" i="125" l="1"/>
  <c r="C7" i="130"/>
  <c r="D40" i="94"/>
  <c r="D16" i="130"/>
  <c r="AP56" i="125"/>
  <c r="AE45" i="125"/>
  <c r="AF45" i="125"/>
  <c r="AR43" i="125"/>
  <c r="AR45" i="125" s="1"/>
  <c r="F49" i="94" s="1"/>
  <c r="AD45" i="125"/>
  <c r="AC45" i="125"/>
  <c r="AR59" i="125"/>
  <c r="AR61" i="125" s="1"/>
  <c r="F22" i="130" s="1"/>
  <c r="E40" i="94"/>
  <c r="E43" i="94" s="1"/>
  <c r="E16" i="130"/>
  <c r="AQ56" i="125"/>
  <c r="J16" i="130"/>
  <c r="AV56" i="125"/>
  <c r="J17" i="130" s="1"/>
  <c r="AC47" i="125"/>
  <c r="AT43" i="125"/>
  <c r="AT45" i="125" s="1"/>
  <c r="H49" i="94" s="1"/>
  <c r="AE47" i="125"/>
  <c r="AF47" i="125"/>
  <c r="AD47" i="125"/>
  <c r="AT54" i="125"/>
  <c r="AT56" i="125" s="1"/>
  <c r="H17" i="130" s="1"/>
  <c r="H18" i="130" s="1"/>
  <c r="AT59" i="125"/>
  <c r="AT61" i="125" s="1"/>
  <c r="H22" i="130" s="1"/>
  <c r="H23" i="130" s="1"/>
  <c r="E53" i="94"/>
  <c r="E16" i="94"/>
  <c r="C50" i="94"/>
  <c r="J53" i="94"/>
  <c r="J16" i="94"/>
  <c r="J19" i="94" s="1"/>
  <c r="N30" i="97" s="1"/>
  <c r="AE48" i="125"/>
  <c r="AF48" i="125"/>
  <c r="AU43" i="125"/>
  <c r="AU45" i="125" s="1"/>
  <c r="I49" i="94" s="1"/>
  <c r="AD48" i="125"/>
  <c r="AC48" i="125"/>
  <c r="AU59" i="125"/>
  <c r="AU61" i="125" s="1"/>
  <c r="I22" i="130" s="1"/>
  <c r="I23" i="130" s="1"/>
  <c r="F23" i="130"/>
  <c r="AD49" i="125"/>
  <c r="AE49" i="125"/>
  <c r="AF49" i="125"/>
  <c r="AC49" i="125"/>
  <c r="AV43" i="125"/>
  <c r="AV45" i="125" s="1"/>
  <c r="J49" i="94" s="1"/>
  <c r="AV59" i="125"/>
  <c r="AV61" i="125" s="1"/>
  <c r="J22" i="130" s="1"/>
  <c r="J23" i="130" s="1"/>
  <c r="F16" i="94"/>
  <c r="F19" i="94" s="1"/>
  <c r="J30" i="97" s="1"/>
  <c r="F53" i="94"/>
  <c r="I16" i="130"/>
  <c r="AU56" i="125"/>
  <c r="I17" i="130" s="1"/>
  <c r="AF43" i="125"/>
  <c r="AP43" i="125"/>
  <c r="AP45" i="125" s="1"/>
  <c r="D49" i="94" s="1"/>
  <c r="AE43" i="125"/>
  <c r="AD43" i="125"/>
  <c r="AC43" i="125"/>
  <c r="AP59" i="125"/>
  <c r="AP61" i="125" s="1"/>
  <c r="D22" i="130" s="1"/>
  <c r="G16" i="130"/>
  <c r="G40" i="94"/>
  <c r="G43" i="94" s="1"/>
  <c r="AS56" i="125"/>
  <c r="I16" i="94"/>
  <c r="I19" i="94" s="1"/>
  <c r="M30" i="97" s="1"/>
  <c r="I53" i="94"/>
  <c r="AE46" i="125"/>
  <c r="AD46" i="125"/>
  <c r="AF46" i="125"/>
  <c r="AS43" i="125"/>
  <c r="AS45" i="125" s="1"/>
  <c r="G49" i="94" s="1"/>
  <c r="AC46" i="125"/>
  <c r="AS59" i="125"/>
  <c r="AS61" i="125" s="1"/>
  <c r="G22" i="130" s="1"/>
  <c r="G23" i="130" s="1"/>
  <c r="C21" i="130"/>
  <c r="AQ43" i="125"/>
  <c r="AQ45" i="125" s="1"/>
  <c r="E49" i="94" s="1"/>
  <c r="AC44" i="125"/>
  <c r="AD44" i="125"/>
  <c r="AE44" i="125"/>
  <c r="AF44" i="125"/>
  <c r="AQ59" i="125"/>
  <c r="AQ61" i="125" s="1"/>
  <c r="E22" i="130" s="1"/>
  <c r="E23" i="130" s="1"/>
  <c r="G53" i="94"/>
  <c r="G16" i="94"/>
  <c r="G19" i="94" s="1"/>
  <c r="K30" i="97" s="1"/>
  <c r="H53" i="94"/>
  <c r="H16" i="94"/>
  <c r="H19" i="94" s="1"/>
  <c r="L30" i="97" s="1"/>
  <c r="J18" i="130" l="1"/>
  <c r="I3" i="130" a="1"/>
  <c r="I3" i="130" s="1"/>
  <c r="I7" i="130" s="1"/>
  <c r="G3" i="130" a="1"/>
  <c r="G3" i="130" s="1"/>
  <c r="G7" i="130" s="1"/>
  <c r="G52" i="94"/>
  <c r="G51" i="94" s="1"/>
  <c r="G48" i="94"/>
  <c r="G15" i="94"/>
  <c r="G17" i="130"/>
  <c r="G18" i="130" s="1"/>
  <c r="G39" i="94"/>
  <c r="J3" i="130" a="1"/>
  <c r="J3" i="130" s="1"/>
  <c r="J7" i="130" s="1"/>
  <c r="C53" i="94"/>
  <c r="F48" i="94"/>
  <c r="F15" i="94"/>
  <c r="F52" i="94"/>
  <c r="F51" i="94" s="1"/>
  <c r="I52" i="94"/>
  <c r="I51" i="94" s="1"/>
  <c r="I48" i="94"/>
  <c r="I15" i="94"/>
  <c r="I18" i="130"/>
  <c r="E17" i="130"/>
  <c r="E18" i="130" s="1"/>
  <c r="E39" i="94"/>
  <c r="C22" i="130"/>
  <c r="E3" i="130" a="1"/>
  <c r="E3" i="130" s="1"/>
  <c r="E7" i="130" s="1"/>
  <c r="E52" i="94"/>
  <c r="E51" i="94" s="1"/>
  <c r="E48" i="94"/>
  <c r="E15" i="94"/>
  <c r="D3" i="130" a="1"/>
  <c r="D3" i="130" s="1"/>
  <c r="D7" i="130" s="1"/>
  <c r="D23" i="130"/>
  <c r="C23" i="130" s="1"/>
  <c r="D39" i="94"/>
  <c r="D17" i="130"/>
  <c r="H52" i="94"/>
  <c r="H51" i="94" s="1"/>
  <c r="H15" i="94"/>
  <c r="H48" i="94"/>
  <c r="F3" i="130" a="1"/>
  <c r="F3" i="130" s="1"/>
  <c r="F7" i="130" s="1"/>
  <c r="C16" i="130"/>
  <c r="D52" i="94"/>
  <c r="C49" i="94"/>
  <c r="D48" i="94"/>
  <c r="D15" i="94"/>
  <c r="J48" i="94"/>
  <c r="J52" i="94"/>
  <c r="J51" i="94" s="1"/>
  <c r="J15" i="94"/>
  <c r="C16" i="94"/>
  <c r="E19" i="94"/>
  <c r="H3" i="130" a="1"/>
  <c r="H3" i="130" s="1"/>
  <c r="H7" i="130" s="1"/>
  <c r="D43" i="94"/>
  <c r="C17" i="130" l="1"/>
  <c r="D51" i="94"/>
  <c r="C51" i="94" s="1"/>
  <c r="C52" i="94"/>
  <c r="H14" i="94"/>
  <c r="H18" i="94"/>
  <c r="C48" i="94"/>
  <c r="E3" i="131"/>
  <c r="I14" i="94"/>
  <c r="I18" i="94"/>
  <c r="G38" i="94"/>
  <c r="H39" i="94" s="1"/>
  <c r="G42" i="94"/>
  <c r="G41" i="94" s="1"/>
  <c r="C19" i="94"/>
  <c r="I30" i="97"/>
  <c r="D38" i="94"/>
  <c r="D42" i="94"/>
  <c r="E42" i="94"/>
  <c r="E41" i="94" s="1"/>
  <c r="E38" i="94"/>
  <c r="G18" i="94"/>
  <c r="G14" i="94"/>
  <c r="J14" i="94"/>
  <c r="J18" i="94"/>
  <c r="D18" i="130"/>
  <c r="C18" i="130" s="1"/>
  <c r="D14" i="94"/>
  <c r="C15" i="94"/>
  <c r="D18" i="94"/>
  <c r="E14" i="94"/>
  <c r="E18" i="94"/>
  <c r="F14" i="94"/>
  <c r="F18" i="94"/>
  <c r="D41" i="94" l="1"/>
  <c r="F17" i="94"/>
  <c r="J31" i="97"/>
  <c r="J23" i="97"/>
  <c r="I10" i="97"/>
  <c r="D3" i="131"/>
  <c r="C38" i="94"/>
  <c r="H17" i="94"/>
  <c r="L31" i="97"/>
  <c r="E17" i="94"/>
  <c r="I31" i="97"/>
  <c r="I29" i="97" s="1"/>
  <c r="H40" i="94"/>
  <c r="I39" i="94"/>
  <c r="H42" i="94"/>
  <c r="G17" i="94"/>
  <c r="K31" i="97"/>
  <c r="J17" i="94"/>
  <c r="N31" i="97"/>
  <c r="D17" i="94"/>
  <c r="C18" i="94"/>
  <c r="H31" i="97"/>
  <c r="D6" i="108"/>
  <c r="E6" i="108" s="1"/>
  <c r="C14" i="94"/>
  <c r="I17" i="94"/>
  <c r="M31" i="97"/>
  <c r="C17" i="94" l="1"/>
  <c r="I40" i="94"/>
  <c r="I43" i="94" s="1"/>
  <c r="J39" i="94"/>
  <c r="C39" i="94" s="1"/>
  <c r="I42" i="94"/>
  <c r="H29" i="97"/>
  <c r="I24" i="97"/>
  <c r="H11" i="97"/>
  <c r="H43" i="94"/>
  <c r="M29" i="97"/>
  <c r="J29" i="97"/>
  <c r="I4" i="97"/>
  <c r="J10" i="97"/>
  <c r="L29" i="97"/>
  <c r="J14" i="97"/>
  <c r="K23" i="97"/>
  <c r="N29" i="97"/>
  <c r="K29" i="97"/>
  <c r="I41" i="94" l="1"/>
  <c r="J16" i="103"/>
  <c r="J17" i="103" s="1"/>
  <c r="I22" i="97"/>
  <c r="I15" i="97"/>
  <c r="H9" i="97"/>
  <c r="I11" i="97"/>
  <c r="H5" i="97"/>
  <c r="J4" i="97"/>
  <c r="K10" i="97"/>
  <c r="J24" i="97"/>
  <c r="H41" i="94"/>
  <c r="J40" i="94"/>
  <c r="J42" i="94"/>
  <c r="K14" i="97"/>
  <c r="L23" i="97"/>
  <c r="J56" i="98"/>
  <c r="I5" i="97" l="1"/>
  <c r="J11" i="97"/>
  <c r="I9" i="97"/>
  <c r="C42" i="94"/>
  <c r="J43" i="94"/>
  <c r="C43" i="94" s="1"/>
  <c r="C40" i="94"/>
  <c r="J15" i="97"/>
  <c r="K24" i="97"/>
  <c r="J22" i="97"/>
  <c r="L14" i="97"/>
  <c r="M23" i="97"/>
  <c r="K4" i="97"/>
  <c r="L10" i="97"/>
  <c r="I13" i="97"/>
  <c r="I55" i="98"/>
  <c r="K56" i="98"/>
  <c r="H3" i="97"/>
  <c r="I15" i="103"/>
  <c r="I13" i="103" s="1"/>
  <c r="I7" i="103" s="1"/>
  <c r="K16" i="103"/>
  <c r="K17" i="103" s="1"/>
  <c r="J55" i="98" l="1"/>
  <c r="J13" i="97"/>
  <c r="L56" i="98"/>
  <c r="J41" i="94"/>
  <c r="C41" i="94" s="1"/>
  <c r="M14" i="97"/>
  <c r="N23" i="97"/>
  <c r="L4" i="97"/>
  <c r="M10" i="97"/>
  <c r="I44" i="98"/>
  <c r="J32" i="105" s="1"/>
  <c r="J30" i="105" s="1"/>
  <c r="J23" i="105"/>
  <c r="L16" i="103"/>
  <c r="L17" i="103" s="1"/>
  <c r="J5" i="97"/>
  <c r="K11" i="97"/>
  <c r="J9" i="97"/>
  <c r="C41" i="129"/>
  <c r="H24" i="102"/>
  <c r="K15" i="97"/>
  <c r="L24" i="97"/>
  <c r="K22" i="97"/>
  <c r="J15" i="103"/>
  <c r="J13" i="103" s="1"/>
  <c r="J7" i="103" s="1"/>
  <c r="I3" i="97"/>
  <c r="I24" i="102" l="1"/>
  <c r="I23" i="102" s="1"/>
  <c r="N14" i="97"/>
  <c r="O23" i="97"/>
  <c r="E31" i="46"/>
  <c r="E31" i="106"/>
  <c r="G41" i="123"/>
  <c r="C20" i="104"/>
  <c r="H23" i="102"/>
  <c r="M56" i="98"/>
  <c r="M16" i="103"/>
  <c r="M17" i="103" s="1"/>
  <c r="M4" i="97"/>
  <c r="N10" i="97"/>
  <c r="K5" i="97"/>
  <c r="L11" i="97"/>
  <c r="K9" i="97"/>
  <c r="K55" i="98"/>
  <c r="K13" i="97"/>
  <c r="D18" i="104"/>
  <c r="I9" i="102"/>
  <c r="I8" i="102" s="1"/>
  <c r="J38" i="105"/>
  <c r="D38" i="129"/>
  <c r="D41" i="129"/>
  <c r="L15" i="97"/>
  <c r="M24" i="97"/>
  <c r="L22" i="97"/>
  <c r="K15" i="103"/>
  <c r="K13" i="103" s="1"/>
  <c r="K7" i="103" s="1"/>
  <c r="J3" i="97"/>
  <c r="J44" i="98"/>
  <c r="K32" i="105" s="1"/>
  <c r="K30" i="105" s="1"/>
  <c r="K23" i="105"/>
  <c r="D20" i="104" l="1"/>
  <c r="F15" i="106" s="1"/>
  <c r="F31" i="46"/>
  <c r="F31" i="106"/>
  <c r="H41" i="123"/>
  <c r="H9" i="123" s="1"/>
  <c r="J24" i="102"/>
  <c r="I41" i="123" s="1"/>
  <c r="I9" i="123" s="1"/>
  <c r="N16" i="103"/>
  <c r="N17" i="103" s="1"/>
  <c r="O14" i="97"/>
  <c r="P23" i="97"/>
  <c r="N56" i="98"/>
  <c r="L55" i="98"/>
  <c r="L13" i="97"/>
  <c r="L5" i="97"/>
  <c r="M11" i="97"/>
  <c r="L9" i="97"/>
  <c r="C54" i="129"/>
  <c r="C56" i="129" s="1"/>
  <c r="G42" i="123"/>
  <c r="G10" i="123" s="1"/>
  <c r="F15" i="46"/>
  <c r="J9" i="102"/>
  <c r="J8" i="102" s="1"/>
  <c r="E38" i="129"/>
  <c r="E18" i="104"/>
  <c r="K38" i="105"/>
  <c r="L15" i="103"/>
  <c r="L13" i="103" s="1"/>
  <c r="L7" i="103" s="1"/>
  <c r="K3" i="97"/>
  <c r="E15" i="46"/>
  <c r="E15" i="106"/>
  <c r="C24" i="104"/>
  <c r="J64" i="105"/>
  <c r="J65" i="105" s="1"/>
  <c r="J58" i="105"/>
  <c r="J56" i="105"/>
  <c r="N4" i="97"/>
  <c r="O10" i="97"/>
  <c r="G9" i="123"/>
  <c r="K44" i="98"/>
  <c r="L32" i="105" s="1"/>
  <c r="L30" i="105" s="1"/>
  <c r="L23" i="105"/>
  <c r="D52" i="129"/>
  <c r="H39" i="123"/>
  <c r="H7" i="123" s="1"/>
  <c r="E41" i="129"/>
  <c r="M15" i="97"/>
  <c r="N24" i="97"/>
  <c r="M22" i="97"/>
  <c r="F13" i="106"/>
  <c r="F13" i="46"/>
  <c r="D54" i="129"/>
  <c r="H42" i="123"/>
  <c r="H10" i="123" s="1"/>
  <c r="E20" i="104" l="1"/>
  <c r="G15" i="106" s="1"/>
  <c r="K24" i="102"/>
  <c r="H31" i="106" s="1"/>
  <c r="G31" i="106"/>
  <c r="G31" i="46"/>
  <c r="J23" i="102"/>
  <c r="E54" i="129" s="1"/>
  <c r="J71" i="105"/>
  <c r="H50" i="123" s="1"/>
  <c r="H22" i="123" s="1"/>
  <c r="H52" i="123"/>
  <c r="H24" i="123" s="1"/>
  <c r="J62" i="105"/>
  <c r="G13" i="46"/>
  <c r="G13" i="106"/>
  <c r="O56" i="98"/>
  <c r="M5" i="97"/>
  <c r="N11" i="97"/>
  <c r="M9" i="97"/>
  <c r="I39" i="123"/>
  <c r="I7" i="123" s="1"/>
  <c r="E52" i="129"/>
  <c r="M15" i="103"/>
  <c r="M13" i="103" s="1"/>
  <c r="M7" i="103" s="1"/>
  <c r="L3" i="97"/>
  <c r="O16" i="103"/>
  <c r="O4" i="97"/>
  <c r="P10" i="97"/>
  <c r="N15" i="97"/>
  <c r="O24" i="97"/>
  <c r="N22" i="97"/>
  <c r="L44" i="98"/>
  <c r="M32" i="105" s="1"/>
  <c r="M30" i="105" s="1"/>
  <c r="M23" i="105"/>
  <c r="C28" i="104"/>
  <c r="E18" i="46"/>
  <c r="E18" i="106"/>
  <c r="C27" i="104"/>
  <c r="M55" i="98"/>
  <c r="M13" i="97"/>
  <c r="K9" i="102"/>
  <c r="K8" i="102" s="1"/>
  <c r="F38" i="129"/>
  <c r="F18" i="104"/>
  <c r="L38" i="105"/>
  <c r="F41" i="129"/>
  <c r="I42" i="123"/>
  <c r="I10" i="123" s="1"/>
  <c r="D39" i="129"/>
  <c r="D37" i="129" s="1"/>
  <c r="I7" i="102"/>
  <c r="J46" i="105"/>
  <c r="J45" i="105" s="1"/>
  <c r="K58" i="105"/>
  <c r="K56" i="105"/>
  <c r="K64" i="105"/>
  <c r="K65" i="105" s="1"/>
  <c r="P14" i="97"/>
  <c r="Q23" i="97"/>
  <c r="J41" i="123" l="1"/>
  <c r="J9" i="123" s="1"/>
  <c r="K23" i="102"/>
  <c r="F54" i="129" s="1"/>
  <c r="F20" i="104"/>
  <c r="H15" i="106" s="1"/>
  <c r="H31" i="46"/>
  <c r="G15" i="46"/>
  <c r="L24" i="102"/>
  <c r="L23" i="102" s="1"/>
  <c r="N15" i="103"/>
  <c r="N13" i="103" s="1"/>
  <c r="N7" i="103" s="1"/>
  <c r="M3" i="97"/>
  <c r="M44" i="98"/>
  <c r="N32" i="105" s="1"/>
  <c r="N30" i="105" s="1"/>
  <c r="N23" i="105"/>
  <c r="O15" i="97"/>
  <c r="P24" i="97"/>
  <c r="O22" i="97"/>
  <c r="P56" i="98"/>
  <c r="C29" i="104"/>
  <c r="E21" i="106"/>
  <c r="E21" i="46"/>
  <c r="C32" i="104"/>
  <c r="H35" i="102" s="1"/>
  <c r="C33" i="104"/>
  <c r="N55" i="98"/>
  <c r="N13" i="97"/>
  <c r="G41" i="129"/>
  <c r="H15" i="46"/>
  <c r="J7" i="102"/>
  <c r="K46" i="105"/>
  <c r="K45" i="105" s="1"/>
  <c r="E39" i="129"/>
  <c r="E37" i="129" s="1"/>
  <c r="K71" i="105"/>
  <c r="I50" i="123" s="1"/>
  <c r="I22" i="123" s="1"/>
  <c r="I52" i="123"/>
  <c r="I24" i="123" s="1"/>
  <c r="K62" i="105"/>
  <c r="O17" i="103"/>
  <c r="P16" i="103" s="1"/>
  <c r="L64" i="105"/>
  <c r="L65" i="105" s="1"/>
  <c r="L58" i="105"/>
  <c r="L56" i="105"/>
  <c r="F29" i="46"/>
  <c r="D69" i="104"/>
  <c r="F29" i="106"/>
  <c r="J63" i="105"/>
  <c r="I21" i="102"/>
  <c r="J48" i="105"/>
  <c r="J55" i="105" s="1"/>
  <c r="H13" i="46"/>
  <c r="H13" i="106"/>
  <c r="P4" i="97"/>
  <c r="Q10" i="97"/>
  <c r="J39" i="123"/>
  <c r="J7" i="123" s="1"/>
  <c r="F52" i="129"/>
  <c r="Q14" i="97"/>
  <c r="R23" i="97"/>
  <c r="H37" i="123"/>
  <c r="D51" i="129"/>
  <c r="L9" i="102"/>
  <c r="L8" i="102" s="1"/>
  <c r="G38" i="129"/>
  <c r="G18" i="104"/>
  <c r="M38" i="105"/>
  <c r="O11" i="97"/>
  <c r="N5" i="97"/>
  <c r="N9" i="97"/>
  <c r="J42" i="123" l="1"/>
  <c r="J10" i="123" s="1"/>
  <c r="G20" i="104"/>
  <c r="I15" i="46" s="1"/>
  <c r="I31" i="46"/>
  <c r="I31" i="106"/>
  <c r="K41" i="123"/>
  <c r="K9" i="123" s="1"/>
  <c r="P17" i="103"/>
  <c r="Q16" i="103" s="1"/>
  <c r="F35" i="106"/>
  <c r="F30" i="106"/>
  <c r="H41" i="129"/>
  <c r="O15" i="103"/>
  <c r="O13" i="103" s="1"/>
  <c r="O7" i="103" s="1"/>
  <c r="N3" i="97"/>
  <c r="J21" i="102"/>
  <c r="K48" i="105"/>
  <c r="K55" i="105" s="1"/>
  <c r="N44" i="98"/>
  <c r="O32" i="105" s="1"/>
  <c r="O30" i="105" s="1"/>
  <c r="O23" i="105"/>
  <c r="O5" i="97"/>
  <c r="P11" i="97"/>
  <c r="O9" i="97"/>
  <c r="F35" i="46"/>
  <c r="F30" i="46"/>
  <c r="E51" i="129"/>
  <c r="I37" i="123"/>
  <c r="H36" i="102"/>
  <c r="H34" i="102" s="1"/>
  <c r="I53" i="103"/>
  <c r="P15" i="97"/>
  <c r="Q24" i="97"/>
  <c r="P22" i="97"/>
  <c r="R14" i="97"/>
  <c r="S23" i="97"/>
  <c r="Q56" i="98"/>
  <c r="L46" i="105"/>
  <c r="L45" i="105" s="1"/>
  <c r="K7" i="102"/>
  <c r="F39" i="129"/>
  <c r="F37" i="129" s="1"/>
  <c r="O55" i="98"/>
  <c r="O13" i="97"/>
  <c r="H5" i="123"/>
  <c r="M56" i="105"/>
  <c r="M64" i="105"/>
  <c r="M65" i="105" s="1"/>
  <c r="M58" i="105"/>
  <c r="I13" i="46"/>
  <c r="I13" i="106"/>
  <c r="J52" i="123"/>
  <c r="J24" i="123" s="1"/>
  <c r="L71" i="105"/>
  <c r="J50" i="123" s="1"/>
  <c r="J22" i="123" s="1"/>
  <c r="L62" i="105"/>
  <c r="M9" i="102"/>
  <c r="M8" i="102" s="1"/>
  <c r="H18" i="104"/>
  <c r="H38" i="129"/>
  <c r="N38" i="105"/>
  <c r="E69" i="104"/>
  <c r="G29" i="106"/>
  <c r="K63" i="105"/>
  <c r="G29" i="46"/>
  <c r="M24" i="102"/>
  <c r="J59" i="103"/>
  <c r="H53" i="123"/>
  <c r="H25" i="123" s="1"/>
  <c r="D17" i="104"/>
  <c r="K39" i="123"/>
  <c r="K7" i="123" s="1"/>
  <c r="G52" i="129"/>
  <c r="I18" i="102"/>
  <c r="D60" i="129"/>
  <c r="Q4" i="97"/>
  <c r="R10" i="97"/>
  <c r="G54" i="129"/>
  <c r="K42" i="123" l="1"/>
  <c r="K10" i="123" s="1"/>
  <c r="I15" i="106"/>
  <c r="Q17" i="103"/>
  <c r="R16" i="103" s="1"/>
  <c r="T23" i="97"/>
  <c r="S14" i="97"/>
  <c r="I5" i="123"/>
  <c r="N9" i="102"/>
  <c r="N8" i="102" s="1"/>
  <c r="I38" i="129"/>
  <c r="I18" i="104"/>
  <c r="O38" i="105"/>
  <c r="J13" i="106"/>
  <c r="J13" i="46"/>
  <c r="L39" i="123"/>
  <c r="L7" i="123" s="1"/>
  <c r="H52" i="129"/>
  <c r="R56" i="98"/>
  <c r="I53" i="123"/>
  <c r="I25" i="123" s="1"/>
  <c r="K59" i="103"/>
  <c r="E17" i="104"/>
  <c r="M71" i="105"/>
  <c r="K50" i="123" s="1"/>
  <c r="K22" i="123" s="1"/>
  <c r="K52" i="123"/>
  <c r="K24" i="123" s="1"/>
  <c r="M62" i="105"/>
  <c r="D55" i="129"/>
  <c r="D56" i="129" s="1"/>
  <c r="H29" i="46"/>
  <c r="L63" i="105"/>
  <c r="H29" i="106"/>
  <c r="F69" i="104"/>
  <c r="G39" i="129"/>
  <c r="G37" i="129" s="1"/>
  <c r="L7" i="102"/>
  <c r="M46" i="105"/>
  <c r="M45" i="105" s="1"/>
  <c r="E60" i="129"/>
  <c r="J18" i="102"/>
  <c r="F51" i="129"/>
  <c r="J37" i="123"/>
  <c r="Q15" i="97"/>
  <c r="R24" i="97"/>
  <c r="Q22" i="97"/>
  <c r="O44" i="98"/>
  <c r="P32" i="105" s="1"/>
  <c r="P30" i="105" s="1"/>
  <c r="P23" i="105"/>
  <c r="M23" i="102"/>
  <c r="L41" i="123"/>
  <c r="J31" i="46"/>
  <c r="H20" i="104"/>
  <c r="J31" i="106"/>
  <c r="K21" i="102"/>
  <c r="L48" i="105"/>
  <c r="L55" i="105" s="1"/>
  <c r="P55" i="98"/>
  <c r="P13" i="97"/>
  <c r="I41" i="129"/>
  <c r="F12" i="46"/>
  <c r="F12" i="106"/>
  <c r="D24" i="104"/>
  <c r="C46" i="129"/>
  <c r="I52" i="103"/>
  <c r="P5" i="97"/>
  <c r="Q11" i="97"/>
  <c r="P9" i="97"/>
  <c r="N24" i="102"/>
  <c r="G30" i="46"/>
  <c r="G35" i="46"/>
  <c r="G35" i="106"/>
  <c r="G30" i="106"/>
  <c r="R4" i="97"/>
  <c r="S10" i="97"/>
  <c r="N58" i="105"/>
  <c r="N64" i="105"/>
  <c r="N65" i="105" s="1"/>
  <c r="N56" i="105"/>
  <c r="P15" i="103"/>
  <c r="P13" i="103" s="1"/>
  <c r="P7" i="103" s="1"/>
  <c r="O3" i="97"/>
  <c r="R17" i="103" l="1"/>
  <c r="S16" i="103" s="1"/>
  <c r="J41" i="129"/>
  <c r="O24" i="102"/>
  <c r="J15" i="106"/>
  <c r="J15" i="46"/>
  <c r="Q55" i="98"/>
  <c r="Q13" i="97"/>
  <c r="K37" i="123"/>
  <c r="G51" i="129"/>
  <c r="I29" i="46"/>
  <c r="G69" i="104"/>
  <c r="M63" i="105"/>
  <c r="I29" i="106"/>
  <c r="M39" i="123"/>
  <c r="M7" i="123" s="1"/>
  <c r="I52" i="129"/>
  <c r="J5" i="123"/>
  <c r="L9" i="123"/>
  <c r="F18" i="106"/>
  <c r="F18" i="46"/>
  <c r="D28" i="104"/>
  <c r="D27" i="104"/>
  <c r="H54" i="129"/>
  <c r="L42" i="123"/>
  <c r="L10" i="123" s="1"/>
  <c r="H35" i="106"/>
  <c r="H30" i="106"/>
  <c r="G12" i="106"/>
  <c r="G12" i="46"/>
  <c r="E24" i="104"/>
  <c r="S56" i="98"/>
  <c r="M7" i="102"/>
  <c r="H39" i="129"/>
  <c r="H37" i="129" s="1"/>
  <c r="N46" i="105"/>
  <c r="N45" i="105" s="1"/>
  <c r="N71" i="105"/>
  <c r="L50" i="123" s="1"/>
  <c r="L22" i="123" s="1"/>
  <c r="L52" i="123"/>
  <c r="L24" i="123" s="1"/>
  <c r="N62" i="105"/>
  <c r="I20" i="104"/>
  <c r="N23" i="102"/>
  <c r="K31" i="46"/>
  <c r="K31" i="106"/>
  <c r="M41" i="123"/>
  <c r="M9" i="123" s="1"/>
  <c r="P44" i="98"/>
  <c r="Q32" i="105" s="1"/>
  <c r="Q30" i="105" s="1"/>
  <c r="Q23" i="105"/>
  <c r="O9" i="102"/>
  <c r="O8" i="102" s="1"/>
  <c r="J38" i="129"/>
  <c r="J18" i="104"/>
  <c r="P38" i="105"/>
  <c r="T10" i="97"/>
  <c r="S4" i="97"/>
  <c r="E55" i="129"/>
  <c r="E56" i="129" s="1"/>
  <c r="H30" i="46"/>
  <c r="H35" i="46"/>
  <c r="O64" i="105"/>
  <c r="O65" i="105" s="1"/>
  <c r="O56" i="105"/>
  <c r="O58" i="105"/>
  <c r="T14" i="97"/>
  <c r="U23" i="97"/>
  <c r="H29" i="102"/>
  <c r="Q5" i="97"/>
  <c r="R11" i="97"/>
  <c r="Q9" i="97"/>
  <c r="F60" i="129"/>
  <c r="K18" i="102"/>
  <c r="K13" i="106"/>
  <c r="K13" i="46"/>
  <c r="J53" i="123"/>
  <c r="J25" i="123" s="1"/>
  <c r="L59" i="103"/>
  <c r="F17" i="104"/>
  <c r="Q15" i="103"/>
  <c r="Q13" i="103" s="1"/>
  <c r="Q7" i="103" s="1"/>
  <c r="P3" i="97"/>
  <c r="R15" i="97"/>
  <c r="S24" i="97"/>
  <c r="R22" i="97"/>
  <c r="L21" i="102"/>
  <c r="M48" i="105"/>
  <c r="M55" i="105" s="1"/>
  <c r="D5" i="108" l="1"/>
  <c r="E5" i="108" s="1"/>
  <c r="S17" i="103"/>
  <c r="T16" i="103" s="1"/>
  <c r="R15" i="103"/>
  <c r="R13" i="103" s="1"/>
  <c r="R7" i="103" s="1"/>
  <c r="Q3" i="97"/>
  <c r="T4" i="97"/>
  <c r="U10" i="97"/>
  <c r="P64" i="105"/>
  <c r="P65" i="105" s="1"/>
  <c r="P56" i="105"/>
  <c r="P58" i="105"/>
  <c r="H51" i="129"/>
  <c r="L37" i="123"/>
  <c r="S15" i="97"/>
  <c r="T24" i="97"/>
  <c r="S22" i="97"/>
  <c r="L13" i="46"/>
  <c r="L13" i="106"/>
  <c r="I54" i="129"/>
  <c r="M42" i="123"/>
  <c r="M10" i="123" s="1"/>
  <c r="I30" i="46"/>
  <c r="I35" i="46"/>
  <c r="O23" i="102"/>
  <c r="N41" i="123"/>
  <c r="L31" i="106"/>
  <c r="L31" i="46"/>
  <c r="J20" i="104"/>
  <c r="K41" i="129"/>
  <c r="U14" i="97"/>
  <c r="V23" i="97"/>
  <c r="K15" i="46"/>
  <c r="K15" i="106"/>
  <c r="T56" i="98"/>
  <c r="J52" i="129"/>
  <c r="N39" i="123"/>
  <c r="N7" i="123" s="1"/>
  <c r="J29" i="46"/>
  <c r="H69" i="104"/>
  <c r="N63" i="105"/>
  <c r="J29" i="106"/>
  <c r="G18" i="106"/>
  <c r="E28" i="104"/>
  <c r="E27" i="104"/>
  <c r="G18" i="46"/>
  <c r="D29" i="104"/>
  <c r="D32" i="104"/>
  <c r="D33" i="104"/>
  <c r="F21" i="106"/>
  <c r="F21" i="46"/>
  <c r="P24" i="102"/>
  <c r="K18" i="104"/>
  <c r="K38" i="129"/>
  <c r="P9" i="102"/>
  <c r="P8" i="102" s="1"/>
  <c r="Q38" i="105"/>
  <c r="K5" i="123"/>
  <c r="R55" i="98"/>
  <c r="R13" i="97"/>
  <c r="K53" i="123"/>
  <c r="K25" i="123" s="1"/>
  <c r="M59" i="103"/>
  <c r="G17" i="104"/>
  <c r="H12" i="46"/>
  <c r="F24" i="104"/>
  <c r="H12" i="106"/>
  <c r="O71" i="105"/>
  <c r="M50" i="123" s="1"/>
  <c r="M22" i="123" s="1"/>
  <c r="M52" i="123"/>
  <c r="M24" i="123" s="1"/>
  <c r="O62" i="105"/>
  <c r="F55" i="129"/>
  <c r="F56" i="129" s="1"/>
  <c r="G60" i="129"/>
  <c r="L18" i="102"/>
  <c r="R5" i="97"/>
  <c r="S11" i="97"/>
  <c r="R9" i="97"/>
  <c r="I39" i="129"/>
  <c r="I37" i="129" s="1"/>
  <c r="O46" i="105"/>
  <c r="O45" i="105" s="1"/>
  <c r="N7" i="102"/>
  <c r="M21" i="102"/>
  <c r="N48" i="105"/>
  <c r="N55" i="105" s="1"/>
  <c r="I35" i="106"/>
  <c r="I30" i="106"/>
  <c r="Q44" i="98"/>
  <c r="R32" i="105" s="1"/>
  <c r="R30" i="105" s="1"/>
  <c r="R23" i="105"/>
  <c r="D5" i="126" l="1"/>
  <c r="E5" i="126" s="1"/>
  <c r="T17" i="103"/>
  <c r="U16" i="103" s="1"/>
  <c r="Q9" i="102"/>
  <c r="Q8" i="102" s="1"/>
  <c r="L18" i="104"/>
  <c r="L38" i="129"/>
  <c r="R38" i="105"/>
  <c r="Q24" i="102"/>
  <c r="L5" i="123"/>
  <c r="J30" i="106"/>
  <c r="J35" i="106"/>
  <c r="V10" i="97"/>
  <c r="U4" i="97"/>
  <c r="Q64" i="105"/>
  <c r="Q65" i="105" s="1"/>
  <c r="Q58" i="105"/>
  <c r="Q56" i="105"/>
  <c r="I36" i="102"/>
  <c r="J53" i="103"/>
  <c r="L15" i="46"/>
  <c r="L15" i="106"/>
  <c r="K29" i="46"/>
  <c r="I69" i="104"/>
  <c r="K29" i="106"/>
  <c r="O63" i="105"/>
  <c r="O39" i="123"/>
  <c r="O7" i="123" s="1"/>
  <c r="K52" i="129"/>
  <c r="I35" i="102"/>
  <c r="I58" i="103"/>
  <c r="N52" i="123"/>
  <c r="N24" i="123" s="1"/>
  <c r="P71" i="105"/>
  <c r="N50" i="123" s="1"/>
  <c r="N22" i="123" s="1"/>
  <c r="P62" i="105"/>
  <c r="L53" i="123"/>
  <c r="L25" i="123" s="1"/>
  <c r="N59" i="103"/>
  <c r="H17" i="104"/>
  <c r="G55" i="129"/>
  <c r="G56" i="129" s="1"/>
  <c r="J35" i="46"/>
  <c r="J30" i="46"/>
  <c r="V14" i="97"/>
  <c r="W23" i="97"/>
  <c r="P46" i="105"/>
  <c r="P45" i="105" s="1"/>
  <c r="O7" i="102"/>
  <c r="J39" i="129"/>
  <c r="J37" i="129" s="1"/>
  <c r="I12" i="46"/>
  <c r="I12" i="106"/>
  <c r="G24" i="104"/>
  <c r="H60" i="129"/>
  <c r="M18" i="102"/>
  <c r="R44" i="98"/>
  <c r="S32" i="105" s="1"/>
  <c r="S30" i="105" s="1"/>
  <c r="S23" i="105"/>
  <c r="M13" i="46"/>
  <c r="M13" i="106"/>
  <c r="U56" i="98"/>
  <c r="N9" i="123"/>
  <c r="L41" i="129"/>
  <c r="S15" i="103"/>
  <c r="S13" i="103" s="1"/>
  <c r="S7" i="103" s="1"/>
  <c r="R3" i="97"/>
  <c r="I51" i="129"/>
  <c r="M37" i="123"/>
  <c r="E32" i="104"/>
  <c r="J35" i="102" s="1"/>
  <c r="G21" i="46"/>
  <c r="G21" i="106"/>
  <c r="E29" i="104"/>
  <c r="E33" i="104"/>
  <c r="J36" i="102" s="1"/>
  <c r="N42" i="123"/>
  <c r="N10" i="123" s="1"/>
  <c r="J54" i="129"/>
  <c r="T15" i="97"/>
  <c r="U24" i="97"/>
  <c r="T22" i="97"/>
  <c r="S5" i="97"/>
  <c r="T11" i="97"/>
  <c r="S9" i="97"/>
  <c r="N21" i="102"/>
  <c r="O48" i="105"/>
  <c r="O55" i="105" s="1"/>
  <c r="F28" i="104"/>
  <c r="H18" i="46"/>
  <c r="F27" i="104"/>
  <c r="H18" i="106"/>
  <c r="M31" i="46"/>
  <c r="O41" i="123"/>
  <c r="O9" i="123" s="1"/>
  <c r="M31" i="106"/>
  <c r="P23" i="102"/>
  <c r="K20" i="104"/>
  <c r="S55" i="98"/>
  <c r="S13" i="97"/>
  <c r="I34" i="102" l="1"/>
  <c r="U17" i="103"/>
  <c r="V16" i="103" s="1"/>
  <c r="M53" i="123"/>
  <c r="M25" i="123" s="1"/>
  <c r="O59" i="103"/>
  <c r="I17" i="104"/>
  <c r="H55" i="129"/>
  <c r="H56" i="129" s="1"/>
  <c r="W14" i="97"/>
  <c r="X23" i="97"/>
  <c r="O52" i="123"/>
  <c r="O24" i="123" s="1"/>
  <c r="Q71" i="105"/>
  <c r="O50" i="123" s="1"/>
  <c r="O22" i="123" s="1"/>
  <c r="Q62" i="105"/>
  <c r="V56" i="98"/>
  <c r="J12" i="106"/>
  <c r="J12" i="46"/>
  <c r="H24" i="104"/>
  <c r="L20" i="104"/>
  <c r="N31" i="106"/>
  <c r="P41" i="123"/>
  <c r="P9" i="123" s="1"/>
  <c r="Q23" i="102"/>
  <c r="N31" i="46"/>
  <c r="I60" i="129"/>
  <c r="N18" i="102"/>
  <c r="G28" i="104"/>
  <c r="I18" i="46"/>
  <c r="I18" i="106"/>
  <c r="G27" i="104"/>
  <c r="R64" i="105"/>
  <c r="R65" i="105" s="1"/>
  <c r="R56" i="105"/>
  <c r="R58" i="105"/>
  <c r="T5" i="97"/>
  <c r="U11" i="97"/>
  <c r="T9" i="97"/>
  <c r="M41" i="129"/>
  <c r="V4" i="97"/>
  <c r="W10" i="97"/>
  <c r="T15" i="103"/>
  <c r="T13" i="103" s="1"/>
  <c r="T7" i="103" s="1"/>
  <c r="S3" i="97"/>
  <c r="R24" i="102"/>
  <c r="L29" i="46"/>
  <c r="P63" i="105"/>
  <c r="J69" i="104"/>
  <c r="L29" i="106"/>
  <c r="K30" i="106"/>
  <c r="K35" i="106"/>
  <c r="D46" i="129"/>
  <c r="J52" i="103"/>
  <c r="K53" i="103"/>
  <c r="N13" i="106"/>
  <c r="N13" i="46"/>
  <c r="S44" i="98"/>
  <c r="T32" i="105" s="1"/>
  <c r="T30" i="105" s="1"/>
  <c r="T23" i="105"/>
  <c r="F33" i="104"/>
  <c r="K36" i="102" s="1"/>
  <c r="F32" i="104"/>
  <c r="K35" i="102" s="1"/>
  <c r="F29" i="104"/>
  <c r="H21" i="106"/>
  <c r="H21" i="46"/>
  <c r="R9" i="102"/>
  <c r="R8" i="102" s="1"/>
  <c r="M38" i="129"/>
  <c r="M18" i="104"/>
  <c r="S38" i="105"/>
  <c r="P39" i="123"/>
  <c r="P7" i="123" s="1"/>
  <c r="L52" i="129"/>
  <c r="K54" i="129"/>
  <c r="O42" i="123"/>
  <c r="O10" i="123" s="1"/>
  <c r="J34" i="102"/>
  <c r="J51" i="129"/>
  <c r="N37" i="123"/>
  <c r="K35" i="46"/>
  <c r="K30" i="46"/>
  <c r="P7" i="102"/>
  <c r="K39" i="129"/>
  <c r="K37" i="129" s="1"/>
  <c r="Q46" i="105"/>
  <c r="Q45" i="105" s="1"/>
  <c r="U15" i="97"/>
  <c r="V24" i="97"/>
  <c r="U22" i="97"/>
  <c r="M15" i="106"/>
  <c r="M15" i="46"/>
  <c r="T55" i="98"/>
  <c r="T13" i="97"/>
  <c r="M5" i="123"/>
  <c r="O21" i="102"/>
  <c r="P48" i="105"/>
  <c r="P55" i="105" s="1"/>
  <c r="H30" i="102"/>
  <c r="J58" i="103"/>
  <c r="I48" i="103"/>
  <c r="S24" i="102" l="1"/>
  <c r="S23" i="102" s="1"/>
  <c r="V17" i="103"/>
  <c r="W16" i="103" s="1"/>
  <c r="W17" i="103" s="1"/>
  <c r="I30" i="102"/>
  <c r="D61" i="129" s="1"/>
  <c r="D63" i="129" s="1"/>
  <c r="K58" i="103"/>
  <c r="T44" i="98"/>
  <c r="U32" i="105" s="1"/>
  <c r="U30" i="105" s="1"/>
  <c r="U23" i="105"/>
  <c r="U55" i="98"/>
  <c r="U13" i="97"/>
  <c r="S56" i="105"/>
  <c r="S58" i="105"/>
  <c r="S64" i="105"/>
  <c r="S65" i="105" s="1"/>
  <c r="P21" i="102"/>
  <c r="Q48" i="105"/>
  <c r="Q55" i="105" s="1"/>
  <c r="O13" i="106"/>
  <c r="O13" i="46"/>
  <c r="X18" i="104"/>
  <c r="S9" i="102"/>
  <c r="S8" i="102" s="1"/>
  <c r="N38" i="129"/>
  <c r="N18" i="104"/>
  <c r="T38" i="105"/>
  <c r="N41" i="129"/>
  <c r="L54" i="129"/>
  <c r="P42" i="123"/>
  <c r="P10" i="123" s="1"/>
  <c r="U5" i="97"/>
  <c r="V11" i="97"/>
  <c r="U9" i="97"/>
  <c r="G29" i="104"/>
  <c r="G33" i="104"/>
  <c r="L36" i="102" s="1"/>
  <c r="I21" i="106"/>
  <c r="I21" i="46"/>
  <c r="G32" i="104"/>
  <c r="L35" i="102" s="1"/>
  <c r="C61" i="129"/>
  <c r="C63" i="129" s="1"/>
  <c r="H28" i="102"/>
  <c r="H31" i="102" s="1"/>
  <c r="J60" i="129"/>
  <c r="O18" i="102"/>
  <c r="O37" i="123"/>
  <c r="K51" i="129"/>
  <c r="Q39" i="123"/>
  <c r="Q7" i="123" s="1"/>
  <c r="M52" i="129"/>
  <c r="L30" i="106"/>
  <c r="L35" i="106"/>
  <c r="W4" i="97"/>
  <c r="X10" i="97"/>
  <c r="U15" i="103"/>
  <c r="U13" i="103" s="1"/>
  <c r="U7" i="103" s="1"/>
  <c r="T3" i="97"/>
  <c r="M29" i="106"/>
  <c r="M29" i="46"/>
  <c r="Q63" i="105"/>
  <c r="K69" i="104"/>
  <c r="K12" i="46"/>
  <c r="K12" i="106"/>
  <c r="I24" i="104"/>
  <c r="N53" i="123"/>
  <c r="N25" i="123" s="1"/>
  <c r="P59" i="103"/>
  <c r="J17" i="104"/>
  <c r="R71" i="105"/>
  <c r="P50" i="123" s="1"/>
  <c r="P22" i="123" s="1"/>
  <c r="P52" i="123"/>
  <c r="P24" i="123" s="1"/>
  <c r="R62" i="105"/>
  <c r="N15" i="46"/>
  <c r="N15" i="106"/>
  <c r="H28" i="104"/>
  <c r="J18" i="46"/>
  <c r="J18" i="106"/>
  <c r="H27" i="104"/>
  <c r="E46" i="129"/>
  <c r="K52" i="103"/>
  <c r="L53" i="103"/>
  <c r="L35" i="46"/>
  <c r="L30" i="46"/>
  <c r="L39" i="129"/>
  <c r="L37" i="129" s="1"/>
  <c r="Q7" i="102"/>
  <c r="R46" i="105"/>
  <c r="R45" i="105" s="1"/>
  <c r="I55" i="129"/>
  <c r="I56" i="129" s="1"/>
  <c r="X14" i="97"/>
  <c r="Y23" i="97"/>
  <c r="C45" i="129"/>
  <c r="I47" i="103"/>
  <c r="C44" i="129" s="1"/>
  <c r="V15" i="97"/>
  <c r="W24" i="97"/>
  <c r="V22" i="97"/>
  <c r="N5" i="123"/>
  <c r="K34" i="102"/>
  <c r="I29" i="102"/>
  <c r="J48" i="103"/>
  <c r="R23" i="102"/>
  <c r="M20" i="104"/>
  <c r="O31" i="106"/>
  <c r="O31" i="46"/>
  <c r="Q41" i="123"/>
  <c r="Q9" i="123" s="1"/>
  <c r="W56" i="98"/>
  <c r="I28" i="102" l="1"/>
  <c r="I31" i="102" s="1"/>
  <c r="H43" i="123" s="1"/>
  <c r="R41" i="123"/>
  <c r="R9" i="123" s="1"/>
  <c r="N20" i="104"/>
  <c r="P15" i="46" s="1"/>
  <c r="P31" i="46"/>
  <c r="P31" i="106"/>
  <c r="C50" i="129"/>
  <c r="I27" i="104"/>
  <c r="K18" i="46"/>
  <c r="K18" i="106"/>
  <c r="I28" i="104"/>
  <c r="O41" i="129"/>
  <c r="Q21" i="102"/>
  <c r="R48" i="105"/>
  <c r="R55" i="105" s="1"/>
  <c r="X4" i="97"/>
  <c r="Y10" i="97"/>
  <c r="T24" i="102"/>
  <c r="R7" i="102"/>
  <c r="M39" i="129"/>
  <c r="M37" i="129" s="1"/>
  <c r="S46" i="105"/>
  <c r="S45" i="105" s="1"/>
  <c r="X16" i="103"/>
  <c r="X17" i="103" s="1"/>
  <c r="H29" i="104"/>
  <c r="H32" i="104"/>
  <c r="M35" i="102" s="1"/>
  <c r="J21" i="106"/>
  <c r="H33" i="104"/>
  <c r="M36" i="102" s="1"/>
  <c r="J21" i="46"/>
  <c r="N29" i="106"/>
  <c r="N29" i="46"/>
  <c r="R63" i="105"/>
  <c r="L69" i="104"/>
  <c r="O5" i="123"/>
  <c r="L51" i="129"/>
  <c r="P37" i="123"/>
  <c r="J55" i="129"/>
  <c r="J56" i="129" s="1"/>
  <c r="U44" i="98"/>
  <c r="V32" i="105" s="1"/>
  <c r="V30" i="105" s="1"/>
  <c r="V23" i="105"/>
  <c r="T64" i="105"/>
  <c r="T65" i="105" s="1"/>
  <c r="T56" i="105"/>
  <c r="T58" i="105"/>
  <c r="O53" i="123"/>
  <c r="O25" i="123" s="1"/>
  <c r="K17" i="104"/>
  <c r="Q59" i="103"/>
  <c r="T9" i="102"/>
  <c r="T8" i="102" s="1"/>
  <c r="O18" i="104"/>
  <c r="O38" i="129"/>
  <c r="U38" i="105"/>
  <c r="J47" i="103"/>
  <c r="D44" i="129" s="1"/>
  <c r="D45" i="129"/>
  <c r="Y14" i="97"/>
  <c r="Z23" i="97"/>
  <c r="L12" i="46"/>
  <c r="L12" i="106"/>
  <c r="J24" i="104"/>
  <c r="M30" i="46"/>
  <c r="M35" i="46"/>
  <c r="H38" i="102"/>
  <c r="G43" i="123"/>
  <c r="H32" i="102"/>
  <c r="I41" i="103" s="1"/>
  <c r="V5" i="97"/>
  <c r="W11" i="97"/>
  <c r="V9" i="97"/>
  <c r="P13" i="46"/>
  <c r="P13" i="106"/>
  <c r="K60" i="129"/>
  <c r="P18" i="102"/>
  <c r="X56" i="98"/>
  <c r="O15" i="106"/>
  <c r="X20" i="104"/>
  <c r="O15" i="46"/>
  <c r="W15" i="97"/>
  <c r="X24" i="97"/>
  <c r="W22" i="97"/>
  <c r="F46" i="129"/>
  <c r="L52" i="103"/>
  <c r="M53" i="103"/>
  <c r="M35" i="106"/>
  <c r="M30" i="106"/>
  <c r="V15" i="103"/>
  <c r="V13" i="103" s="1"/>
  <c r="V7" i="103" s="1"/>
  <c r="U3" i="97"/>
  <c r="L58" i="103"/>
  <c r="J30" i="102"/>
  <c r="E61" i="129" s="1"/>
  <c r="E63" i="129" s="1"/>
  <c r="Q42" i="123"/>
  <c r="Q10" i="123" s="1"/>
  <c r="M54" i="129"/>
  <c r="V55" i="98"/>
  <c r="V13" i="97"/>
  <c r="J29" i="102"/>
  <c r="K48" i="103"/>
  <c r="L34" i="102"/>
  <c r="R39" i="123"/>
  <c r="R7" i="123" s="1"/>
  <c r="N52" i="129"/>
  <c r="S71" i="105"/>
  <c r="Q50" i="123" s="1"/>
  <c r="Q22" i="123" s="1"/>
  <c r="S62" i="105"/>
  <c r="Q52" i="123"/>
  <c r="Q24" i="123" s="1"/>
  <c r="N54" i="129"/>
  <c r="I38" i="102" l="1"/>
  <c r="R42" i="123"/>
  <c r="R10" i="123" s="1"/>
  <c r="U24" i="102"/>
  <c r="R31" i="106" s="1"/>
  <c r="P15" i="106"/>
  <c r="M34" i="102"/>
  <c r="D50" i="129"/>
  <c r="J28" i="102"/>
  <c r="J31" i="102" s="1"/>
  <c r="I43" i="123" s="1"/>
  <c r="Z14" i="97"/>
  <c r="AA23" i="97"/>
  <c r="Q13" i="46"/>
  <c r="Q13" i="106"/>
  <c r="Z10" i="97"/>
  <c r="Y4" i="97"/>
  <c r="M69" i="104"/>
  <c r="O29" i="46"/>
  <c r="S63" i="105"/>
  <c r="O29" i="106"/>
  <c r="W23" i="105"/>
  <c r="V44" i="98"/>
  <c r="W32" i="105" s="1"/>
  <c r="W30" i="105" s="1"/>
  <c r="J28" i="104"/>
  <c r="L18" i="46"/>
  <c r="L18" i="106"/>
  <c r="J27" i="104"/>
  <c r="S39" i="123"/>
  <c r="S7" i="123" s="1"/>
  <c r="O52" i="129"/>
  <c r="K47" i="103"/>
  <c r="E44" i="129" s="1"/>
  <c r="E45" i="129"/>
  <c r="W55" i="98"/>
  <c r="W13" i="97"/>
  <c r="Y56" i="98"/>
  <c r="M52" i="103"/>
  <c r="G46" i="129"/>
  <c r="N53" i="103"/>
  <c r="W5" i="97"/>
  <c r="X11" i="97"/>
  <c r="W9" i="97"/>
  <c r="U9" i="102"/>
  <c r="U8" i="102" s="1"/>
  <c r="T39" i="123" s="1"/>
  <c r="T7" i="123" s="1"/>
  <c r="P18" i="104"/>
  <c r="V38" i="105"/>
  <c r="Y16" i="103"/>
  <c r="N30" i="46"/>
  <c r="N35" i="46"/>
  <c r="R21" i="102"/>
  <c r="S48" i="105"/>
  <c r="S55" i="105" s="1"/>
  <c r="L17" i="104"/>
  <c r="P53" i="123"/>
  <c r="P25" i="123" s="1"/>
  <c r="R59" i="103"/>
  <c r="I22" i="103"/>
  <c r="C73" i="104"/>
  <c r="C70" i="104" s="1"/>
  <c r="E36" i="106"/>
  <c r="E33" i="106" s="1"/>
  <c r="E36" i="46"/>
  <c r="E33" i="46" s="1"/>
  <c r="I6" i="102"/>
  <c r="I32" i="102" s="1"/>
  <c r="J41" i="103" s="1"/>
  <c r="N35" i="106"/>
  <c r="N30" i="106"/>
  <c r="L60" i="129"/>
  <c r="Q18" i="102"/>
  <c r="L48" i="103"/>
  <c r="K29" i="102"/>
  <c r="W15" i="103"/>
  <c r="W13" i="103" s="1"/>
  <c r="W7" i="103" s="1"/>
  <c r="V3" i="97"/>
  <c r="M12" i="106"/>
  <c r="M12" i="46"/>
  <c r="K24" i="104"/>
  <c r="K30" i="102"/>
  <c r="F61" i="129" s="1"/>
  <c r="F63" i="129" s="1"/>
  <c r="M58" i="103"/>
  <c r="K55" i="129"/>
  <c r="K56" i="129" s="1"/>
  <c r="G11" i="123"/>
  <c r="G44" i="123"/>
  <c r="R52" i="123"/>
  <c r="R24" i="123" s="1"/>
  <c r="T71" i="105"/>
  <c r="R50" i="123" s="1"/>
  <c r="R22" i="123" s="1"/>
  <c r="T62" i="105"/>
  <c r="P5" i="123"/>
  <c r="Q37" i="123"/>
  <c r="M51" i="129"/>
  <c r="I29" i="104"/>
  <c r="I32" i="104"/>
  <c r="N35" i="102" s="1"/>
  <c r="K21" i="46"/>
  <c r="I33" i="104"/>
  <c r="N36" i="102" s="1"/>
  <c r="K21" i="106"/>
  <c r="Y24" i="97"/>
  <c r="X15" i="97"/>
  <c r="X22" i="97"/>
  <c r="U64" i="105"/>
  <c r="U65" i="105" s="1"/>
  <c r="U58" i="105"/>
  <c r="U56" i="105"/>
  <c r="N39" i="129"/>
  <c r="N37" i="129" s="1"/>
  <c r="S7" i="102"/>
  <c r="T46" i="105"/>
  <c r="T45" i="105" s="1"/>
  <c r="S41" i="123"/>
  <c r="S9" i="123" s="1"/>
  <c r="Q31" i="46"/>
  <c r="Q31" i="106"/>
  <c r="T23" i="102"/>
  <c r="O20" i="104"/>
  <c r="H11" i="123"/>
  <c r="H44" i="123"/>
  <c r="H12" i="123" s="1"/>
  <c r="T41" i="123" l="1"/>
  <c r="T9" i="123" s="1"/>
  <c r="P20" i="104"/>
  <c r="R15" i="106" s="1"/>
  <c r="U23" i="102"/>
  <c r="R31" i="46"/>
  <c r="J38" i="102"/>
  <c r="O54" i="129"/>
  <c r="S42" i="123"/>
  <c r="S10" i="123" s="1"/>
  <c r="T7" i="102"/>
  <c r="O39" i="129"/>
  <c r="O37" i="129" s="1"/>
  <c r="U46" i="105"/>
  <c r="U45" i="105" s="1"/>
  <c r="F36" i="106"/>
  <c r="F33" i="106" s="1"/>
  <c r="J22" i="103"/>
  <c r="F36" i="46"/>
  <c r="F33" i="46" s="1"/>
  <c r="J6" i="102"/>
  <c r="J32" i="102" s="1"/>
  <c r="K41" i="103" s="1"/>
  <c r="D73" i="104"/>
  <c r="D70" i="104" s="1"/>
  <c r="Q53" i="123"/>
  <c r="Q25" i="123" s="1"/>
  <c r="S59" i="103"/>
  <c r="M17" i="104"/>
  <c r="H46" i="129"/>
  <c r="N52" i="103"/>
  <c r="O53" i="103"/>
  <c r="Z56" i="98"/>
  <c r="K28" i="102"/>
  <c r="K31" i="102" s="1"/>
  <c r="R18" i="102"/>
  <c r="M60" i="129"/>
  <c r="I11" i="123"/>
  <c r="I44" i="123"/>
  <c r="I12" i="123" s="1"/>
  <c r="U71" i="105"/>
  <c r="S50" i="123" s="1"/>
  <c r="U62" i="105"/>
  <c r="S52" i="123"/>
  <c r="S24" i="123" s="1"/>
  <c r="L30" i="102"/>
  <c r="G61" i="129" s="1"/>
  <c r="G63" i="129" s="1"/>
  <c r="N58" i="103"/>
  <c r="F45" i="129"/>
  <c r="L47" i="103"/>
  <c r="F44" i="129" s="1"/>
  <c r="V56" i="105"/>
  <c r="V58" i="105"/>
  <c r="V64" i="105"/>
  <c r="V65" i="105" s="1"/>
  <c r="L29" i="102"/>
  <c r="M48" i="103"/>
  <c r="E50" i="129"/>
  <c r="L55" i="129"/>
  <c r="L56" i="129" s="1"/>
  <c r="R13" i="46"/>
  <c r="R13" i="106"/>
  <c r="Z4" i="97"/>
  <c r="AA10" i="97"/>
  <c r="K27" i="104"/>
  <c r="M18" i="106"/>
  <c r="K28" i="104"/>
  <c r="M18" i="46"/>
  <c r="C42" i="129"/>
  <c r="I6" i="103"/>
  <c r="Q18" i="104"/>
  <c r="V9" i="102"/>
  <c r="V8" i="102" s="1"/>
  <c r="U39" i="123" s="1"/>
  <c r="U7" i="123" s="1"/>
  <c r="W38" i="105"/>
  <c r="N34" i="102"/>
  <c r="S21" i="102"/>
  <c r="T48" i="105"/>
  <c r="T55" i="105" s="1"/>
  <c r="O30" i="106"/>
  <c r="O35" i="106"/>
  <c r="R37" i="123"/>
  <c r="N51" i="129"/>
  <c r="X55" i="98"/>
  <c r="X13" i="97"/>
  <c r="G12" i="123"/>
  <c r="Y11" i="97"/>
  <c r="X5" i="97"/>
  <c r="X9" i="97"/>
  <c r="W44" i="98"/>
  <c r="X32" i="105" s="1"/>
  <c r="X30" i="105" s="1"/>
  <c r="X23" i="105"/>
  <c r="AA14" i="97"/>
  <c r="AB23" i="97"/>
  <c r="P29" i="46"/>
  <c r="N69" i="104"/>
  <c r="P29" i="106"/>
  <c r="T63" i="105"/>
  <c r="Q15" i="106"/>
  <c r="Q15" i="46"/>
  <c r="Y15" i="97"/>
  <c r="Z24" i="97"/>
  <c r="Y22" i="97"/>
  <c r="Q5" i="123"/>
  <c r="N12" i="46"/>
  <c r="N12" i="106"/>
  <c r="L24" i="104"/>
  <c r="Y17" i="103"/>
  <c r="Z16" i="103" s="1"/>
  <c r="X15" i="103"/>
  <c r="X13" i="103" s="1"/>
  <c r="X7" i="103" s="1"/>
  <c r="W3" i="97"/>
  <c r="V24" i="102"/>
  <c r="J29" i="104"/>
  <c r="J32" i="104"/>
  <c r="O35" i="102" s="1"/>
  <c r="L21" i="46"/>
  <c r="L21" i="106"/>
  <c r="J33" i="104"/>
  <c r="O36" i="102" s="1"/>
  <c r="O30" i="46"/>
  <c r="O35" i="46"/>
  <c r="R15" i="46" l="1"/>
  <c r="T42" i="123"/>
  <c r="T10" i="123" s="1"/>
  <c r="F50" i="129"/>
  <c r="O34" i="102"/>
  <c r="W24" i="102"/>
  <c r="V41" i="123" s="1"/>
  <c r="V9" i="123" s="1"/>
  <c r="L28" i="102"/>
  <c r="L31" i="102" s="1"/>
  <c r="K43" i="123" s="1"/>
  <c r="Z17" i="103"/>
  <c r="AA16" i="103" s="1"/>
  <c r="G13" i="123"/>
  <c r="W56" i="105"/>
  <c r="W64" i="105"/>
  <c r="W65" i="105" s="1"/>
  <c r="W58" i="105"/>
  <c r="O12" i="46"/>
  <c r="O12" i="106"/>
  <c r="M24" i="104"/>
  <c r="X17" i="104"/>
  <c r="X24" i="104" s="1"/>
  <c r="AA56" i="98"/>
  <c r="M21" i="106"/>
  <c r="K29" i="104"/>
  <c r="K33" i="104"/>
  <c r="P36" i="102" s="1"/>
  <c r="K32" i="104"/>
  <c r="P35" i="102" s="1"/>
  <c r="M21" i="46"/>
  <c r="Q29" i="46"/>
  <c r="Q29" i="106"/>
  <c r="O69" i="104"/>
  <c r="U63" i="105"/>
  <c r="M55" i="129"/>
  <c r="M56" i="129" s="1"/>
  <c r="W9" i="102"/>
  <c r="W8" i="102" s="1"/>
  <c r="V39" i="123" s="1"/>
  <c r="V7" i="123" s="1"/>
  <c r="R18" i="104"/>
  <c r="X38" i="105"/>
  <c r="T52" i="123"/>
  <c r="T24" i="123" s="1"/>
  <c r="V71" i="105"/>
  <c r="T50" i="123" s="1"/>
  <c r="T22" i="123" s="1"/>
  <c r="V62" i="105"/>
  <c r="S22" i="123"/>
  <c r="D19" i="108"/>
  <c r="J43" i="123"/>
  <c r="K38" i="102"/>
  <c r="T21" i="102"/>
  <c r="U48" i="105"/>
  <c r="U55" i="105" s="1"/>
  <c r="T59" i="103"/>
  <c r="R53" i="123"/>
  <c r="R25" i="123" s="1"/>
  <c r="N17" i="104"/>
  <c r="I87" i="103"/>
  <c r="C40" i="129"/>
  <c r="C43" i="129" s="1"/>
  <c r="I90" i="103"/>
  <c r="C8" i="104" s="1"/>
  <c r="C13" i="104" s="1"/>
  <c r="AA4" i="97"/>
  <c r="AB10" i="97"/>
  <c r="V46" i="105"/>
  <c r="V45" i="105" s="1"/>
  <c r="U7" i="102"/>
  <c r="P30" i="106"/>
  <c r="P35" i="106"/>
  <c r="X44" i="98"/>
  <c r="Y32" i="105" s="1"/>
  <c r="Y30" i="105" s="1"/>
  <c r="Y23" i="105"/>
  <c r="N60" i="129"/>
  <c r="S18" i="102"/>
  <c r="E73" i="104"/>
  <c r="E70" i="104" s="1"/>
  <c r="G36" i="46"/>
  <c r="G33" i="46" s="1"/>
  <c r="K22" i="103"/>
  <c r="G36" i="106"/>
  <c r="G33" i="106" s="1"/>
  <c r="K6" i="102"/>
  <c r="K32" i="102" s="1"/>
  <c r="L41" i="103" s="1"/>
  <c r="S37" i="123"/>
  <c r="O51" i="129"/>
  <c r="Z15" i="97"/>
  <c r="AA24" i="97"/>
  <c r="Z22" i="97"/>
  <c r="O52" i="103"/>
  <c r="I46" i="129"/>
  <c r="P53" i="103"/>
  <c r="V23" i="102"/>
  <c r="Q20" i="104"/>
  <c r="U41" i="123"/>
  <c r="U9" i="123" s="1"/>
  <c r="Y15" i="103"/>
  <c r="Y13" i="103" s="1"/>
  <c r="Y7" i="103" s="1"/>
  <c r="X3" i="97"/>
  <c r="L28" i="104"/>
  <c r="N18" i="106"/>
  <c r="N18" i="46"/>
  <c r="L27" i="104"/>
  <c r="Y55" i="98"/>
  <c r="Y13" i="97"/>
  <c r="P35" i="46"/>
  <c r="P30" i="46"/>
  <c r="Y5" i="97"/>
  <c r="Z11" i="97"/>
  <c r="Y9" i="97"/>
  <c r="M47" i="103"/>
  <c r="G44" i="129" s="1"/>
  <c r="G45" i="129"/>
  <c r="M30" i="102"/>
  <c r="H61" i="129" s="1"/>
  <c r="H63" i="129" s="1"/>
  <c r="O58" i="103"/>
  <c r="M29" i="102"/>
  <c r="N48" i="103"/>
  <c r="D42" i="129"/>
  <c r="J6" i="103"/>
  <c r="AB14" i="97"/>
  <c r="R5" i="123"/>
  <c r="L38" i="102"/>
  <c r="R20" i="104" l="1"/>
  <c r="W23" i="102"/>
  <c r="V42" i="123" s="1"/>
  <c r="V10" i="123" s="1"/>
  <c r="G50" i="129"/>
  <c r="M28" i="102"/>
  <c r="M31" i="102" s="1"/>
  <c r="M38" i="102" s="1"/>
  <c r="P34" i="102"/>
  <c r="U42" i="123"/>
  <c r="U10" i="123" s="1"/>
  <c r="AA17" i="103"/>
  <c r="AB16" i="103" s="1"/>
  <c r="Z5" i="97"/>
  <c r="AA11" i="97"/>
  <c r="Z9" i="97"/>
  <c r="Z55" i="98"/>
  <c r="Z13" i="97"/>
  <c r="Z15" i="103"/>
  <c r="Z13" i="103" s="1"/>
  <c r="Z7" i="103" s="1"/>
  <c r="Y3" i="97"/>
  <c r="D13" i="126"/>
  <c r="E13" i="126" s="1"/>
  <c r="E19" i="108"/>
  <c r="F19" i="108" s="1"/>
  <c r="P58" i="103"/>
  <c r="N30" i="102"/>
  <c r="I61" i="129" s="1"/>
  <c r="I63" i="129" s="1"/>
  <c r="O48" i="103"/>
  <c r="N29" i="102"/>
  <c r="T37" i="123"/>
  <c r="P12" i="106"/>
  <c r="P12" i="46"/>
  <c r="N24" i="104"/>
  <c r="J46" i="129"/>
  <c r="P52" i="103"/>
  <c r="Q53" i="103"/>
  <c r="X24" i="102"/>
  <c r="S5" i="123"/>
  <c r="U21" i="102"/>
  <c r="U18" i="102" s="1"/>
  <c r="V48" i="105"/>
  <c r="V55" i="105" s="1"/>
  <c r="R29" i="46"/>
  <c r="R29" i="106"/>
  <c r="P69" i="104"/>
  <c r="V63" i="105"/>
  <c r="W62" i="105"/>
  <c r="W71" i="105"/>
  <c r="U50" i="123" s="1"/>
  <c r="U22" i="123" s="1"/>
  <c r="U52" i="123"/>
  <c r="U24" i="123" s="1"/>
  <c r="H45" i="129"/>
  <c r="N47" i="103"/>
  <c r="H44" i="129" s="1"/>
  <c r="J11" i="123"/>
  <c r="J44" i="123"/>
  <c r="AB56" i="98"/>
  <c r="Y44" i="98"/>
  <c r="Z32" i="105" s="1"/>
  <c r="Z30" i="105" s="1"/>
  <c r="Z23" i="105"/>
  <c r="N55" i="129"/>
  <c r="N56" i="129" s="1"/>
  <c r="AB4" i="97"/>
  <c r="E42" i="129"/>
  <c r="K6" i="103"/>
  <c r="H36" i="46"/>
  <c r="H33" i="46" s="1"/>
  <c r="H36" i="106"/>
  <c r="H33" i="106" s="1"/>
  <c r="F73" i="104"/>
  <c r="F70" i="104" s="1"/>
  <c r="L22" i="103"/>
  <c r="L6" i="102"/>
  <c r="L32" i="102" s="1"/>
  <c r="M41" i="103" s="1"/>
  <c r="S53" i="123"/>
  <c r="S25" i="123" s="1"/>
  <c r="U59" i="103"/>
  <c r="O17" i="104"/>
  <c r="Q35" i="106"/>
  <c r="Q30" i="106"/>
  <c r="K11" i="123"/>
  <c r="K44" i="123"/>
  <c r="K12" i="123" s="1"/>
  <c r="L29" i="104"/>
  <c r="N21" i="106"/>
  <c r="N21" i="46"/>
  <c r="L32" i="104"/>
  <c r="Q35" i="102" s="1"/>
  <c r="L33" i="104"/>
  <c r="Q36" i="102" s="1"/>
  <c r="J90" i="103"/>
  <c r="D8" i="104" s="1"/>
  <c r="D13" i="104" s="1"/>
  <c r="D40" i="129"/>
  <c r="D43" i="129" s="1"/>
  <c r="J87" i="103"/>
  <c r="AA15" i="97"/>
  <c r="AB24" i="97"/>
  <c r="AA22" i="97"/>
  <c r="X9" i="102"/>
  <c r="X8" i="102" s="1"/>
  <c r="W39" i="123" s="1"/>
  <c r="W7" i="123" s="1"/>
  <c r="S18" i="104"/>
  <c r="Y38" i="105"/>
  <c r="O60" i="129"/>
  <c r="T18" i="102"/>
  <c r="X58" i="105"/>
  <c r="X64" i="105"/>
  <c r="X65" i="105" s="1"/>
  <c r="X56" i="105"/>
  <c r="Q35" i="46"/>
  <c r="Q30" i="46"/>
  <c r="C37" i="104"/>
  <c r="C38" i="104" s="1"/>
  <c r="X27" i="104"/>
  <c r="D37" i="104" s="1"/>
  <c r="D38" i="104" s="1"/>
  <c r="W46" i="105"/>
  <c r="W45" i="105" s="1"/>
  <c r="V7" i="102"/>
  <c r="M27" i="104"/>
  <c r="O18" i="106"/>
  <c r="O18" i="46"/>
  <c r="M28" i="104"/>
  <c r="G14" i="123"/>
  <c r="H13" i="123"/>
  <c r="L43" i="123" l="1"/>
  <c r="L11" i="123" s="1"/>
  <c r="Q34" i="102"/>
  <c r="AB17" i="103"/>
  <c r="AC16" i="103" s="1"/>
  <c r="AC17" i="103" s="1"/>
  <c r="I36" i="106"/>
  <c r="I33" i="106" s="1"/>
  <c r="G73" i="104"/>
  <c r="G70" i="104" s="1"/>
  <c r="M22" i="103"/>
  <c r="I36" i="46"/>
  <c r="I33" i="46" s="1"/>
  <c r="M6" i="102"/>
  <c r="M32" i="102" s="1"/>
  <c r="N41" i="103" s="1"/>
  <c r="T53" i="123"/>
  <c r="T25" i="123" s="1"/>
  <c r="V59" i="103"/>
  <c r="P17" i="104"/>
  <c r="I45" i="129"/>
  <c r="O47" i="103"/>
  <c r="I44" i="129" s="1"/>
  <c r="F42" i="129"/>
  <c r="L6" i="103"/>
  <c r="Y9" i="102"/>
  <c r="Y8" i="102" s="1"/>
  <c r="X39" i="123" s="1"/>
  <c r="X7" i="123" s="1"/>
  <c r="T18" i="104"/>
  <c r="Z38" i="105"/>
  <c r="P18" i="106"/>
  <c r="P18" i="46"/>
  <c r="N28" i="104"/>
  <c r="N27" i="104"/>
  <c r="Y24" i="102"/>
  <c r="AB15" i="97"/>
  <c r="AB22" i="97"/>
  <c r="O24" i="104"/>
  <c r="Q12" i="46"/>
  <c r="Q12" i="106"/>
  <c r="AA23" i="105"/>
  <c r="Z44" i="98"/>
  <c r="AA32" i="105" s="1"/>
  <c r="AA30" i="105" s="1"/>
  <c r="U37" i="123"/>
  <c r="V21" i="102"/>
  <c r="V18" i="102" s="1"/>
  <c r="W48" i="105"/>
  <c r="W55" i="105" s="1"/>
  <c r="V52" i="123"/>
  <c r="V24" i="123" s="1"/>
  <c r="X62" i="105"/>
  <c r="X71" i="105"/>
  <c r="V50" i="123" s="1"/>
  <c r="V22" i="123" s="1"/>
  <c r="AA55" i="98"/>
  <c r="AA13" i="97"/>
  <c r="E40" i="129"/>
  <c r="E43" i="129" s="1"/>
  <c r="K90" i="103"/>
  <c r="E8" i="104" s="1"/>
  <c r="E13" i="104" s="1"/>
  <c r="K87" i="103"/>
  <c r="Q69" i="104"/>
  <c r="W63" i="105"/>
  <c r="M33" i="104"/>
  <c r="R36" i="102" s="1"/>
  <c r="M29" i="104"/>
  <c r="M32" i="104"/>
  <c r="R35" i="102" s="1"/>
  <c r="O21" i="106"/>
  <c r="O21" i="46"/>
  <c r="H14" i="123"/>
  <c r="I13" i="123"/>
  <c r="O55" i="129"/>
  <c r="O56" i="129" s="1"/>
  <c r="W41" i="123"/>
  <c r="W9" i="123" s="1"/>
  <c r="S20" i="104"/>
  <c r="X23" i="102"/>
  <c r="T5" i="123"/>
  <c r="O30" i="102"/>
  <c r="J61" i="129" s="1"/>
  <c r="J63" i="129" s="1"/>
  <c r="Q58" i="103"/>
  <c r="AB11" i="97"/>
  <c r="AA5" i="97"/>
  <c r="AA9" i="97"/>
  <c r="X46" i="105"/>
  <c r="X45" i="105" s="1"/>
  <c r="W7" i="102"/>
  <c r="J12" i="123"/>
  <c r="K46" i="129"/>
  <c r="Q52" i="103"/>
  <c r="R53" i="103"/>
  <c r="AA15" i="103"/>
  <c r="AA13" i="103" s="1"/>
  <c r="AA7" i="103" s="1"/>
  <c r="Z3" i="97"/>
  <c r="R30" i="106"/>
  <c r="R35" i="106"/>
  <c r="O29" i="102"/>
  <c r="P48" i="103"/>
  <c r="Y56" i="105"/>
  <c r="Y58" i="105"/>
  <c r="Y64" i="105"/>
  <c r="Y65" i="105" s="1"/>
  <c r="H50" i="129"/>
  <c r="R35" i="46"/>
  <c r="R30" i="46"/>
  <c r="N28" i="102"/>
  <c r="N31" i="102" s="1"/>
  <c r="L44" i="123" l="1"/>
  <c r="L12" i="123" s="1"/>
  <c r="W42" i="123"/>
  <c r="W10" i="123" s="1"/>
  <c r="AB5" i="97"/>
  <c r="AB9" i="97"/>
  <c r="O28" i="104"/>
  <c r="Q18" i="106"/>
  <c r="Q18" i="46"/>
  <c r="O27" i="104"/>
  <c r="Z64" i="105"/>
  <c r="Z65" i="105" s="1"/>
  <c r="Z56" i="105"/>
  <c r="Z58" i="105"/>
  <c r="I50" i="129"/>
  <c r="G42" i="129"/>
  <c r="M6" i="103"/>
  <c r="Y71" i="105"/>
  <c r="W50" i="123" s="1"/>
  <c r="W22" i="123" s="1"/>
  <c r="W52" i="123"/>
  <c r="W24" i="123" s="1"/>
  <c r="Y62" i="105"/>
  <c r="P30" i="102"/>
  <c r="K61" i="129" s="1"/>
  <c r="K63" i="129" s="1"/>
  <c r="R58" i="103"/>
  <c r="U5" i="123"/>
  <c r="X7" i="102"/>
  <c r="Y46" i="105"/>
  <c r="Y45" i="105" s="1"/>
  <c r="I14" i="123"/>
  <c r="J13" i="123"/>
  <c r="AB55" i="98"/>
  <c r="AB13" i="97"/>
  <c r="R12" i="46"/>
  <c r="R12" i="106"/>
  <c r="P24" i="104"/>
  <c r="AA44" i="98"/>
  <c r="AB32" i="105" s="1"/>
  <c r="AB30" i="105" s="1"/>
  <c r="AB23" i="105"/>
  <c r="Y23" i="102"/>
  <c r="T20" i="104"/>
  <c r="X41" i="123"/>
  <c r="X9" i="123" s="1"/>
  <c r="Z9" i="102"/>
  <c r="Z8" i="102" s="1"/>
  <c r="Y39" i="123" s="1"/>
  <c r="Y7" i="123" s="1"/>
  <c r="U18" i="104"/>
  <c r="AA38" i="105"/>
  <c r="N33" i="104"/>
  <c r="S36" i="102" s="1"/>
  <c r="P21" i="46"/>
  <c r="P21" i="106"/>
  <c r="N32" i="104"/>
  <c r="S35" i="102" s="1"/>
  <c r="N29" i="104"/>
  <c r="F40" i="129"/>
  <c r="F43" i="129" s="1"/>
  <c r="L87" i="103"/>
  <c r="L90" i="103"/>
  <c r="F8" i="104" s="1"/>
  <c r="F13" i="104" s="1"/>
  <c r="M43" i="123"/>
  <c r="N38" i="102"/>
  <c r="V37" i="123"/>
  <c r="W21" i="102"/>
  <c r="W18" i="102" s="1"/>
  <c r="X48" i="105"/>
  <c r="X55" i="105" s="1"/>
  <c r="R69" i="104"/>
  <c r="X63" i="105"/>
  <c r="R52" i="103"/>
  <c r="L46" i="129"/>
  <c r="S53" i="103"/>
  <c r="R34" i="102"/>
  <c r="J36" i="46"/>
  <c r="J33" i="46" s="1"/>
  <c r="H73" i="104"/>
  <c r="H70" i="104" s="1"/>
  <c r="N22" i="103"/>
  <c r="J36" i="106"/>
  <c r="J33" i="106" s="1"/>
  <c r="N6" i="102"/>
  <c r="N32" i="102" s="1"/>
  <c r="O41" i="103" s="1"/>
  <c r="J45" i="129"/>
  <c r="P47" i="103"/>
  <c r="J44" i="129" s="1"/>
  <c r="O28" i="102"/>
  <c r="O31" i="102" s="1"/>
  <c r="Q48" i="103"/>
  <c r="P29" i="102"/>
  <c r="AB15" i="103"/>
  <c r="AB13" i="103" s="1"/>
  <c r="AB7" i="103" s="1"/>
  <c r="AA3" i="97"/>
  <c r="W59" i="103"/>
  <c r="U53" i="123"/>
  <c r="U25" i="123" s="1"/>
  <c r="Q17" i="104"/>
  <c r="Q24" i="104" s="1"/>
  <c r="Z24" i="102"/>
  <c r="X42" i="123" l="1"/>
  <c r="X10" i="123" s="1"/>
  <c r="AA24" i="102"/>
  <c r="V20" i="104" s="1"/>
  <c r="J50" i="129"/>
  <c r="P28" i="102"/>
  <c r="P31" i="102" s="1"/>
  <c r="O43" i="123" s="1"/>
  <c r="N43" i="123"/>
  <c r="O38" i="102"/>
  <c r="X21" i="102"/>
  <c r="X18" i="102" s="1"/>
  <c r="Y48" i="105"/>
  <c r="Y55" i="105" s="1"/>
  <c r="O32" i="104"/>
  <c r="T35" i="102" s="1"/>
  <c r="O33" i="104"/>
  <c r="T36" i="102" s="1"/>
  <c r="Q21" i="106"/>
  <c r="O29" i="104"/>
  <c r="Q21" i="46"/>
  <c r="V53" i="123"/>
  <c r="V25" i="123" s="1"/>
  <c r="X59" i="103"/>
  <c r="R17" i="104"/>
  <c r="R24" i="104" s="1"/>
  <c r="K36" i="46"/>
  <c r="K33" i="46" s="1"/>
  <c r="O22" i="103"/>
  <c r="I73" i="104"/>
  <c r="I70" i="104" s="1"/>
  <c r="K36" i="106"/>
  <c r="K33" i="106" s="1"/>
  <c r="O6" i="102"/>
  <c r="O32" i="102" s="1"/>
  <c r="P41" i="103" s="1"/>
  <c r="R48" i="103"/>
  <c r="Q29" i="102"/>
  <c r="W37" i="123"/>
  <c r="G40" i="129"/>
  <c r="G43" i="129" s="1"/>
  <c r="M90" i="103"/>
  <c r="G8" i="104" s="1"/>
  <c r="G13" i="104" s="1"/>
  <c r="M87" i="103"/>
  <c r="S34" i="102"/>
  <c r="M11" i="123"/>
  <c r="M44" i="123"/>
  <c r="H42" i="129"/>
  <c r="N6" i="103"/>
  <c r="V5" i="123"/>
  <c r="AB44" i="98"/>
  <c r="AC32" i="105" s="1"/>
  <c r="AC30" i="105" s="1"/>
  <c r="AC23" i="105"/>
  <c r="Z23" i="102"/>
  <c r="Y41" i="123"/>
  <c r="Y9" i="123" s="1"/>
  <c r="U20" i="104"/>
  <c r="Q28" i="104"/>
  <c r="Q27" i="104"/>
  <c r="AA9" i="102"/>
  <c r="AA8" i="102" s="1"/>
  <c r="Z39" i="123" s="1"/>
  <c r="Z7" i="123" s="1"/>
  <c r="V18" i="104"/>
  <c r="AB38" i="105"/>
  <c r="K13" i="123"/>
  <c r="J14" i="123"/>
  <c r="Q30" i="102"/>
  <c r="L61" i="129" s="1"/>
  <c r="L63" i="129" s="1"/>
  <c r="S58" i="103"/>
  <c r="Z71" i="105"/>
  <c r="X50" i="123" s="1"/>
  <c r="X22" i="123" s="1"/>
  <c r="X52" i="123"/>
  <c r="X24" i="123" s="1"/>
  <c r="Z62" i="105"/>
  <c r="AC15" i="103"/>
  <c r="AC13" i="103" s="1"/>
  <c r="AC7" i="103" s="1"/>
  <c r="AB3" i="97"/>
  <c r="AA64" i="105"/>
  <c r="AA65" i="105" s="1"/>
  <c r="AA58" i="105"/>
  <c r="AA56" i="105"/>
  <c r="R18" i="46"/>
  <c r="R18" i="106"/>
  <c r="P28" i="104"/>
  <c r="G6" i="104" s="1"/>
  <c r="G11" i="104" s="1"/>
  <c r="P27" i="104"/>
  <c r="Y63" i="105"/>
  <c r="S69" i="104"/>
  <c r="Z46" i="105"/>
  <c r="Z45" i="105" s="1"/>
  <c r="Y7" i="102"/>
  <c r="Q47" i="103"/>
  <c r="K44" i="129" s="1"/>
  <c r="K45" i="129"/>
  <c r="M46" i="129"/>
  <c r="S52" i="103"/>
  <c r="T53" i="103"/>
  <c r="P38" i="102" l="1"/>
  <c r="AA23" i="102"/>
  <c r="Z41" i="123"/>
  <c r="Z9" i="123" s="1"/>
  <c r="Y42" i="123"/>
  <c r="Y10" i="123" s="1"/>
  <c r="J6" i="104"/>
  <c r="L6" i="104"/>
  <c r="K50" i="129"/>
  <c r="Y21" i="102"/>
  <c r="Y18" i="102" s="1"/>
  <c r="Z48" i="105"/>
  <c r="Z55" i="105" s="1"/>
  <c r="AA46" i="105"/>
  <c r="AA45" i="105" s="1"/>
  <c r="Z7" i="102"/>
  <c r="H6" i="104"/>
  <c r="H11" i="104" s="1"/>
  <c r="Q28" i="102"/>
  <c r="Q31" i="102" s="1"/>
  <c r="L45" i="129"/>
  <c r="R47" i="103"/>
  <c r="L44" i="129" s="1"/>
  <c r="X37" i="123"/>
  <c r="R28" i="104"/>
  <c r="Q6" i="104" s="1"/>
  <c r="R27" i="104"/>
  <c r="R30" i="102"/>
  <c r="M61" i="129" s="1"/>
  <c r="M63" i="129" s="1"/>
  <c r="T58" i="103"/>
  <c r="Q33" i="104"/>
  <c r="V36" i="102" s="1"/>
  <c r="Q32" i="104"/>
  <c r="V35" i="102" s="1"/>
  <c r="Q29" i="104"/>
  <c r="K6" i="104"/>
  <c r="L36" i="46"/>
  <c r="L33" i="46" s="1"/>
  <c r="P22" i="103"/>
  <c r="L36" i="106"/>
  <c r="L33" i="106" s="1"/>
  <c r="J73" i="104"/>
  <c r="J70" i="104" s="1"/>
  <c r="P6" i="102"/>
  <c r="P32" i="102" s="1"/>
  <c r="Q41" i="103" s="1"/>
  <c r="N11" i="123"/>
  <c r="N44" i="123"/>
  <c r="N12" i="123" s="1"/>
  <c r="O11" i="123"/>
  <c r="O44" i="123"/>
  <c r="O12" i="123" s="1"/>
  <c r="R29" i="102"/>
  <c r="S48" i="103"/>
  <c r="AA71" i="105"/>
  <c r="Y50" i="123" s="1"/>
  <c r="Y22" i="123" s="1"/>
  <c r="Y52" i="123"/>
  <c r="Y24" i="123" s="1"/>
  <c r="AA62" i="105"/>
  <c r="H40" i="129"/>
  <c r="H43" i="129" s="1"/>
  <c r="N90" i="103"/>
  <c r="H8" i="104" s="1"/>
  <c r="H13" i="104" s="1"/>
  <c r="N87" i="103"/>
  <c r="P33" i="104"/>
  <c r="U36" i="102" s="1"/>
  <c r="P32" i="104"/>
  <c r="U35" i="102" s="1"/>
  <c r="R21" i="46"/>
  <c r="R21" i="106"/>
  <c r="P29" i="104"/>
  <c r="N7" i="104" s="1"/>
  <c r="P6" i="104"/>
  <c r="O6" i="104"/>
  <c r="E6" i="104"/>
  <c r="E11" i="104" s="1"/>
  <c r="D6" i="104"/>
  <c r="D11" i="104" s="1"/>
  <c r="C6" i="104"/>
  <c r="C11" i="104" s="1"/>
  <c r="F6" i="104"/>
  <c r="F11" i="104" s="1"/>
  <c r="M6" i="104"/>
  <c r="I6" i="104"/>
  <c r="I11" i="104" s="1"/>
  <c r="K14" i="123"/>
  <c r="L13" i="123"/>
  <c r="N6" i="104"/>
  <c r="AB24" i="102"/>
  <c r="W5" i="123"/>
  <c r="N46" i="129"/>
  <c r="T52" i="103"/>
  <c r="U53" i="103"/>
  <c r="AB58" i="105"/>
  <c r="AB56" i="105"/>
  <c r="AB64" i="105"/>
  <c r="AB65" i="105" s="1"/>
  <c r="AC38" i="105"/>
  <c r="AB9" i="102"/>
  <c r="AB8" i="102" s="1"/>
  <c r="AA39" i="123" s="1"/>
  <c r="AA7" i="123" s="1"/>
  <c r="W18" i="104"/>
  <c r="M12" i="123"/>
  <c r="I42" i="129"/>
  <c r="O6" i="103"/>
  <c r="W53" i="123"/>
  <c r="W25" i="123" s="1"/>
  <c r="Y59" i="103"/>
  <c r="S17" i="104"/>
  <c r="S24" i="104" s="1"/>
  <c r="T69" i="104"/>
  <c r="Z63" i="105"/>
  <c r="T34" i="102"/>
  <c r="J11" i="104" l="1"/>
  <c r="K7" i="104"/>
  <c r="K60" i="104" s="1"/>
  <c r="L2" i="104"/>
  <c r="Z42" i="123"/>
  <c r="Z10" i="123" s="1"/>
  <c r="V34" i="102"/>
  <c r="L7" i="104"/>
  <c r="L60" i="104" s="1"/>
  <c r="I7" i="104"/>
  <c r="I60" i="104" s="1"/>
  <c r="AB23" i="102"/>
  <c r="AA41" i="123"/>
  <c r="W20" i="104"/>
  <c r="Q22" i="103"/>
  <c r="M36" i="106"/>
  <c r="M33" i="106" s="1"/>
  <c r="M36" i="46"/>
  <c r="M33" i="46" s="1"/>
  <c r="Q6" i="102"/>
  <c r="Q32" i="102" s="1"/>
  <c r="R41" i="103" s="1"/>
  <c r="K73" i="104"/>
  <c r="K70" i="104" s="1"/>
  <c r="S28" i="104"/>
  <c r="S27" i="104"/>
  <c r="N2" i="104"/>
  <c r="N60" i="104"/>
  <c r="S30" i="102"/>
  <c r="N61" i="129" s="1"/>
  <c r="N63" i="129" s="1"/>
  <c r="U58" i="103"/>
  <c r="Q38" i="102"/>
  <c r="P43" i="123"/>
  <c r="M45" i="129"/>
  <c r="S47" i="103"/>
  <c r="M44" i="129" s="1"/>
  <c r="AC56" i="105"/>
  <c r="AC64" i="105"/>
  <c r="AC65" i="105" s="1"/>
  <c r="AC58" i="105"/>
  <c r="L14" i="123"/>
  <c r="M13" i="123"/>
  <c r="Q2" i="104"/>
  <c r="O2" i="104"/>
  <c r="P2" i="104"/>
  <c r="R28" i="102"/>
  <c r="R31" i="102" s="1"/>
  <c r="J42" i="129"/>
  <c r="P6" i="103"/>
  <c r="R32" i="104"/>
  <c r="W35" i="102" s="1"/>
  <c r="R33" i="104"/>
  <c r="W36" i="102" s="1"/>
  <c r="R29" i="104"/>
  <c r="Q7" i="104" s="1"/>
  <c r="Y37" i="123"/>
  <c r="I40" i="129"/>
  <c r="I43" i="129" s="1"/>
  <c r="O87" i="103"/>
  <c r="O90" i="103"/>
  <c r="I8" i="104" s="1"/>
  <c r="I13" i="104" s="1"/>
  <c r="AB46" i="105"/>
  <c r="AB45" i="105" s="1"/>
  <c r="AA7" i="102"/>
  <c r="J2" i="104"/>
  <c r="O7" i="104"/>
  <c r="P7" i="104"/>
  <c r="D7" i="104"/>
  <c r="C7" i="104"/>
  <c r="E7" i="104"/>
  <c r="G7" i="104"/>
  <c r="J7" i="104"/>
  <c r="H7" i="104"/>
  <c r="F7" i="104"/>
  <c r="M7" i="104"/>
  <c r="U69" i="104"/>
  <c r="AA63" i="105"/>
  <c r="Z21" i="102"/>
  <c r="Z18" i="102" s="1"/>
  <c r="AA48" i="105"/>
  <c r="AA55" i="105" s="1"/>
  <c r="T48" i="103"/>
  <c r="S29" i="102"/>
  <c r="K2" i="104"/>
  <c r="X5" i="123"/>
  <c r="Z59" i="103"/>
  <c r="X53" i="123"/>
  <c r="X25" i="123" s="1"/>
  <c r="T17" i="104"/>
  <c r="T24" i="104" s="1"/>
  <c r="Z52" i="123"/>
  <c r="Z24" i="123" s="1"/>
  <c r="AB62" i="105"/>
  <c r="AB71" i="105"/>
  <c r="Z50" i="123" s="1"/>
  <c r="Z22" i="123" s="1"/>
  <c r="M2" i="104"/>
  <c r="X6" i="104"/>
  <c r="U52" i="103"/>
  <c r="O46" i="129"/>
  <c r="V53" i="103"/>
  <c r="U34" i="102"/>
  <c r="L50" i="129"/>
  <c r="S28" i="102" l="1"/>
  <c r="S31" i="102" s="1"/>
  <c r="S38" i="102" s="1"/>
  <c r="I12" i="104"/>
  <c r="K11" i="104"/>
  <c r="K12" i="104"/>
  <c r="M50" i="129"/>
  <c r="AA42" i="123"/>
  <c r="AA10" i="123" s="1"/>
  <c r="V69" i="104"/>
  <c r="AB63" i="105"/>
  <c r="F60" i="104"/>
  <c r="F12" i="104"/>
  <c r="P60" i="104"/>
  <c r="H60" i="104"/>
  <c r="H12" i="104"/>
  <c r="Z37" i="123"/>
  <c r="AB7" i="102"/>
  <c r="AC46" i="105"/>
  <c r="AC45" i="105" s="1"/>
  <c r="N45" i="129"/>
  <c r="T47" i="103"/>
  <c r="N44" i="129" s="1"/>
  <c r="J12" i="104"/>
  <c r="J60" i="104"/>
  <c r="O60" i="104"/>
  <c r="AA21" i="102"/>
  <c r="AA18" i="102" s="1"/>
  <c r="AB48" i="105"/>
  <c r="AB55" i="105" s="1"/>
  <c r="W34" i="102"/>
  <c r="K42" i="129"/>
  <c r="Q6" i="103"/>
  <c r="P87" i="103"/>
  <c r="P90" i="103"/>
  <c r="J8" i="104" s="1"/>
  <c r="J13" i="104" s="1"/>
  <c r="J40" i="129"/>
  <c r="J43" i="129" s="1"/>
  <c r="Y53" i="123"/>
  <c r="Y25" i="123" s="1"/>
  <c r="AA59" i="103"/>
  <c r="U17" i="104"/>
  <c r="U24" i="104" s="1"/>
  <c r="E60" i="104"/>
  <c r="E12" i="104"/>
  <c r="N13" i="123"/>
  <c r="M14" i="123"/>
  <c r="P11" i="123"/>
  <c r="P44" i="123"/>
  <c r="S33" i="104"/>
  <c r="X36" i="102" s="1"/>
  <c r="S29" i="104"/>
  <c r="R7" i="104" s="1"/>
  <c r="S32" i="104"/>
  <c r="X35" i="102" s="1"/>
  <c r="G12" i="104"/>
  <c r="G60" i="104"/>
  <c r="C60" i="104"/>
  <c r="C12" i="104"/>
  <c r="R38" i="102"/>
  <c r="Q43" i="123"/>
  <c r="R6" i="104"/>
  <c r="Q60" i="104"/>
  <c r="V52" i="103"/>
  <c r="W53" i="103"/>
  <c r="D60" i="104"/>
  <c r="D12" i="104"/>
  <c r="AC71" i="105"/>
  <c r="AA50" i="123" s="1"/>
  <c r="AC62" i="105"/>
  <c r="AA52" i="123"/>
  <c r="V58" i="103"/>
  <c r="T30" i="102"/>
  <c r="O61" i="129" s="1"/>
  <c r="O63" i="129" s="1"/>
  <c r="AA9" i="123"/>
  <c r="AB41" i="123"/>
  <c r="D4" i="108" s="1"/>
  <c r="T28" i="104"/>
  <c r="T27" i="104"/>
  <c r="T29" i="102"/>
  <c r="U48" i="103"/>
  <c r="M60" i="104"/>
  <c r="X60" i="104" s="1"/>
  <c r="X7" i="104"/>
  <c r="Y5" i="123"/>
  <c r="R22" i="103"/>
  <c r="N36" i="106"/>
  <c r="N33" i="106" s="1"/>
  <c r="N36" i="46"/>
  <c r="N33" i="46" s="1"/>
  <c r="L73" i="104"/>
  <c r="R6" i="102"/>
  <c r="R32" i="102" s="1"/>
  <c r="S41" i="103" s="1"/>
  <c r="R43" i="123" l="1"/>
  <c r="R11" i="123" s="1"/>
  <c r="X34" i="102"/>
  <c r="N50" i="129"/>
  <c r="T32" i="104"/>
  <c r="Y35" i="102" s="1"/>
  <c r="T29" i="104"/>
  <c r="S7" i="104" s="1"/>
  <c r="T33" i="104"/>
  <c r="Y36" i="102" s="1"/>
  <c r="AA22" i="123"/>
  <c r="AB50" i="123"/>
  <c r="S6" i="104"/>
  <c r="P12" i="123"/>
  <c r="AB59" i="103"/>
  <c r="Z53" i="123"/>
  <c r="Z25" i="123" s="1"/>
  <c r="V17" i="104"/>
  <c r="V24" i="104" s="1"/>
  <c r="AB21" i="102"/>
  <c r="AB18" i="102" s="1"/>
  <c r="AC48" i="105"/>
  <c r="AC55" i="105" s="1"/>
  <c r="R2" i="104"/>
  <c r="AA37" i="123"/>
  <c r="R60" i="104"/>
  <c r="E4" i="108"/>
  <c r="D7" i="108"/>
  <c r="D4" i="126"/>
  <c r="E4" i="126" s="1"/>
  <c r="Z5" i="123"/>
  <c r="O36" i="106"/>
  <c r="O33" i="106" s="1"/>
  <c r="S22" i="103"/>
  <c r="O36" i="46"/>
  <c r="O33" i="46" s="1"/>
  <c r="M73" i="104"/>
  <c r="S6" i="102"/>
  <c r="S32" i="102" s="1"/>
  <c r="T41" i="103" s="1"/>
  <c r="W52" i="103"/>
  <c r="X53" i="103"/>
  <c r="N14" i="123"/>
  <c r="O13" i="123"/>
  <c r="U30" i="102"/>
  <c r="W58" i="103"/>
  <c r="V48" i="103"/>
  <c r="V47" i="103" s="1"/>
  <c r="U29" i="102"/>
  <c r="K40" i="129"/>
  <c r="K43" i="129" s="1"/>
  <c r="Q90" i="103"/>
  <c r="K8" i="104" s="1"/>
  <c r="K13" i="104" s="1"/>
  <c r="Q87" i="103"/>
  <c r="U47" i="103"/>
  <c r="O44" i="129" s="1"/>
  <c r="O45" i="129"/>
  <c r="AA24" i="123"/>
  <c r="AB52" i="123"/>
  <c r="Q11" i="123"/>
  <c r="Q44" i="123"/>
  <c r="Q12" i="123" s="1"/>
  <c r="L70" i="104"/>
  <c r="L11" i="104"/>
  <c r="L12" i="104"/>
  <c r="L42" i="129"/>
  <c r="R6" i="103"/>
  <c r="T28" i="102"/>
  <c r="T31" i="102" s="1"/>
  <c r="AC63" i="105"/>
  <c r="W69" i="104"/>
  <c r="U27" i="104"/>
  <c r="U28" i="104"/>
  <c r="R44" i="123" l="1"/>
  <c r="R12" i="123" s="1"/>
  <c r="V30" i="102"/>
  <c r="X58" i="103"/>
  <c r="T22" i="103"/>
  <c r="P36" i="46"/>
  <c r="P33" i="46" s="1"/>
  <c r="T6" i="102"/>
  <c r="T32" i="102" s="1"/>
  <c r="U41" i="103" s="1"/>
  <c r="N73" i="104"/>
  <c r="P36" i="106"/>
  <c r="P33" i="106" s="1"/>
  <c r="S2" i="104"/>
  <c r="M70" i="104"/>
  <c r="M11" i="104"/>
  <c r="X11" i="104" s="1"/>
  <c r="M12" i="104"/>
  <c r="X12" i="104" s="1"/>
  <c r="D6" i="126"/>
  <c r="E6" i="126" s="1"/>
  <c r="E7" i="108"/>
  <c r="AC59" i="103"/>
  <c r="AA53" i="123"/>
  <c r="W17" i="104"/>
  <c r="W24" i="104" s="1"/>
  <c r="U32" i="104"/>
  <c r="Z35" i="102" s="1"/>
  <c r="U33" i="104"/>
  <c r="Z36" i="102" s="1"/>
  <c r="U29" i="104"/>
  <c r="T7" i="104" s="1"/>
  <c r="O14" i="123"/>
  <c r="P13" i="123"/>
  <c r="M42" i="129"/>
  <c r="S6" i="103"/>
  <c r="V28" i="104"/>
  <c r="U6" i="104" s="1"/>
  <c r="V27" i="104"/>
  <c r="S43" i="123"/>
  <c r="T38" i="102"/>
  <c r="X52" i="103"/>
  <c r="Y53" i="103"/>
  <c r="Y34" i="102"/>
  <c r="O50" i="129"/>
  <c r="U28" i="102"/>
  <c r="U31" i="102" s="1"/>
  <c r="W48" i="103"/>
  <c r="W47" i="103" s="1"/>
  <c r="V29" i="102"/>
  <c r="AA5" i="123"/>
  <c r="S60" i="104"/>
  <c r="R90" i="103"/>
  <c r="L8" i="104" s="1"/>
  <c r="L13" i="104" s="1"/>
  <c r="L40" i="129"/>
  <c r="L43" i="129" s="1"/>
  <c r="R87" i="103"/>
  <c r="T6" i="104"/>
  <c r="V28" i="102" l="1"/>
  <c r="V31" i="102" s="1"/>
  <c r="U43" i="123" s="1"/>
  <c r="T43" i="123"/>
  <c r="U38" i="102"/>
  <c r="U22" i="103"/>
  <c r="Q36" i="106"/>
  <c r="Q33" i="106" s="1"/>
  <c r="Q36" i="46"/>
  <c r="Q33" i="46" s="1"/>
  <c r="O73" i="104"/>
  <c r="U6" i="102"/>
  <c r="U32" i="102" s="1"/>
  <c r="V41" i="103" s="1"/>
  <c r="U2" i="104"/>
  <c r="N42" i="129"/>
  <c r="T6" i="103"/>
  <c r="Y52" i="103"/>
  <c r="Z53" i="103"/>
  <c r="Z34" i="102"/>
  <c r="W30" i="102"/>
  <c r="Y58" i="103"/>
  <c r="N70" i="104"/>
  <c r="N11" i="104"/>
  <c r="N12" i="104"/>
  <c r="V32" i="104"/>
  <c r="AA35" i="102" s="1"/>
  <c r="V33" i="104"/>
  <c r="AA36" i="102" s="1"/>
  <c r="V29" i="104"/>
  <c r="W29" i="102"/>
  <c r="X48" i="103"/>
  <c r="X47" i="103" s="1"/>
  <c r="W28" i="104"/>
  <c r="W27" i="104"/>
  <c r="T2" i="104"/>
  <c r="S90" i="103"/>
  <c r="M8" i="104" s="1"/>
  <c r="M40" i="129"/>
  <c r="M43" i="129" s="1"/>
  <c r="S87" i="103"/>
  <c r="AA25" i="123"/>
  <c r="AB53" i="123"/>
  <c r="P14" i="123"/>
  <c r="Q13" i="123"/>
  <c r="T60" i="104"/>
  <c r="S11" i="123"/>
  <c r="S44" i="123"/>
  <c r="V38" i="102" l="1"/>
  <c r="W28" i="102"/>
  <c r="W31" i="102" s="1"/>
  <c r="W38" i="102" s="1"/>
  <c r="R36" i="46"/>
  <c r="R33" i="46" s="1"/>
  <c r="R36" i="106"/>
  <c r="R33" i="106" s="1"/>
  <c r="V6" i="102"/>
  <c r="V32" i="102" s="1"/>
  <c r="W41" i="103" s="1"/>
  <c r="V22" i="103"/>
  <c r="V6" i="103" s="1"/>
  <c r="P73" i="104"/>
  <c r="Z52" i="103"/>
  <c r="AA53" i="103"/>
  <c r="O70" i="104"/>
  <c r="O11" i="104"/>
  <c r="O12" i="104"/>
  <c r="Y48" i="103"/>
  <c r="Y47" i="103" s="1"/>
  <c r="X29" i="102"/>
  <c r="M13" i="104"/>
  <c r="X13" i="104" s="1"/>
  <c r="X8" i="104"/>
  <c r="Q14" i="123"/>
  <c r="R13" i="123"/>
  <c r="T87" i="103"/>
  <c r="N40" i="129"/>
  <c r="N43" i="129" s="1"/>
  <c r="T90" i="103"/>
  <c r="N8" i="104" s="1"/>
  <c r="N13" i="104" s="1"/>
  <c r="W33" i="104"/>
  <c r="AB36" i="102" s="1"/>
  <c r="W29" i="104"/>
  <c r="V7" i="104" s="1"/>
  <c r="W32" i="104"/>
  <c r="AB35" i="102" s="1"/>
  <c r="O42" i="129"/>
  <c r="U6" i="103"/>
  <c r="AA34" i="102"/>
  <c r="D20" i="108"/>
  <c r="S12" i="123"/>
  <c r="C40" i="104"/>
  <c r="V6" i="104"/>
  <c r="W6" i="104"/>
  <c r="Z58" i="103"/>
  <c r="X30" i="102"/>
  <c r="T11" i="123"/>
  <c r="T44" i="123"/>
  <c r="T12" i="123" s="1"/>
  <c r="U11" i="123"/>
  <c r="U44" i="123"/>
  <c r="U12" i="123" s="1"/>
  <c r="U7" i="104"/>
  <c r="V43" i="123" l="1"/>
  <c r="V11" i="123" s="1"/>
  <c r="U60" i="104"/>
  <c r="AA58" i="103"/>
  <c r="Y30" i="102"/>
  <c r="AB53" i="103"/>
  <c r="AA52" i="103"/>
  <c r="W2" i="104"/>
  <c r="AB34" i="102"/>
  <c r="Y29" i="102"/>
  <c r="Z48" i="103"/>
  <c r="Z47" i="103" s="1"/>
  <c r="V2" i="104"/>
  <c r="D40" i="104"/>
  <c r="D10" i="108" s="1"/>
  <c r="E10" i="108" s="1"/>
  <c r="W7" i="104"/>
  <c r="P70" i="104"/>
  <c r="P11" i="104"/>
  <c r="P12" i="104"/>
  <c r="X28" i="102"/>
  <c r="X31" i="102" s="1"/>
  <c r="W22" i="103"/>
  <c r="W6" i="103" s="1"/>
  <c r="W6" i="102"/>
  <c r="W32" i="102" s="1"/>
  <c r="X41" i="103" s="1"/>
  <c r="Q73" i="104"/>
  <c r="V90" i="103"/>
  <c r="P8" i="104" s="1"/>
  <c r="P13" i="104" s="1"/>
  <c r="V87" i="103"/>
  <c r="D14" i="126"/>
  <c r="E14" i="126" s="1"/>
  <c r="E20" i="108"/>
  <c r="U90" i="103"/>
  <c r="O8" i="104" s="1"/>
  <c r="O13" i="104" s="1"/>
  <c r="U87" i="103"/>
  <c r="O40" i="129"/>
  <c r="O43" i="129" s="1"/>
  <c r="R14" i="123"/>
  <c r="S13" i="123"/>
  <c r="V60" i="104"/>
  <c r="V44" i="123" l="1"/>
  <c r="V12" i="123" s="1"/>
  <c r="Q70" i="104"/>
  <c r="Q11" i="104"/>
  <c r="Q12" i="104"/>
  <c r="D12" i="108"/>
  <c r="X6" i="102"/>
  <c r="X32" i="102" s="1"/>
  <c r="Y41" i="103" s="1"/>
  <c r="X22" i="103"/>
  <c r="X6" i="103" s="1"/>
  <c r="R73" i="104"/>
  <c r="W87" i="103"/>
  <c r="W90" i="103"/>
  <c r="Q8" i="104" s="1"/>
  <c r="Q13" i="104" s="1"/>
  <c r="AA48" i="103"/>
  <c r="AA47" i="103" s="1"/>
  <c r="Z29" i="102"/>
  <c r="X38" i="102"/>
  <c r="W43" i="123"/>
  <c r="AC53" i="103"/>
  <c r="AC52" i="103" s="1"/>
  <c r="AB52" i="103"/>
  <c r="AB58" i="103"/>
  <c r="Z30" i="102"/>
  <c r="T13" i="123"/>
  <c r="S14" i="123"/>
  <c r="Y28" i="102"/>
  <c r="Y31" i="102" s="1"/>
  <c r="W60" i="104"/>
  <c r="AA29" i="102" l="1"/>
  <c r="AB48" i="103"/>
  <c r="AB47" i="103" s="1"/>
  <c r="R70" i="104"/>
  <c r="R11" i="104"/>
  <c r="R12" i="104"/>
  <c r="X87" i="103"/>
  <c r="X90" i="103"/>
  <c r="R8" i="104" s="1"/>
  <c r="R13" i="104" s="1"/>
  <c r="W11" i="123"/>
  <c r="W44" i="123"/>
  <c r="W12" i="123" s="1"/>
  <c r="Y22" i="103"/>
  <c r="Y6" i="103" s="1"/>
  <c r="S73" i="104"/>
  <c r="Y6" i="102"/>
  <c r="Y32" i="102" s="1"/>
  <c r="Z41" i="103" s="1"/>
  <c r="X43" i="123"/>
  <c r="Y38" i="102"/>
  <c r="AB29" i="102"/>
  <c r="Z28" i="102"/>
  <c r="Z31" i="102" s="1"/>
  <c r="O42" i="108"/>
  <c r="D65" i="108"/>
  <c r="D69" i="108"/>
  <c r="T14" i="123"/>
  <c r="U13" i="123"/>
  <c r="AC58" i="103"/>
  <c r="AB30" i="102" s="1"/>
  <c r="AA30" i="102"/>
  <c r="AB28" i="102" l="1"/>
  <c r="AB31" i="102" s="1"/>
  <c r="X11" i="123"/>
  <c r="X44" i="123"/>
  <c r="X12" i="123" s="1"/>
  <c r="Z22" i="103"/>
  <c r="Z6" i="103" s="1"/>
  <c r="T73" i="104"/>
  <c r="Z6" i="102"/>
  <c r="Z32" i="102" s="1"/>
  <c r="AA41" i="103" s="1"/>
  <c r="AC48" i="103"/>
  <c r="AC47" i="103" s="1"/>
  <c r="S70" i="104"/>
  <c r="S11" i="104"/>
  <c r="S12" i="104"/>
  <c r="Y87" i="103"/>
  <c r="Y90" i="103"/>
  <c r="S8" i="104" s="1"/>
  <c r="S13" i="104" s="1"/>
  <c r="V13" i="123"/>
  <c r="U14" i="123"/>
  <c r="Z38" i="102"/>
  <c r="Y43" i="123"/>
  <c r="AA28" i="102"/>
  <c r="AA31" i="102" s="1"/>
  <c r="Y11" i="123" l="1"/>
  <c r="Y44" i="123"/>
  <c r="Y12" i="123" s="1"/>
  <c r="T70" i="104"/>
  <c r="T12" i="104"/>
  <c r="T11" i="104"/>
  <c r="Z87" i="103"/>
  <c r="Z90" i="103"/>
  <c r="T8" i="104" s="1"/>
  <c r="T13" i="104" s="1"/>
  <c r="AA6" i="102"/>
  <c r="AA32" i="102" s="1"/>
  <c r="AB41" i="103" s="1"/>
  <c r="AA22" i="103"/>
  <c r="AA6" i="103" s="1"/>
  <c r="U73" i="104"/>
  <c r="V14" i="123"/>
  <c r="W13" i="123"/>
  <c r="AA38" i="102"/>
  <c r="Z43" i="123"/>
  <c r="AA43" i="123"/>
  <c r="AB38" i="102"/>
  <c r="Z11" i="123" l="1"/>
  <c r="Z44" i="123"/>
  <c r="Z12" i="123" s="1"/>
  <c r="AA11" i="123"/>
  <c r="AA44" i="123"/>
  <c r="AB6" i="102"/>
  <c r="AB32" i="102" s="1"/>
  <c r="AC41" i="103" s="1"/>
  <c r="V73" i="104"/>
  <c r="AB22" i="103"/>
  <c r="AB6" i="103" s="1"/>
  <c r="W14" i="123"/>
  <c r="X13" i="123"/>
  <c r="U70" i="104"/>
  <c r="U11" i="104"/>
  <c r="U12" i="104"/>
  <c r="AA87" i="103"/>
  <c r="AA90" i="103"/>
  <c r="U8" i="104" s="1"/>
  <c r="U13" i="104" s="1"/>
  <c r="AB90" i="103" l="1"/>
  <c r="V8" i="104" s="1"/>
  <c r="V13" i="104" s="1"/>
  <c r="AB87" i="103"/>
  <c r="W73" i="104"/>
  <c r="AC22" i="103"/>
  <c r="AC6" i="103" s="1"/>
  <c r="V70" i="104"/>
  <c r="V12" i="104"/>
  <c r="V11" i="104"/>
  <c r="AB12" i="123"/>
  <c r="AA12" i="123"/>
  <c r="AB44" i="123"/>
  <c r="D8" i="108" s="1"/>
  <c r="E8" i="108" s="1"/>
  <c r="Y13" i="123"/>
  <c r="X14" i="123"/>
  <c r="B27" i="123" l="1"/>
  <c r="D11" i="108"/>
  <c r="AC87" i="103"/>
  <c r="AC90" i="103"/>
  <c r="W8" i="104" s="1"/>
  <c r="W13" i="104" s="1"/>
  <c r="D70" i="108"/>
  <c r="W70" i="104"/>
  <c r="W11" i="104"/>
  <c r="W12" i="104"/>
  <c r="Z13" i="123"/>
  <c r="Y14" i="123"/>
  <c r="Z14" i="123" l="1"/>
  <c r="AA13" i="123"/>
  <c r="AA14" i="123" s="1"/>
  <c r="J33" i="108"/>
  <c r="D64" i="108"/>
  <c r="J24" i="108"/>
  <c r="J6" i="108"/>
  <c r="J15" i="108"/>
  <c r="D68" i="108"/>
  <c r="J42" i="108"/>
  <c r="B14" i="123" l="1"/>
  <c r="D13" i="108" s="1"/>
  <c r="D71" i="108" s="1"/>
  <c r="M25" i="108"/>
  <c r="M27" i="108"/>
  <c r="M7" i="108"/>
  <c r="M18" i="108"/>
  <c r="M30" i="108"/>
  <c r="M28" i="108"/>
  <c r="M26" i="108"/>
  <c r="M12" i="108"/>
  <c r="M9" i="108"/>
  <c r="M19" i="108"/>
  <c r="M29" i="108"/>
  <c r="M17" i="108"/>
  <c r="M16" i="108"/>
  <c r="M8" i="108"/>
  <c r="M10" i="108"/>
  <c r="M11" i="108"/>
  <c r="M21" i="108"/>
  <c r="M20" i="108"/>
  <c r="D66" i="10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ilavska</author>
  </authors>
  <commentList>
    <comment ref="C13" authorId="0" shapeId="0" xr:uid="{9BD0DADA-5E73-4491-B400-97A5A131789B}">
      <text>
        <r>
          <rPr>
            <b/>
            <sz val="9"/>
            <color rgb="FF000000"/>
            <rFont val="Tahoma"/>
            <family val="2"/>
          </rPr>
          <t>ilavska: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HPA zo ZZKE ktora končí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ilavska</author>
  </authors>
  <commentList>
    <comment ref="B67" authorId="0" shapeId="0" xr:uid="{11CA091F-FFF2-40EF-953F-BBA9ECAAA8AD}">
      <text>
        <r>
          <rPr>
            <b/>
            <sz val="9"/>
            <color indexed="81"/>
            <rFont val="Tahoma"/>
            <family val="2"/>
          </rPr>
          <t>ilavska:</t>
        </r>
        <r>
          <rPr>
            <sz val="9"/>
            <color indexed="81"/>
            <rFont val="Tahoma"/>
            <family val="2"/>
          </rPr>
          <t xml:space="preserve">
Zuctovanie transferov statneho rozpoctu  - u 353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ilavska</author>
  </authors>
  <commentList>
    <comment ref="E78" authorId="0" shapeId="0" xr:uid="{CE45F894-3525-4A9A-8790-08C0C8046AFB}">
      <text>
        <r>
          <rPr>
            <b/>
            <sz val="9"/>
            <color indexed="81"/>
            <rFont val="Tahoma"/>
            <family val="2"/>
          </rPr>
          <t>ilavska:</t>
        </r>
        <r>
          <rPr>
            <sz val="9"/>
            <color indexed="81"/>
            <rFont val="Tahoma"/>
            <family val="2"/>
          </rPr>
          <t xml:space="preserve">
doplnit viac info o kapitaciach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ilavska</author>
  </authors>
  <commentList>
    <comment ref="B67" authorId="0" shapeId="0" xr:uid="{44B02290-94CC-40BD-A7F2-E207FEAA3900}">
      <text>
        <r>
          <rPr>
            <b/>
            <sz val="9"/>
            <color indexed="81"/>
            <rFont val="Tahoma"/>
            <family val="2"/>
          </rPr>
          <t>ilavska:</t>
        </r>
        <r>
          <rPr>
            <sz val="9"/>
            <color indexed="81"/>
            <rFont val="Tahoma"/>
            <family val="2"/>
          </rPr>
          <t xml:space="preserve">
Zuctovanie transferov statneho rozpoctu  - u 353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ilavska</author>
  </authors>
  <commentList>
    <comment ref="E98" authorId="0" shapeId="0" xr:uid="{15887B9A-929F-42B0-ACFD-0CADF6C3CE31}">
      <text>
        <r>
          <rPr>
            <b/>
            <sz val="9"/>
            <color indexed="81"/>
            <rFont val="Tahoma"/>
            <family val="2"/>
          </rPr>
          <t>ilavska:</t>
        </r>
        <r>
          <rPr>
            <sz val="9"/>
            <color indexed="81"/>
            <rFont val="Tahoma"/>
            <family val="2"/>
          </rPr>
          <t xml:space="preserve">
doplnit viac info o kapitaciach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B9" authorId="0" shapeId="0" xr:uid="{913FCBC0-CC35-4846-BE63-CF95E060D13E}">
      <text>
        <r>
          <rPr>
            <b/>
            <sz val="9"/>
            <color indexed="81"/>
            <rFont val="Segoe UI"/>
            <family val="2"/>
          </rPr>
          <t>PC:</t>
        </r>
        <r>
          <rPr>
            <sz val="9"/>
            <color indexed="81"/>
            <rFont val="Segoe UI"/>
            <family val="2"/>
          </rPr>
          <t xml:space="preserve">
toto netuším čo sú za ľudia, ale kazia priemer..
Pracovali na odbore ošetrovateľstva 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<sst xmlns="http://schemas.openxmlformats.org/spreadsheetml/2006/main" count="14156" uniqueCount="3481">
  <si>
    <t>Reporting Currency:</t>
  </si>
  <si>
    <t>EUR</t>
  </si>
  <si>
    <t>Exit date</t>
  </si>
  <si>
    <t>Exit Date</t>
  </si>
  <si>
    <t>DCF - FCFE</t>
  </si>
  <si>
    <t>Nominal profit</t>
  </si>
  <si>
    <t>OPERATIONAL RESULTS (100% share)</t>
  </si>
  <si>
    <t>SALES</t>
  </si>
  <si>
    <t>y/y</t>
  </si>
  <si>
    <t>GROSS MARGIN</t>
  </si>
  <si>
    <t>margin</t>
  </si>
  <si>
    <t>ADJUSTED EBITDA</t>
  </si>
  <si>
    <t>CAPEX</t>
  </si>
  <si>
    <t>WORKING CAPITAL</t>
  </si>
  <si>
    <t>IC NET DEBT</t>
  </si>
  <si>
    <t>IC DEBT</t>
  </si>
  <si>
    <t>IC Debt to EBITDA multiple</t>
  </si>
  <si>
    <t>IC CASH</t>
  </si>
  <si>
    <t>Dividends</t>
  </si>
  <si>
    <t>Equity injection</t>
  </si>
  <si>
    <t>VALUATION  - DCF Model and Relative valuation</t>
  </si>
  <si>
    <t>Equity Values (100% share)</t>
  </si>
  <si>
    <t>Exit value - Liquidation</t>
  </si>
  <si>
    <t>Free cash flow calculation</t>
  </si>
  <si>
    <t>Stabilized year</t>
  </si>
  <si>
    <t>Net Income</t>
  </si>
  <si>
    <t>Depreciation</t>
  </si>
  <si>
    <t>Net increase of WC</t>
  </si>
  <si>
    <t>Change in LT receivables and payables</t>
  </si>
  <si>
    <t>Change in reserves</t>
  </si>
  <si>
    <t>Interests (net of Tax shield)</t>
  </si>
  <si>
    <t>FCFF</t>
  </si>
  <si>
    <t>Change in debt</t>
  </si>
  <si>
    <t>FCFE</t>
  </si>
  <si>
    <t>PV FCFF</t>
  </si>
  <si>
    <t>PV FCFE</t>
  </si>
  <si>
    <t>RESIDUAL VALUE</t>
  </si>
  <si>
    <t>PV RESIDUAL VALUE</t>
  </si>
  <si>
    <t>Long term growth</t>
  </si>
  <si>
    <t>Cost of equity</t>
  </si>
  <si>
    <t>Long</t>
  </si>
  <si>
    <t>RF rate</t>
  </si>
  <si>
    <t>Levered Beta</t>
  </si>
  <si>
    <t>Market premium</t>
  </si>
  <si>
    <t>Company risk</t>
  </si>
  <si>
    <t>Company Equity Rate</t>
  </si>
  <si>
    <t xml:space="preserve">DF </t>
  </si>
  <si>
    <t>DF_kumul</t>
  </si>
  <si>
    <t>Time lag</t>
  </si>
  <si>
    <t>MVE</t>
  </si>
  <si>
    <t>Effective Tax Rate</t>
  </si>
  <si>
    <t>WACC</t>
  </si>
  <si>
    <t>Cost of debt</t>
  </si>
  <si>
    <t>MVD</t>
  </si>
  <si>
    <t>Operational Results</t>
  </si>
  <si>
    <t>Sales</t>
  </si>
  <si>
    <t>Adjusted EBITDA</t>
  </si>
  <si>
    <t>Net Debt</t>
  </si>
  <si>
    <t>Debt</t>
  </si>
  <si>
    <t>CASH on accounts</t>
  </si>
  <si>
    <t>EBITDA</t>
  </si>
  <si>
    <t>EBIT</t>
  </si>
  <si>
    <t>Financial investments</t>
  </si>
  <si>
    <t>Inventories</t>
  </si>
  <si>
    <t>Liabilities</t>
  </si>
  <si>
    <t>Reserves</t>
  </si>
  <si>
    <t>BUSINESS PLAN - Balance Sheet</t>
  </si>
  <si>
    <t>F</t>
  </si>
  <si>
    <t>BALANCE SHEET</t>
  </si>
  <si>
    <t>TOTAL ASSETS</t>
  </si>
  <si>
    <t>Fixed assets</t>
  </si>
  <si>
    <t>Intangible fixed assets</t>
  </si>
  <si>
    <t>Software</t>
  </si>
  <si>
    <t>Licences, copyrights and other</t>
  </si>
  <si>
    <t>Goodwill</t>
  </si>
  <si>
    <t>Other intangible fixed assets</t>
  </si>
  <si>
    <t>Tangible fixed assets</t>
  </si>
  <si>
    <t>Land</t>
  </si>
  <si>
    <t>Buildings, halls and construction</t>
  </si>
  <si>
    <t>Machines, equipment, vehicles, fixtures</t>
  </si>
  <si>
    <t>Other tangible assets</t>
  </si>
  <si>
    <t>Investments in related companies</t>
  </si>
  <si>
    <t>Loans to related companies</t>
  </si>
  <si>
    <t>Other financial investments</t>
  </si>
  <si>
    <t>Current assets</t>
  </si>
  <si>
    <t>Material</t>
  </si>
  <si>
    <t>WIP and semi-finished products</t>
  </si>
  <si>
    <t>Finished products and goods</t>
  </si>
  <si>
    <t>Long-term receivables</t>
  </si>
  <si>
    <t>Trade receivables</t>
  </si>
  <si>
    <t>Receivables from shareholders</t>
  </si>
  <si>
    <t>Receivables in related companies</t>
  </si>
  <si>
    <t>Deferred tax receivables</t>
  </si>
  <si>
    <t>Other long-term receivables</t>
  </si>
  <si>
    <t>Short-term receivables</t>
  </si>
  <si>
    <t>Social security</t>
  </si>
  <si>
    <t>Due from state - tax receivable</t>
  </si>
  <si>
    <t>Short-term advanced payments</t>
  </si>
  <si>
    <t>Other receivables</t>
  </si>
  <si>
    <t>Financial assets - cash</t>
  </si>
  <si>
    <t>Other assets</t>
  </si>
  <si>
    <t>Prepaid expenses</t>
  </si>
  <si>
    <t>Deferred income</t>
  </si>
  <si>
    <t/>
  </si>
  <si>
    <t>TOTAL EQUTIY AND LIABILITIES</t>
  </si>
  <si>
    <t>Owner’s equity</t>
  </si>
  <si>
    <t>Registered capital</t>
  </si>
  <si>
    <t>Changes in registered capital</t>
  </si>
  <si>
    <t>Capital funds</t>
  </si>
  <si>
    <t>Differences from assets revaluation</t>
  </si>
  <si>
    <t>Reserve funds</t>
  </si>
  <si>
    <t>Obligatory reserve fund</t>
  </si>
  <si>
    <t>Statutory and other funds</t>
  </si>
  <si>
    <t>Retained earnings from previous years</t>
  </si>
  <si>
    <t>Profit/loss for the accounting period</t>
  </si>
  <si>
    <t>Obligatory reserves</t>
  </si>
  <si>
    <t>Income tax reserves</t>
  </si>
  <si>
    <t>Other reserves and provisions</t>
  </si>
  <si>
    <t>Long-term liabilities</t>
  </si>
  <si>
    <t>Trade payables</t>
  </si>
  <si>
    <t>Deferred tax payables</t>
  </si>
  <si>
    <t>Other long-term liabilities</t>
  </si>
  <si>
    <t>Short-term liabilities</t>
  </si>
  <si>
    <t>Payables to related companies</t>
  </si>
  <si>
    <t>Payables to shareholders</t>
  </si>
  <si>
    <t>Payroll payables</t>
  </si>
  <si>
    <t>Social security payables</t>
  </si>
  <si>
    <t>Due to state – tax and subsidies payables</t>
  </si>
  <si>
    <t>Other payables</t>
  </si>
  <si>
    <t>Other liabilities</t>
  </si>
  <si>
    <t>Deferred revenue</t>
  </si>
  <si>
    <t>Consistency check</t>
  </si>
  <si>
    <t>Liquidation value</t>
  </si>
  <si>
    <t>BUSINESS PLAN - Profit &amp; Loss Statement</t>
  </si>
  <si>
    <t>PROFIT &amp; LOSS STATEMENT</t>
  </si>
  <si>
    <t>Sales of goods</t>
  </si>
  <si>
    <t>Cost of goods sold</t>
  </si>
  <si>
    <t>Sale margin</t>
  </si>
  <si>
    <t>Production</t>
  </si>
  <si>
    <t>Revenues from own products and services</t>
  </si>
  <si>
    <t>Change in balance of inventory</t>
  </si>
  <si>
    <t>Production consumption</t>
  </si>
  <si>
    <t>Material and energy consumption</t>
  </si>
  <si>
    <t>Cost of services</t>
  </si>
  <si>
    <t>Value added</t>
  </si>
  <si>
    <t>Personnel costs</t>
  </si>
  <si>
    <t>Wages and salaries</t>
  </si>
  <si>
    <t>Remuneration of board members</t>
  </si>
  <si>
    <t>Social security costs</t>
  </si>
  <si>
    <t>Taxes and charges</t>
  </si>
  <si>
    <t>Depreciation of tangible and intangible assets</t>
  </si>
  <si>
    <t>Sale of property and material</t>
  </si>
  <si>
    <t>Sale of long-term property</t>
  </si>
  <si>
    <t>Sale of material</t>
  </si>
  <si>
    <t>Net book value of property and material sold</t>
  </si>
  <si>
    <t>Net book value of long-term property sold</t>
  </si>
  <si>
    <t>Net book value of material sold</t>
  </si>
  <si>
    <t>Changes in reserves, revenue accruals and deferrals</t>
  </si>
  <si>
    <t>Other operating revenues</t>
  </si>
  <si>
    <t>Other operating costs</t>
  </si>
  <si>
    <t>Operating profit/loss</t>
  </si>
  <si>
    <t>Revenue from financial investments</t>
  </si>
  <si>
    <t>Interest income</t>
  </si>
  <si>
    <t>Interest costs</t>
  </si>
  <si>
    <t>Other financial income</t>
  </si>
  <si>
    <t>Other financial costs</t>
  </si>
  <si>
    <t>Profit/loss from financial activities</t>
  </si>
  <si>
    <t>Income tax from ordinary activities</t>
  </si>
  <si>
    <t>Due for payment</t>
  </si>
  <si>
    <t>Deferred</t>
  </si>
  <si>
    <t>Profit / loss from ordinary activities</t>
  </si>
  <si>
    <t>Extraordinary revenues</t>
  </si>
  <si>
    <t>Extraordinary costs</t>
  </si>
  <si>
    <t>Income tax from extraordinary activities</t>
  </si>
  <si>
    <t>Profit/loss from extraordinary activities</t>
  </si>
  <si>
    <t>PROFIT / LOSS FOR THE ACCOUNTING PERIOD</t>
  </si>
  <si>
    <t>PROFIT/LOSS BEFORE TAX</t>
  </si>
  <si>
    <t>EBITDA margin</t>
  </si>
  <si>
    <t>EBIT margin</t>
  </si>
  <si>
    <t>BUSINESS PLAN - Cash Flow</t>
  </si>
  <si>
    <t>Cash flow statement</t>
  </si>
  <si>
    <t>Cash BoP</t>
  </si>
  <si>
    <t>Profit/loss before Tax</t>
  </si>
  <si>
    <t>Non-cash transactions</t>
  </si>
  <si>
    <t>Change in adjustments,  reserves and deffered charges</t>
  </si>
  <si>
    <t>Profit/loss from the sale of fixed assets (+/-)</t>
  </si>
  <si>
    <t>Dividends and profit shares received</t>
  </si>
  <si>
    <t>Recorded interest expense and revenue</t>
  </si>
  <si>
    <t>Changes in working capital</t>
  </si>
  <si>
    <t>Changes in receivables</t>
  </si>
  <si>
    <t>Changes in short term trade payables</t>
  </si>
  <si>
    <t>Changes in inventory</t>
  </si>
  <si>
    <t>Net cash flow from financial activities</t>
  </si>
  <si>
    <t>Interest paid (-)</t>
  </si>
  <si>
    <t>Interest received (+)</t>
  </si>
  <si>
    <t>Income tax</t>
  </si>
  <si>
    <t>Net cash flow from investment activities</t>
  </si>
  <si>
    <t>Acquisition costs for fixed assets</t>
  </si>
  <si>
    <t>Revenues from sales of fixed assets</t>
  </si>
  <si>
    <t>Loan and credits to related parties</t>
  </si>
  <si>
    <t>Changes in the liabilities from financial operations</t>
  </si>
  <si>
    <t>Changes in own equity (impact on cash flow)</t>
  </si>
  <si>
    <t>Increase in the equity capital</t>
  </si>
  <si>
    <t>Payment of equity shares to members/partners (-)</t>
  </si>
  <si>
    <t>Net change in cash</t>
  </si>
  <si>
    <t>Cash EoP</t>
  </si>
  <si>
    <t>Changes in equity</t>
  </si>
  <si>
    <t>Dividends paid</t>
  </si>
  <si>
    <t>Consistency check with DCF</t>
  </si>
  <si>
    <t>receivables  - TO</t>
  </si>
  <si>
    <t>payables  - trade  - TO</t>
  </si>
  <si>
    <t>receivables</t>
  </si>
  <si>
    <t>payables  - personal costs  - TO</t>
  </si>
  <si>
    <t>payables - trade</t>
  </si>
  <si>
    <t>inventory</t>
  </si>
  <si>
    <t>FINANCING</t>
  </si>
  <si>
    <t>Capitalisation / other reveues</t>
  </si>
  <si>
    <t>Inventory - TO n/a (share on revenues)</t>
  </si>
  <si>
    <t>Other personal payments</t>
  </si>
  <si>
    <t>minimal expected RR</t>
  </si>
  <si>
    <t>personal costs</t>
  </si>
  <si>
    <t>Social Fund</t>
  </si>
  <si>
    <t>Ostatné pohľadávky</t>
  </si>
  <si>
    <t>Nevyfakturované dodávky</t>
  </si>
  <si>
    <t>Daň z príjmov</t>
  </si>
  <si>
    <t>Spotreba materiálu</t>
  </si>
  <si>
    <t>Kancelárske potreby</t>
  </si>
  <si>
    <t>Opravy a udržiavanie</t>
  </si>
  <si>
    <t>Cestovné</t>
  </si>
  <si>
    <t>Poštovné</t>
  </si>
  <si>
    <t>Telekomunikačné služby</t>
  </si>
  <si>
    <t>Ostatné služby</t>
  </si>
  <si>
    <t>Mzdové náklady</t>
  </si>
  <si>
    <t>Zákonné sociálne náklady</t>
  </si>
  <si>
    <t>Ostatné sociálne náklady</t>
  </si>
  <si>
    <t>Daň z motorových vozidiel</t>
  </si>
  <si>
    <t>Kurzové straty</t>
  </si>
  <si>
    <t>Tržby z predaja služieb</t>
  </si>
  <si>
    <t>Úroky</t>
  </si>
  <si>
    <t>Kurzové zisky</t>
  </si>
  <si>
    <t>Náklady budúcich období</t>
  </si>
  <si>
    <t>Ostatné dane a poplatky</t>
  </si>
  <si>
    <t>ostatné</t>
  </si>
  <si>
    <t>Odpis pohľadávky</t>
  </si>
  <si>
    <t>Ostatné prevádzkové náklady</t>
  </si>
  <si>
    <t>Ostatné finančné náklady</t>
  </si>
  <si>
    <t>Odpisy  - bezny HIM</t>
  </si>
  <si>
    <t>Odpisy Celkom</t>
  </si>
  <si>
    <t>WorkingCapital</t>
  </si>
  <si>
    <t>TO</t>
  </si>
  <si>
    <t>Amount</t>
  </si>
  <si>
    <t>Debt - banks</t>
  </si>
  <si>
    <t>EOY amount</t>
  </si>
  <si>
    <t>Facility  repayment</t>
  </si>
  <si>
    <t>Interests</t>
  </si>
  <si>
    <t>Interests rate</t>
  </si>
  <si>
    <t>Leveraged</t>
  </si>
  <si>
    <t>Exit Values (share, incl. cash)</t>
  </si>
  <si>
    <t>profittax</t>
  </si>
  <si>
    <t>FTE</t>
  </si>
  <si>
    <t>Company Equity CashFlow</t>
  </si>
  <si>
    <t>Summary</t>
  </si>
  <si>
    <t>Exit price  - methodology</t>
  </si>
  <si>
    <t>Valuation  Date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</si>
  <si>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</si>
  <si>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</si>
  <si>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</si>
  <si>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</si>
  <si>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</si>
  <si>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</si>
  <si>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</si>
  <si>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</si>
  <si>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</si>
  <si>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</si>
  <si>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</si>
  <si>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</si>
  <si>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</si>
  <si>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</si>
  <si>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</si>
  <si>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</si>
  <si>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</si>
  <si>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</si>
  <si>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</si>
  <si>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</si>
  <si>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</si>
  <si>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</si>
  <si>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</si>
  <si>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Lekár</t>
  </si>
  <si>
    <t>Farmaceut</t>
  </si>
  <si>
    <t>Zdravotná sestra</t>
  </si>
  <si>
    <t>NLZP</t>
  </si>
  <si>
    <t>RGD technik</t>
  </si>
  <si>
    <t>Laborant</t>
  </si>
  <si>
    <t>THP</t>
  </si>
  <si>
    <t>Robotník</t>
  </si>
  <si>
    <t>mzda</t>
  </si>
  <si>
    <t xml:space="preserve"> </t>
  </si>
  <si>
    <t>priem. Ev. počet zamestnancov</t>
  </si>
  <si>
    <t>priemerná HM</t>
  </si>
  <si>
    <t>priemerná hrubá mzda     €</t>
  </si>
  <si>
    <t>1_Vedenie, réžia, admnistratíva</t>
  </si>
  <si>
    <t xml:space="preserve">lekár </t>
  </si>
  <si>
    <t xml:space="preserve">nutričný terapeut </t>
  </si>
  <si>
    <t xml:space="preserve">PPvZ  </t>
  </si>
  <si>
    <t xml:space="preserve">pracovník vedy,výskumu, vývoja </t>
  </si>
  <si>
    <t xml:space="preserve">PZP - sanitár                </t>
  </si>
  <si>
    <t xml:space="preserve">RP  - kurič,energetik </t>
  </si>
  <si>
    <t xml:space="preserve">RP  - ostatní prevádz. pracov </t>
  </si>
  <si>
    <t xml:space="preserve">RP  - pracov. v strav.prevádz </t>
  </si>
  <si>
    <t xml:space="preserve">RP  - pracovník práčovne     </t>
  </si>
  <si>
    <t xml:space="preserve">RP  - udržbár                </t>
  </si>
  <si>
    <t xml:space="preserve">RP  - upratovačka             </t>
  </si>
  <si>
    <t xml:space="preserve">RP  - vodič                  </t>
  </si>
  <si>
    <t xml:space="preserve">RP  - vrátnik, strážnik     </t>
  </si>
  <si>
    <t xml:space="preserve">sestra </t>
  </si>
  <si>
    <t xml:space="preserve">THP </t>
  </si>
  <si>
    <t xml:space="preserve">verejný zdravotník </t>
  </si>
  <si>
    <t>SPOLU</t>
  </si>
  <si>
    <t>Amb.všeob.lek.</t>
  </si>
  <si>
    <t xml:space="preserve">praktická sestra </t>
  </si>
  <si>
    <t xml:space="preserve">zdravotnícky asistent </t>
  </si>
  <si>
    <t>COT</t>
  </si>
  <si>
    <t>CPO</t>
  </si>
  <si>
    <t>Dermat.kl.</t>
  </si>
  <si>
    <t>fyzioterapeut</t>
  </si>
  <si>
    <t xml:space="preserve">masér s ÚSO </t>
  </si>
  <si>
    <t>GPK</t>
  </si>
  <si>
    <t xml:space="preserve">pôrodná asistentka </t>
  </si>
  <si>
    <t>GPO</t>
  </si>
  <si>
    <t>zubný lekár</t>
  </si>
  <si>
    <t>I.CHK</t>
  </si>
  <si>
    <t>I.IK</t>
  </si>
  <si>
    <t xml:space="preserve">IZPv - psychológ so ŠP </t>
  </si>
  <si>
    <t xml:space="preserve">IZPv - psychológ  </t>
  </si>
  <si>
    <t>I.Psych.kl</t>
  </si>
  <si>
    <t xml:space="preserve">IOPv - psychológ </t>
  </si>
  <si>
    <t xml:space="preserve">IOPv - špeciálny pedagóg </t>
  </si>
  <si>
    <t xml:space="preserve">IZP - liečebný pedagóg </t>
  </si>
  <si>
    <t xml:space="preserve">IZPv - psychológ </t>
  </si>
  <si>
    <t>I.stom.kl.</t>
  </si>
  <si>
    <t xml:space="preserve">dentálny hygienik </t>
  </si>
  <si>
    <t xml:space="preserve">NZP - zubná inštumentárka      </t>
  </si>
  <si>
    <t xml:space="preserve">rádiologický technik </t>
  </si>
  <si>
    <t xml:space="preserve">zubný lekár </t>
  </si>
  <si>
    <t>II.CHK</t>
  </si>
  <si>
    <t>II.Psych.k</t>
  </si>
  <si>
    <t>IV.IK</t>
  </si>
  <si>
    <t>KAIM</t>
  </si>
  <si>
    <t>KFBLR</t>
  </si>
  <si>
    <t xml:space="preserve">fyzioterapeut </t>
  </si>
  <si>
    <t>KHaOH</t>
  </si>
  <si>
    <t>praktická sestra</t>
  </si>
  <si>
    <t>KIaCM</t>
  </si>
  <si>
    <t>IOPv - psychológ</t>
  </si>
  <si>
    <t>IZPv - psychológ</t>
  </si>
  <si>
    <t xml:space="preserve">ortopedický technik  </t>
  </si>
  <si>
    <t>KOaTPÚ</t>
  </si>
  <si>
    <t>PPvZ</t>
  </si>
  <si>
    <t>KPaF</t>
  </si>
  <si>
    <t>IZP - liečebný pedagóg</t>
  </si>
  <si>
    <t>KPLaKT</t>
  </si>
  <si>
    <t xml:space="preserve">verejný zdravotník  </t>
  </si>
  <si>
    <t>KRaZM</t>
  </si>
  <si>
    <t>Krvná banka</t>
  </si>
  <si>
    <t xml:space="preserve">zdravotnícky laborant </t>
  </si>
  <si>
    <t>KSaMFCH</t>
  </si>
  <si>
    <t xml:space="preserve">NZP - zubná inštumentárka     </t>
  </si>
  <si>
    <t>zubný asistent</t>
  </si>
  <si>
    <t xml:space="preserve">zubný technik        </t>
  </si>
  <si>
    <t>Klinika úrazovej chirurgie</t>
  </si>
  <si>
    <t>Nemocničná lekáreň</t>
  </si>
  <si>
    <t xml:space="preserve">farmaceut </t>
  </si>
  <si>
    <t xml:space="preserve">farmaceutický laborant </t>
  </si>
  <si>
    <t>Verejná lekáreň</t>
  </si>
  <si>
    <t>Neonatologické oddelenie</t>
  </si>
  <si>
    <t>Neurochirurgická klinika</t>
  </si>
  <si>
    <t>Neurologická klinika</t>
  </si>
  <si>
    <t xml:space="preserve">IOPv - logopéd </t>
  </si>
  <si>
    <t>IZPv - logopéd so ŠP</t>
  </si>
  <si>
    <t>IZPv-logopéd bez špec.</t>
  </si>
  <si>
    <t xml:space="preserve">IZPv psychológ bez špec. </t>
  </si>
  <si>
    <t>Neurologické oddelenie</t>
  </si>
  <si>
    <t>OAIM</t>
  </si>
  <si>
    <t>OCS</t>
  </si>
  <si>
    <t xml:space="preserve">IOPs - laboratórny diagnostik </t>
  </si>
  <si>
    <t>OCSaD</t>
  </si>
  <si>
    <t xml:space="preserve">IZP stred. </t>
  </si>
  <si>
    <t>Očná klinika</t>
  </si>
  <si>
    <t>Očné oddelenie</t>
  </si>
  <si>
    <t>Oddelenie patológie</t>
  </si>
  <si>
    <t>IZPv - labor.diagnostik so ŠP</t>
  </si>
  <si>
    <t xml:space="preserve">IZPv-lab.diagnostik bez špec. </t>
  </si>
  <si>
    <t>OFBLR</t>
  </si>
  <si>
    <t xml:space="preserve">NZP - masér                  </t>
  </si>
  <si>
    <t>OLM</t>
  </si>
  <si>
    <t xml:space="preserve">IOPv - laboratórny diagnostik </t>
  </si>
  <si>
    <t xml:space="preserve">IOPv - ostatní </t>
  </si>
  <si>
    <t xml:space="preserve">IZPv - ostatní so ŠP </t>
  </si>
  <si>
    <t xml:space="preserve">IZPv-lab.diagnostik bez špe.os </t>
  </si>
  <si>
    <t>OPRaECH</t>
  </si>
  <si>
    <t>ORaZM</t>
  </si>
  <si>
    <t>ORL</t>
  </si>
  <si>
    <t xml:space="preserve">IZPv - logopéd so ŠP </t>
  </si>
  <si>
    <t>Ortop.prot.</t>
  </si>
  <si>
    <t>OUP</t>
  </si>
  <si>
    <t xml:space="preserve">zdravotnícky záchranár </t>
  </si>
  <si>
    <t>zubný technik</t>
  </si>
  <si>
    <t>Transpl.odd.</t>
  </si>
  <si>
    <t>ÚLaKM</t>
  </si>
  <si>
    <t xml:space="preserve">IZPv - labor.diagnostik so ŠP </t>
  </si>
  <si>
    <t>Urol.kl.</t>
  </si>
  <si>
    <t>Urol.odd.</t>
  </si>
  <si>
    <t>Ústav patológie</t>
  </si>
  <si>
    <t>ZTB</t>
  </si>
  <si>
    <t>IZPv-lab.diagnostik bez špe.os</t>
  </si>
  <si>
    <t>pozicia</t>
  </si>
  <si>
    <t>kategoria</t>
  </si>
  <si>
    <t>Výskum</t>
  </si>
  <si>
    <t>Iné zdravotnícke</t>
  </si>
  <si>
    <t>Admin</t>
  </si>
  <si>
    <t xml:space="preserve">Oddelenie </t>
  </si>
  <si>
    <t>Mzdy</t>
  </si>
  <si>
    <t>Odvody</t>
  </si>
  <si>
    <t>Personálne náklady celkom</t>
  </si>
  <si>
    <t>Označenie</t>
  </si>
  <si>
    <t>STRANA PASÍV</t>
  </si>
  <si>
    <t>Číslo riadku</t>
  </si>
  <si>
    <t>2017</t>
  </si>
  <si>
    <t>2016</t>
  </si>
  <si>
    <t>a</t>
  </si>
  <si>
    <t>b</t>
  </si>
  <si>
    <t>c</t>
  </si>
  <si>
    <t>5</t>
  </si>
  <si>
    <t>6</t>
  </si>
  <si>
    <t>VLASTNÉ IMANIE A ZÁVÄZKY r. 116 + r. 126 + r. 180 + r. 183</t>
  </si>
  <si>
    <t>115</t>
  </si>
  <si>
    <t>A.</t>
  </si>
  <si>
    <t>Vlastné imanie r. 117 + r. 120 + r. 123</t>
  </si>
  <si>
    <t>116</t>
  </si>
  <si>
    <t>A.I.</t>
  </si>
  <si>
    <t>Oceňovacie rozdiely súčet (r. 118 + r. 119)</t>
  </si>
  <si>
    <t>117</t>
  </si>
  <si>
    <t>A.I.1.</t>
  </si>
  <si>
    <t>Oceňovacie rozdiely z precenenia majetku a záväzkov (+/– 414)</t>
  </si>
  <si>
    <t>118</t>
  </si>
  <si>
    <t>Oceňovacie rozdiely z kapitálových účastín (+/– 415)</t>
  </si>
  <si>
    <t>119</t>
  </si>
  <si>
    <t>A.II.</t>
  </si>
  <si>
    <t>Fondy súčet (r. 121 + r. 122)</t>
  </si>
  <si>
    <t>120</t>
  </si>
  <si>
    <t>A.II.1.</t>
  </si>
  <si>
    <t>Zákonný rezervný fond (421)</t>
  </si>
  <si>
    <t>121</t>
  </si>
  <si>
    <t>Ostatné fondy (427)</t>
  </si>
  <si>
    <t>122</t>
  </si>
  <si>
    <t>A.III.</t>
  </si>
  <si>
    <t>Výsledok hospodárenia (+/-) súčet (r. 124 až 125)</t>
  </si>
  <si>
    <t>123</t>
  </si>
  <si>
    <t>A.III.1.</t>
  </si>
  <si>
    <t>Nevysporiadaný výsledok hospodárenia minulých rokov (+/– 428)</t>
  </si>
  <si>
    <t>124</t>
  </si>
  <si>
    <t>Výsledok hospodárenia za účtovné obdobie (+/–) r. 001 - (r. 117 + r. 120 +r.124+ r. 126 + r. 180 + r. 183)</t>
  </si>
  <si>
    <t>125</t>
  </si>
  <si>
    <t>B.</t>
  </si>
  <si>
    <t>Záväzky súčet r. 127 + r. 132 + r. 140 + r. 151 + r. 173</t>
  </si>
  <si>
    <t>126</t>
  </si>
  <si>
    <t>B.I.</t>
  </si>
  <si>
    <t>Rezervy súčet (r. 128 až 131)</t>
  </si>
  <si>
    <t>127</t>
  </si>
  <si>
    <t>B.I.1.</t>
  </si>
  <si>
    <t>Rezervy zákonné dlhodobé (451AÚ)</t>
  </si>
  <si>
    <t>128</t>
  </si>
  <si>
    <t>Ostatné rezervy (459AÚ)</t>
  </si>
  <si>
    <t>129</t>
  </si>
  <si>
    <t>Rezervy zákonné krátkodobé (323AÚ, 451AÚ)</t>
  </si>
  <si>
    <t>130</t>
  </si>
  <si>
    <t>Ostatné krátkodobé rezervy (323AÚ, 459AÚ)</t>
  </si>
  <si>
    <t>131</t>
  </si>
  <si>
    <t>B.II.</t>
  </si>
  <si>
    <t>Zúčtovanie medzi subjektami verejnej správy súčet (r. 133 až r. 139)</t>
  </si>
  <si>
    <t>132</t>
  </si>
  <si>
    <t>B.II.1.</t>
  </si>
  <si>
    <t>Zúčtovanie odvodov príjmov rozpočtových organizácií do rozpočtu zriaďovateľa (351)</t>
  </si>
  <si>
    <t>133</t>
  </si>
  <si>
    <t>Zúčtovanie transferov štátneho rozpočtu (353)</t>
  </si>
  <si>
    <t>134</t>
  </si>
  <si>
    <t>Zúčtovanie transferov rozpočtu obce a vyššieho územného celku (355)</t>
  </si>
  <si>
    <t>135</t>
  </si>
  <si>
    <t>Zúčtovanie transferov zo štátneho rozpočtu v rámci konsolidovaného celku (356)</t>
  </si>
  <si>
    <t>136</t>
  </si>
  <si>
    <t>Ostatné zúčtovanie rozpočtu obce a vyššieho územného celku (357)</t>
  </si>
  <si>
    <t>137</t>
  </si>
  <si>
    <t>Zúčtovanie transferov zo štátneho rozpočtu iným subjektom (358)</t>
  </si>
  <si>
    <t>138</t>
  </si>
  <si>
    <t>Zúčtovanie transferov medzi subjektami verejnej správy a iné zúčtovania (359)</t>
  </si>
  <si>
    <t>139</t>
  </si>
  <si>
    <t>B.III.</t>
  </si>
  <si>
    <t>Dlhodobé záväzky súčet (r. 141 až 150)</t>
  </si>
  <si>
    <t>140</t>
  </si>
  <si>
    <t>B.III.1.</t>
  </si>
  <si>
    <t>Ostatné dlhodobé záväzky (479AÚ)</t>
  </si>
  <si>
    <t>141</t>
  </si>
  <si>
    <t>Dlhodobé prijaté preddavky (475AÚ)</t>
  </si>
  <si>
    <t>142</t>
  </si>
  <si>
    <t>Dlhodobé zmenky na úhradu (478AÚ)</t>
  </si>
  <si>
    <t>143</t>
  </si>
  <si>
    <t>Záväzky zo sociálneho fondu (472)</t>
  </si>
  <si>
    <t>144</t>
  </si>
  <si>
    <t>Záväzky z nájmu (474AÚ)</t>
  </si>
  <si>
    <t>145</t>
  </si>
  <si>
    <t>Dlhodobé nevyfakturované dodávky (476AÚ)</t>
  </si>
  <si>
    <t>146</t>
  </si>
  <si>
    <t>Pohľadávky a záväzky z pevných termínových operácií (373AÚ)</t>
  </si>
  <si>
    <t>147</t>
  </si>
  <si>
    <t>Predané opcie (377AÚ)</t>
  </si>
  <si>
    <t>148</t>
  </si>
  <si>
    <t>Iné záväzky (379AÚ)</t>
  </si>
  <si>
    <t>149</t>
  </si>
  <si>
    <t>Vydané dlhopisy dlhodobé (473AÚ) - (255AÚ)</t>
  </si>
  <si>
    <t>150</t>
  </si>
  <si>
    <t>B.IV.</t>
  </si>
  <si>
    <t>Krátkodobé záväzky súčet (r. 152 až 172)</t>
  </si>
  <si>
    <t>151</t>
  </si>
  <si>
    <t>B.IV.1.</t>
  </si>
  <si>
    <t>Dodávatelia (321)</t>
  </si>
  <si>
    <t>152</t>
  </si>
  <si>
    <t>Zmenky na úhradu (322, 478AÚ)</t>
  </si>
  <si>
    <t>153</t>
  </si>
  <si>
    <t>Prijaté preddavky (324, 475AÚ)</t>
  </si>
  <si>
    <t>154</t>
  </si>
  <si>
    <t>Ostatné záväzky (325, 479AÚ)</t>
  </si>
  <si>
    <t>155</t>
  </si>
  <si>
    <t>Nevyfakturované dodávky (326, 476AÚ)</t>
  </si>
  <si>
    <t>156</t>
  </si>
  <si>
    <t>157</t>
  </si>
  <si>
    <t>158</t>
  </si>
  <si>
    <t>159</t>
  </si>
  <si>
    <t>160</t>
  </si>
  <si>
    <t>Záväzky z upísaných nesplatených cenných papierov a vkladov (367)</t>
  </si>
  <si>
    <t>161</t>
  </si>
  <si>
    <t>Záväzky voči združeniu (368)</t>
  </si>
  <si>
    <t>162</t>
  </si>
  <si>
    <t>Zamestnanci (331)</t>
  </si>
  <si>
    <t>163</t>
  </si>
  <si>
    <t>Ostatné záväzky voči zamestnancom (333)</t>
  </si>
  <si>
    <t>164</t>
  </si>
  <si>
    <t>Zúčtovanie s orgánmi sociálneho poistenia a zdravotného poistenia (336)</t>
  </si>
  <si>
    <t>165</t>
  </si>
  <si>
    <t>Daň z príjmov (341)</t>
  </si>
  <si>
    <t>166</t>
  </si>
  <si>
    <t>Ostatné priame dane (342)</t>
  </si>
  <si>
    <t>167</t>
  </si>
  <si>
    <t>Daň z pridanej hodnoty (343)</t>
  </si>
  <si>
    <t>168</t>
  </si>
  <si>
    <t>Ostatné dane a poplatky (345)</t>
  </si>
  <si>
    <t>169</t>
  </si>
  <si>
    <t>Spojovací účet pri združení (396AÚ)</t>
  </si>
  <si>
    <t>170</t>
  </si>
  <si>
    <t>Zúčtovanie s Európskou úniou (371AÚ)</t>
  </si>
  <si>
    <t>171</t>
  </si>
  <si>
    <t>Transfery a ostatné zúčtovanie so subjektami mimo verejnej správy (372AÚ)</t>
  </si>
  <si>
    <t>172</t>
  </si>
  <si>
    <t>B.V.</t>
  </si>
  <si>
    <t>Bankové úvery a výpomoci súčet (r. 174 až 179)</t>
  </si>
  <si>
    <t>173</t>
  </si>
  <si>
    <t>B.V.1.</t>
  </si>
  <si>
    <t>Bankové úvery dlhodobé (461AÚ)</t>
  </si>
  <si>
    <t>174</t>
  </si>
  <si>
    <t>Bežné bankové úvery (461AÚ, 221AÚ, 231, 232)</t>
  </si>
  <si>
    <t>175</t>
  </si>
  <si>
    <t>Vydané dlhopisy krátkodobé (473AÚ, 241) - (255AÚ)</t>
  </si>
  <si>
    <t>176</t>
  </si>
  <si>
    <t>Ostatné krátkodobé finančné výpomoci (249)</t>
  </si>
  <si>
    <t>177</t>
  </si>
  <si>
    <t>Prijaté návratné finančné výpomoci od subjektov verejnej správy dlhodobé (273AÚ)</t>
  </si>
  <si>
    <t>178</t>
  </si>
  <si>
    <t>Prijaté návratné finančné výpomoci od subjektov verejnej správy krátkodobé (273AÚ)</t>
  </si>
  <si>
    <t>179</t>
  </si>
  <si>
    <t>C.</t>
  </si>
  <si>
    <t>Časové rozlíšenie súčet (r. 181 + r. 182)</t>
  </si>
  <si>
    <t>180</t>
  </si>
  <si>
    <t>C.1.</t>
  </si>
  <si>
    <t>Výdavky budúcich období (383)</t>
  </si>
  <si>
    <t>181</t>
  </si>
  <si>
    <t>Výnosy budúcich období (384)</t>
  </si>
  <si>
    <t>182</t>
  </si>
  <si>
    <t>D.</t>
  </si>
  <si>
    <t>Vzťahy k účtom klientov Štátnej pokladnice (účtová skupina 20)</t>
  </si>
  <si>
    <t>183</t>
  </si>
  <si>
    <t>SPOLU MAJETOK r. 002 + r. 033 + r. 110 + r. 114</t>
  </si>
  <si>
    <t>1</t>
  </si>
  <si>
    <t>Neobežný majetok r. 003 + r. 011 + r. 024</t>
  </si>
  <si>
    <t>2</t>
  </si>
  <si>
    <t>Dlhodobý nehmotný majetok súčet (r. 004 až 010)</t>
  </si>
  <si>
    <t>3</t>
  </si>
  <si>
    <t>Aktivované náklady na vývoj (012) - (072+091AÚ)</t>
  </si>
  <si>
    <t>4</t>
  </si>
  <si>
    <t>Softvér (013) - (073+091AÚ)</t>
  </si>
  <si>
    <t>Oceniteľné práva (014) - (074+091AÚ)</t>
  </si>
  <si>
    <t>Drobný dlhodobý nehmotný majetok (018) - (078+091AÚ)</t>
  </si>
  <si>
    <t>7</t>
  </si>
  <si>
    <t>Ostatný dlhodobý nehmotný majetok (019) - (079+091AÚ)</t>
  </si>
  <si>
    <t>8</t>
  </si>
  <si>
    <t>Obstaranie dlhodobého nehmotného majetku (041) - (093)</t>
  </si>
  <si>
    <t>9</t>
  </si>
  <si>
    <t>Poskytnuté preddavky na dlhodobý nehmotný majetok (051) - (095AÚ)</t>
  </si>
  <si>
    <t>10</t>
  </si>
  <si>
    <t>Dlhodobý hmotný majetok súčet (r. 012 až 023)</t>
  </si>
  <si>
    <t>11</t>
  </si>
  <si>
    <t>Pozemky (031) - (092AÚ)</t>
  </si>
  <si>
    <t>12</t>
  </si>
  <si>
    <t>Umelecké diela a zbierky (032) - (092AÚ)</t>
  </si>
  <si>
    <t>13</t>
  </si>
  <si>
    <t>Predmety z drahých kovov (033) - (092AÚ)</t>
  </si>
  <si>
    <t>14</t>
  </si>
  <si>
    <t>Stavby (021) - (081+092AÚ)</t>
  </si>
  <si>
    <t>15</t>
  </si>
  <si>
    <t>Samostatné hnuteľné veci a súbory hnuteľných vecí (022) - (082+092AÚ)</t>
  </si>
  <si>
    <t>16</t>
  </si>
  <si>
    <t>Dopravné prostriedky (023) - (083+092AÚ)</t>
  </si>
  <si>
    <t>17</t>
  </si>
  <si>
    <t>Pestovateľské celky trvalých porastov (025) - (085+092AÚ)</t>
  </si>
  <si>
    <t>18</t>
  </si>
  <si>
    <t>Základné stádo a ťažné zvieratá (026) - (086+092AÚ)</t>
  </si>
  <si>
    <t>19</t>
  </si>
  <si>
    <t>Drobný dlhodobý hmotný majetok (028) - (088+092AÚ)</t>
  </si>
  <si>
    <t>20</t>
  </si>
  <si>
    <t>Ostatný dlhodobý hmotný majetok (029) - (089+092AÚ)</t>
  </si>
  <si>
    <t>21</t>
  </si>
  <si>
    <t>Obstaranie dlhodobého hmotného majetku (042) - (094)</t>
  </si>
  <si>
    <t>22</t>
  </si>
  <si>
    <t>Poskytnuté preddavky na dlhodobý hmotný majetok (052) - (095AÚ)</t>
  </si>
  <si>
    <t>23</t>
  </si>
  <si>
    <t>Dlhodobý finančný majetok súčet (r. 025 až 032)</t>
  </si>
  <si>
    <t>24</t>
  </si>
  <si>
    <t>Podielové cenné papiere a podiely v dcérskej účtovnej jednotke (061) - (096AÚ)</t>
  </si>
  <si>
    <t>25</t>
  </si>
  <si>
    <t>Podielové cenné papiere a podiely v spoločnosti s podstatným vplyvom (062) - (096AÚ)</t>
  </si>
  <si>
    <t>26</t>
  </si>
  <si>
    <t>Realizovateľné cenné papiere a podiely (063) - (096AÚ)</t>
  </si>
  <si>
    <t>27</t>
  </si>
  <si>
    <t>Dlhové cenné papiere držané do splatnosti (065) - (096AÚ)</t>
  </si>
  <si>
    <t>28</t>
  </si>
  <si>
    <t>Pôžičky účtovnej jednotke v konsolidovanom celku (066) - (096AÚ)</t>
  </si>
  <si>
    <t>29</t>
  </si>
  <si>
    <t>Ostatné pôžičky (067) - (096AÚ)</t>
  </si>
  <si>
    <t>30</t>
  </si>
  <si>
    <t>Ostatný dlhodobý finančný majetok (069) - (096AÚ)</t>
  </si>
  <si>
    <t>31</t>
  </si>
  <si>
    <t>Obstaranie dlhodobého finančného majetku (043) - (096AÚ)</t>
  </si>
  <si>
    <t>32</t>
  </si>
  <si>
    <t>Obežný majetok r. 034 + r. 040 + r. 048+ r. 060 + r. 085+ r. 098 + r. 104</t>
  </si>
  <si>
    <t>33</t>
  </si>
  <si>
    <t>Zásoby súčet (r. 035 až 039)</t>
  </si>
  <si>
    <t>34</t>
  </si>
  <si>
    <t>Materiál (112 + 119) - (191)</t>
  </si>
  <si>
    <t>35</t>
  </si>
  <si>
    <t>Nedokončená výroba a polotovary (121 + 122) - (192 + 193)</t>
  </si>
  <si>
    <t>36</t>
  </si>
  <si>
    <t>Výrobky (123) - (194)</t>
  </si>
  <si>
    <t>37</t>
  </si>
  <si>
    <t>Zvieratá (124) - (195)</t>
  </si>
  <si>
    <t>38</t>
  </si>
  <si>
    <t>Tovar (132 + 133 + 139) - (196)</t>
  </si>
  <si>
    <t>39</t>
  </si>
  <si>
    <t>Zúčtovanie medzi subjektami verejnej správy súčet (r. 041 až r. 047)</t>
  </si>
  <si>
    <t>40</t>
  </si>
  <si>
    <t>41</t>
  </si>
  <si>
    <t>42</t>
  </si>
  <si>
    <t>43</t>
  </si>
  <si>
    <t>44</t>
  </si>
  <si>
    <t>45</t>
  </si>
  <si>
    <t>46</t>
  </si>
  <si>
    <t>47</t>
  </si>
  <si>
    <t>B.III</t>
  </si>
  <si>
    <t>Dlhodobé pohľadávky súčet (r. 049 až 059)</t>
  </si>
  <si>
    <t>48</t>
  </si>
  <si>
    <t>B.III.1</t>
  </si>
  <si>
    <t>Odberatelia (311AÚ) - (391AÚ)</t>
  </si>
  <si>
    <t>49</t>
  </si>
  <si>
    <t>Zmenky na inkaso (312AÚ) - (391AÚ)</t>
  </si>
  <si>
    <t>50</t>
  </si>
  <si>
    <t>Pohľadávky za eskontované cenné papiere (313AÚ) - (391AÚ)</t>
  </si>
  <si>
    <t>51</t>
  </si>
  <si>
    <t>Ostatné pohľadávky (315AÚ) - (391AÚ)</t>
  </si>
  <si>
    <t>52</t>
  </si>
  <si>
    <t>Pohľadávky voči zamestnancom (335AÚ) - (391AÚ)</t>
  </si>
  <si>
    <t>53</t>
  </si>
  <si>
    <t>Pohľadávky voči združeniu (369AÚ) - (391AÚ)</t>
  </si>
  <si>
    <t>54</t>
  </si>
  <si>
    <t>Pohľadávky a záväzky z pevných termínových operácií (373AÚ) - (391AÚ)</t>
  </si>
  <si>
    <t>55</t>
  </si>
  <si>
    <t>Pohľadávky z nájmu (374AÚ) - (391AÚ)</t>
  </si>
  <si>
    <t>56</t>
  </si>
  <si>
    <t>Pohľadávky z vydaných dlhopisov (375AÚ) - (391AÚ)</t>
  </si>
  <si>
    <t>57</t>
  </si>
  <si>
    <t>Nakúpené opcie (376AÚ) - (391AÚ)</t>
  </si>
  <si>
    <t>58</t>
  </si>
  <si>
    <t>Iné pohľadávky (378AÚ) - (391AÚ)</t>
  </si>
  <si>
    <t>59</t>
  </si>
  <si>
    <t>Krátkodobé pohľadávky súčet (r. 061 až 084)</t>
  </si>
  <si>
    <t>60</t>
  </si>
  <si>
    <t>B.IV.1</t>
  </si>
  <si>
    <t>61</t>
  </si>
  <si>
    <t>62</t>
  </si>
  <si>
    <t>63</t>
  </si>
  <si>
    <t>Poskytnuté prevádzkové preddavky (314) - (391AÚ)</t>
  </si>
  <si>
    <t>64</t>
  </si>
  <si>
    <t>65</t>
  </si>
  <si>
    <t>Pohľadávky z nedaňových rozpočtových príjmov (316) - (391AÚ)</t>
  </si>
  <si>
    <t>66</t>
  </si>
  <si>
    <t>Pohľadávky z daňových a colných rozpočtových príjmov (317) - (391AÚ)</t>
  </si>
  <si>
    <t>67</t>
  </si>
  <si>
    <t>Pohľadávky z nedaňových príjmov obcí a vyšších územných celkov a rozpočtových organizácií zriadených obcou a vyšším územným celkom (318) - (391AÚ)</t>
  </si>
  <si>
    <t>68</t>
  </si>
  <si>
    <t>Pohľadávky z daňových príjmov obcí a vyšších územných celkov (319) - (391AÚ)</t>
  </si>
  <si>
    <t>69</t>
  </si>
  <si>
    <t>70</t>
  </si>
  <si>
    <t>Zúčtovanie s orgánmi sociálneho poistenia a zdravotného poistenia (336) - (391AÚ)</t>
  </si>
  <si>
    <t>71</t>
  </si>
  <si>
    <t>Daň z príjmov (341) - (391AÚ)</t>
  </si>
  <si>
    <t>72</t>
  </si>
  <si>
    <t>Ostatné priame dane (342) - (391AÚ)</t>
  </si>
  <si>
    <t>73</t>
  </si>
  <si>
    <t>Daň z pridanej hodnoty (343) - (391AÚ)</t>
  </si>
  <si>
    <t>74</t>
  </si>
  <si>
    <t>Ostatné dane a poplatky (345) - (391AÚ)</t>
  </si>
  <si>
    <t>75</t>
  </si>
  <si>
    <t>76</t>
  </si>
  <si>
    <t>Pohľadávky a záväzky z pevných termínovaných operácií (373AÚ) - (391AÚ)</t>
  </si>
  <si>
    <t>77</t>
  </si>
  <si>
    <t>78</t>
  </si>
  <si>
    <t>79</t>
  </si>
  <si>
    <t>80</t>
  </si>
  <si>
    <t>81</t>
  </si>
  <si>
    <t>82</t>
  </si>
  <si>
    <t>Zúčtovanie s Európskou úniou (371AÚ)- (391AÚ)</t>
  </si>
  <si>
    <t>83</t>
  </si>
  <si>
    <t>Transfery a ostatné zúčtovanie so subjektami mimo verejnej správy (372AÚ) - (391AÚ)</t>
  </si>
  <si>
    <t>84</t>
  </si>
  <si>
    <t>Finančné účty súčet (r. 086 až 097)</t>
  </si>
  <si>
    <t>85</t>
  </si>
  <si>
    <t>Pokladnica (211)</t>
  </si>
  <si>
    <t>86</t>
  </si>
  <si>
    <t>Ceniny (213)</t>
  </si>
  <si>
    <t>87</t>
  </si>
  <si>
    <t>Bankové účty (221AÚ +/- 261)</t>
  </si>
  <si>
    <t>88</t>
  </si>
  <si>
    <t>Účty v bankách s dobou viazanosti dlhšou ako jeden rok (221AÚ)</t>
  </si>
  <si>
    <t>89</t>
  </si>
  <si>
    <t>Výdavkový rozpočtový účet (222)</t>
  </si>
  <si>
    <t>90</t>
  </si>
  <si>
    <t>Príjmový rozpočtový účet (223)</t>
  </si>
  <si>
    <t>91</t>
  </si>
  <si>
    <t>Majetkové cenné papiere na obchodovanie (251) - (291AÚ)</t>
  </si>
  <si>
    <t>92</t>
  </si>
  <si>
    <t>Dlhové cenné papiere na obchodovanie (253) - (291AÚ)</t>
  </si>
  <si>
    <t>93</t>
  </si>
  <si>
    <t>Dlhové cenné papiere so splatnosťou do jedného roka držané do splatnosti (256) - (291AÚ)</t>
  </si>
  <si>
    <t>94</t>
  </si>
  <si>
    <t>Ostatné realizovateľné cenné papiere (257) - (291AÚ)</t>
  </si>
  <si>
    <t>95</t>
  </si>
  <si>
    <t>Obstaranie krátkodobého finančného majetku (259) - (291AÚ)</t>
  </si>
  <si>
    <t>96</t>
  </si>
  <si>
    <t>Účty Štátnej pokladnice (účtová skupina 28)</t>
  </si>
  <si>
    <t>97</t>
  </si>
  <si>
    <t>B.VI.</t>
  </si>
  <si>
    <t>Poskytnuté návratné finančné výpomoci dlhodobé súčet (r. 099 až r. 103)</t>
  </si>
  <si>
    <t>98</t>
  </si>
  <si>
    <t>B.VI.1.</t>
  </si>
  <si>
    <t>Poskytnuté návratné finančné výpomoci subjektom v rámci konsolidovaného celku (271AÚ) - (291AÚ)</t>
  </si>
  <si>
    <t>99</t>
  </si>
  <si>
    <t>Poskytnuté návratné finančné výpomoci ostatným subjektom verejnej správy (272AÚ) - (291AÚ)</t>
  </si>
  <si>
    <t>100</t>
  </si>
  <si>
    <t>Poskytnuté návratné finančné výpomoci podnikateľským subjektom (274AÚ)- (291AÚ)</t>
  </si>
  <si>
    <t>101</t>
  </si>
  <si>
    <t>Poskytnuté návratné finančné výpomoci ostatným organizáciám (275AÚ) - (291AÚ)</t>
  </si>
  <si>
    <t>102</t>
  </si>
  <si>
    <t>Poskytnuté návratné finančné výpomoci fyzickým osobám (277AÚ) - (291AÚ)</t>
  </si>
  <si>
    <t>103</t>
  </si>
  <si>
    <t>B.VII.</t>
  </si>
  <si>
    <t>Poskytnuté návratné finančné výpomoci krátkodobé súčet (r. 105 až r. 109)</t>
  </si>
  <si>
    <t>104</t>
  </si>
  <si>
    <t>B.VII.1.</t>
  </si>
  <si>
    <t>105</t>
  </si>
  <si>
    <t>106</t>
  </si>
  <si>
    <t>Poskytnuté návratné finančné výpomoci podnikateľským subjektom (274AÚ) - (291AÚ)</t>
  </si>
  <si>
    <t>107</t>
  </si>
  <si>
    <t>108</t>
  </si>
  <si>
    <t>109</t>
  </si>
  <si>
    <t>Časové rozlíšenie súčet (r. 111 až r. 113)</t>
  </si>
  <si>
    <t>110</t>
  </si>
  <si>
    <t>Náklady budúcich období (381)</t>
  </si>
  <si>
    <t>111</t>
  </si>
  <si>
    <t>Komplexné náklady budúcich období (382)</t>
  </si>
  <si>
    <t>112</t>
  </si>
  <si>
    <t>Príjmy budúcich období (385)</t>
  </si>
  <si>
    <t>113</t>
  </si>
  <si>
    <t>114</t>
  </si>
  <si>
    <t>2018</t>
  </si>
  <si>
    <t>2019</t>
  </si>
  <si>
    <t>2021 okt</t>
  </si>
  <si>
    <t>Spotrebované nákupy (r. 002 až r. 005)</t>
  </si>
  <si>
    <t>501</t>
  </si>
  <si>
    <t>502</t>
  </si>
  <si>
    <t>Spotreba energie</t>
  </si>
  <si>
    <t>503</t>
  </si>
  <si>
    <t>Spotreba ostatných neskladovateľných dodávok</t>
  </si>
  <si>
    <t>504, 507</t>
  </si>
  <si>
    <t>Predaný tovar, Predaná nehnuteľnosť</t>
  </si>
  <si>
    <t>Služby (r. 007 až r. 010)</t>
  </si>
  <si>
    <t>511</t>
  </si>
  <si>
    <t>512</t>
  </si>
  <si>
    <t>513</t>
  </si>
  <si>
    <t>Náklady na reprezentáciu</t>
  </si>
  <si>
    <t>518</t>
  </si>
  <si>
    <t>Osobné náklady (r. 012 až r. 016)</t>
  </si>
  <si>
    <t>521</t>
  </si>
  <si>
    <t>524</t>
  </si>
  <si>
    <t>Zákonné sociálne poistenie</t>
  </si>
  <si>
    <t>525</t>
  </si>
  <si>
    <t>Ostatné sociálne poistenie</t>
  </si>
  <si>
    <t>527</t>
  </si>
  <si>
    <t>528</t>
  </si>
  <si>
    <t>Dane a poplatky (r. 018 až r. 020)</t>
  </si>
  <si>
    <t>531</t>
  </si>
  <si>
    <t>532</t>
  </si>
  <si>
    <t>Daň z nehnuteľnosti</t>
  </si>
  <si>
    <t>538</t>
  </si>
  <si>
    <t>Ostatné náklady na prevádzkovú činnosť (r. 022 až r. 028)</t>
  </si>
  <si>
    <t>541</t>
  </si>
  <si>
    <t>Zostatková cena predaného dlhodobého nehmotného majetku a dlhodobého hmotného majetku</t>
  </si>
  <si>
    <t>542</t>
  </si>
  <si>
    <t>Predaný materiál</t>
  </si>
  <si>
    <t>544</t>
  </si>
  <si>
    <t>Zmluvné pokuty, penále a úroky z omeškania</t>
  </si>
  <si>
    <t>545</t>
  </si>
  <si>
    <t>Ostatné pokuty, penále a úroky z omeškania</t>
  </si>
  <si>
    <t>546</t>
  </si>
  <si>
    <t>548</t>
  </si>
  <si>
    <t>Ostatné náklady na prevádzkovú činnosť</t>
  </si>
  <si>
    <t>549</t>
  </si>
  <si>
    <t>Manká a škody</t>
  </si>
  <si>
    <t>Odpisy, rezervy a opravné položky z prevádzkovej činnosti a finančnej činnosti a zúčtovanie časového rozlíšenia (r. 030 + r. 031 + r. 036 + r. 039)</t>
  </si>
  <si>
    <t>551</t>
  </si>
  <si>
    <t>Odpisy dlhodobého nehmotného majetku a dlhodobého hmotného majetku</t>
  </si>
  <si>
    <t>Rezervy a opravné položky z prevádzkovej činnosti (r. 032 až r. 035)</t>
  </si>
  <si>
    <t>552</t>
  </si>
  <si>
    <t>Tvorba zákonných rezerv z prevádzkovej činnosti</t>
  </si>
  <si>
    <t>553</t>
  </si>
  <si>
    <t>Tvorba ostatných rezerv z prevádzkovej činnosti</t>
  </si>
  <si>
    <t>557</t>
  </si>
  <si>
    <t>Tvorba zákonných opravných položiek z prevádzkovej činnosti</t>
  </si>
  <si>
    <t>558</t>
  </si>
  <si>
    <t>Tvorba ostatných opravných položiek z prevádzkovej činnosti</t>
  </si>
  <si>
    <t>Rezervy a opravné položky z finančnej činnosti (r. 037+ r. 038)</t>
  </si>
  <si>
    <t>554</t>
  </si>
  <si>
    <t>Tvorba rezerv z finančnej činnosti</t>
  </si>
  <si>
    <t>559</t>
  </si>
  <si>
    <t>Tvorba opravných položiek z finančnej činnosti</t>
  </si>
  <si>
    <t>555</t>
  </si>
  <si>
    <t>Zúčtovanie komplexných nákladov budúcich období</t>
  </si>
  <si>
    <t>Finančné náklady (r. 041 až r. 048)</t>
  </si>
  <si>
    <t>561</t>
  </si>
  <si>
    <t>Predané cenné papiere a podiely</t>
  </si>
  <si>
    <t>562</t>
  </si>
  <si>
    <t>563</t>
  </si>
  <si>
    <t>564</t>
  </si>
  <si>
    <t>Náklady na precenenie cenných papierov</t>
  </si>
  <si>
    <t>566</t>
  </si>
  <si>
    <t>Náklady na krátkodobý finančný majetok</t>
  </si>
  <si>
    <t>567</t>
  </si>
  <si>
    <t>Náklady na derivátové operácie</t>
  </si>
  <si>
    <t>568</t>
  </si>
  <si>
    <t>569</t>
  </si>
  <si>
    <t>Manká a škody na finančnom majetku</t>
  </si>
  <si>
    <t>Mimoriadne náklady (r. 050 až r. 053)</t>
  </si>
  <si>
    <t>572</t>
  </si>
  <si>
    <t>Škody</t>
  </si>
  <si>
    <t>574</t>
  </si>
  <si>
    <t>Tvorba rezerv</t>
  </si>
  <si>
    <t>578</t>
  </si>
  <si>
    <t>Ostatné mimoriadne náklady</t>
  </si>
  <si>
    <t>579</t>
  </si>
  <si>
    <t>Tvorba opravných položiek</t>
  </si>
  <si>
    <t>Náklady na transfery a náklady z odvodu príjmov (r. 055 až r. 063)</t>
  </si>
  <si>
    <t>581</t>
  </si>
  <si>
    <t>Náklady na transfery zo štátneho rozpočtu do štátnych rozpočtových organizácií a príspevkových organizácií</t>
  </si>
  <si>
    <t>582</t>
  </si>
  <si>
    <t>Náklady na transfery zo štátneho rozpočtu ostatným subjektom verejnej správy</t>
  </si>
  <si>
    <t>583</t>
  </si>
  <si>
    <t>Náklady na transfery zo štátneho rozpočtu subjektom mimo verejnej správy</t>
  </si>
  <si>
    <t>584</t>
  </si>
  <si>
    <t>Náklady na transfery z rozpočtu obce alebo z rozpočtu vyššieho územného celku do rozpočtových organizácií a príspevkových organizácií zriadených obcou alebo vyšším územným celkom</t>
  </si>
  <si>
    <t>585</t>
  </si>
  <si>
    <t>Náklady na transfery z rozpočtu obce alebo z rozpočtu vyššieho územného celku ostatným subjektom verejnej správy</t>
  </si>
  <si>
    <t>586</t>
  </si>
  <si>
    <t>Náklady na transfery z rozpočtu obce alebo z rozpočtu vyššieho územného celku subjektom mimo verejnej správy</t>
  </si>
  <si>
    <t>587</t>
  </si>
  <si>
    <t>Náklady na ostatné transfery</t>
  </si>
  <si>
    <t>588</t>
  </si>
  <si>
    <t>Náklady z odvodu príjmov</t>
  </si>
  <si>
    <t>589</t>
  </si>
  <si>
    <t>Náklady z budúceho odvodu príjmov</t>
  </si>
  <si>
    <t>Účtové skupiny 50 - 58 súčet (r.001 + r.006 + r.011 + r.017 + r.021 + r.029 + r.040 + r.049 + r.054)</t>
  </si>
  <si>
    <t>Náklady</t>
  </si>
  <si>
    <t>Tržby za vlastné výkony a tovar (r. 066 až r. 068)</t>
  </si>
  <si>
    <t>601</t>
  </si>
  <si>
    <t>Tržby za vlastné výrobky</t>
  </si>
  <si>
    <t>602</t>
  </si>
  <si>
    <t>604, 607</t>
  </si>
  <si>
    <t>Tržby za tovar, Výnosy z nehnuteľnosti na predaj</t>
  </si>
  <si>
    <t>Zmena stavu vnútroorganizačných zásob (r. 070 až r. 073)</t>
  </si>
  <si>
    <t>611</t>
  </si>
  <si>
    <t>Zmena stavu nedokončenej výroby</t>
  </si>
  <si>
    <t>612</t>
  </si>
  <si>
    <t>Zmena stavu polotovarov</t>
  </si>
  <si>
    <t>613</t>
  </si>
  <si>
    <t>Zmena stavu výrobkov</t>
  </si>
  <si>
    <t>614</t>
  </si>
  <si>
    <t>Zmena stavu zvierat</t>
  </si>
  <si>
    <t>Aktivácia (r. 075 až r. 078)</t>
  </si>
  <si>
    <t>621</t>
  </si>
  <si>
    <t>Aktivácia materiálu a tovaru</t>
  </si>
  <si>
    <t>622</t>
  </si>
  <si>
    <t>Aktivácia vnútroorganizačných služieb</t>
  </si>
  <si>
    <t>623</t>
  </si>
  <si>
    <t>Aktivácia dlhodobého nehmotného majetku</t>
  </si>
  <si>
    <t>624</t>
  </si>
  <si>
    <t>Aktivácia dlhodobého hmotného majetku</t>
  </si>
  <si>
    <t>Daňové a colné výnosy a výnosy z poplatkov (r. 080 až r. 082)</t>
  </si>
  <si>
    <t>631</t>
  </si>
  <si>
    <t>Daňové a colné výnosy štátu</t>
  </si>
  <si>
    <t>632</t>
  </si>
  <si>
    <t>Daňové výnosy samosprávy</t>
  </si>
  <si>
    <t>633</t>
  </si>
  <si>
    <t>Výnosy z poplatkov</t>
  </si>
  <si>
    <t>Ostatné výnosy z prevádzkovej činnosti (r. 084 až r. 089)</t>
  </si>
  <si>
    <t>641</t>
  </si>
  <si>
    <t>Tržby z predaja dlhodobého nehmotného majetku a dlhodobého hmotného majetku</t>
  </si>
  <si>
    <t>642</t>
  </si>
  <si>
    <t>Tržby z predaja materiálu</t>
  </si>
  <si>
    <t>644</t>
  </si>
  <si>
    <t>645</t>
  </si>
  <si>
    <t>646</t>
  </si>
  <si>
    <t>Výnosy z odpísaných pohľadávok</t>
  </si>
  <si>
    <t>648</t>
  </si>
  <si>
    <t>Ostatné výnosy z prevádzkovej činnosti</t>
  </si>
  <si>
    <t>Zúčtovanie rezerv a opravných položiek z prevádzkovej činnosti a finančnej činnosti a zúčtovanie časového rozlíšenia (r. 091 + r. 096 +r. 099)</t>
  </si>
  <si>
    <t>Zúčtovanie rezerv a opravných položiek z prevádzkovej činnosti (r. 092 až r. 095)</t>
  </si>
  <si>
    <t>652</t>
  </si>
  <si>
    <t>Zúčtovanie zákonných rezerv z prevádzkovej činnosti</t>
  </si>
  <si>
    <t>653</t>
  </si>
  <si>
    <t>Zúčtovanie ostatných rezerv z prevádzkovej činnosti</t>
  </si>
  <si>
    <t>657</t>
  </si>
  <si>
    <t>Zúčtovanie zákonných opravných položiek z prevádzkovej činnosti</t>
  </si>
  <si>
    <t>658</t>
  </si>
  <si>
    <t>Zúčtovanie ostatných opravných položiek z prevádzkovej činnosti</t>
  </si>
  <si>
    <t>Zúčtovanie rezerv a opravných položiek z finančnej činnosti (r. 097 + r. 098)</t>
  </si>
  <si>
    <t>654</t>
  </si>
  <si>
    <t>Zúčtovanie rezerv z finančnej činnosti</t>
  </si>
  <si>
    <t>659</t>
  </si>
  <si>
    <t>Zúčtovanie opravných položiek z finančnej činnosti</t>
  </si>
  <si>
    <t>655</t>
  </si>
  <si>
    <t>Finančné výnosy (r. 101 až r. 108)</t>
  </si>
  <si>
    <t>661</t>
  </si>
  <si>
    <t>Tržby z predaja cenných papierov a podielov</t>
  </si>
  <si>
    <t>662</t>
  </si>
  <si>
    <t>663</t>
  </si>
  <si>
    <t>664</t>
  </si>
  <si>
    <t>Výnosy z precenenia cenných papierov</t>
  </si>
  <si>
    <t>665</t>
  </si>
  <si>
    <t>Výnosy z dlhodobého finančného majetku</t>
  </si>
  <si>
    <t>666</t>
  </si>
  <si>
    <t>Výnosy z krátkodobého finančného majetku</t>
  </si>
  <si>
    <t>667</t>
  </si>
  <si>
    <t>Výnosy z derivátových operácií</t>
  </si>
  <si>
    <t>668</t>
  </si>
  <si>
    <t>Ostatné finančné výnosy</t>
  </si>
  <si>
    <t>Mimoriadne výnosy (r. 110 až r. 113)</t>
  </si>
  <si>
    <t>672</t>
  </si>
  <si>
    <t>Náhrady škôd</t>
  </si>
  <si>
    <t>674</t>
  </si>
  <si>
    <t>Zúčtovanie rezerv</t>
  </si>
  <si>
    <t>678</t>
  </si>
  <si>
    <t>Ostatné mimoriadne výnosy</t>
  </si>
  <si>
    <t>679</t>
  </si>
  <si>
    <t>Zúčtovanie opravných položiek</t>
  </si>
  <si>
    <t>Výnosy z transferov a rozpočtových príjmov v štátnych rozpočtových organizáciách a príspevkových organizáciách (r. 115 až r. 123)</t>
  </si>
  <si>
    <t>681</t>
  </si>
  <si>
    <t>Výnosy z bežných transferov zo štátneho rozpočtu</t>
  </si>
  <si>
    <t>682</t>
  </si>
  <si>
    <t>Výnosy z kapitálových transferov zo štátneho rozpočtu</t>
  </si>
  <si>
    <t>683</t>
  </si>
  <si>
    <t>Výnosy z bežných transferov od ostatných subjektov verejnej správy</t>
  </si>
  <si>
    <t>684</t>
  </si>
  <si>
    <t>Výnosy z kapitálových transferov od ostatných subjektov verejnej správy</t>
  </si>
  <si>
    <t>685</t>
  </si>
  <si>
    <t>Výnosy z bežných transferov od Európskej únie</t>
  </si>
  <si>
    <t>686</t>
  </si>
  <si>
    <t>Výnosy z kapitálových transferov od Európskej únie</t>
  </si>
  <si>
    <t>687</t>
  </si>
  <si>
    <t>Výnosy z bežných transferov od ostatných subjektov mimo verejnej správy</t>
  </si>
  <si>
    <t>688</t>
  </si>
  <si>
    <t>Výnosy z kapitálových transferov od ostatných subjektov mimo verejnej správy</t>
  </si>
  <si>
    <t>689</t>
  </si>
  <si>
    <t>Výnosy z odvodu rozpočtových príjmov</t>
  </si>
  <si>
    <t>Výnosy z transferov a rozpočtových príjmov v obciach, vyšších územných celkoch a v rozpočtových organizáciách a príspevkových organizáciách zriadených obcou alebo vyšším územným celkom (r. 125 až r. 133)</t>
  </si>
  <si>
    <t>691</t>
  </si>
  <si>
    <t>Výnosy z bežných transferov z rozpočtu obce alebo z rozpočtu vyššieho územného celku v rozpočtových organizáciách a príspevkových organizáciách zriadených obcou alebo vyšším územným celkom</t>
  </si>
  <si>
    <t>692</t>
  </si>
  <si>
    <t>Výnosy z kapitálových transferov z rozpočtu obce alebo z rozpočtu vyššieho územného celku v rozpočtových organizáciách a príspevkových organizáciách zriadených obcou alebo vyšším územným celkom</t>
  </si>
  <si>
    <t>693</t>
  </si>
  <si>
    <t>Výnosy samosprávy z bežných transferov zo štátneho rozpočtu a od iných subjektov verejnej správy</t>
  </si>
  <si>
    <t>694</t>
  </si>
  <si>
    <t>Výnosy samosprávy z kapitálových transferov zo štátneho rozpočtu a od iných subjektov verejnej správy</t>
  </si>
  <si>
    <t>695</t>
  </si>
  <si>
    <t>Výnosy samosprávy z bežných transferov od Európskej únie</t>
  </si>
  <si>
    <t>696</t>
  </si>
  <si>
    <t>Výnosy samosprávy z kapitálových transferov od Európskych spoločenstiev</t>
  </si>
  <si>
    <t>697</t>
  </si>
  <si>
    <t>Výnosy samosprávy z bežných transferov od ostatných subjektov mimo verejnej správy</t>
  </si>
  <si>
    <t>698</t>
  </si>
  <si>
    <t>Výnosy samosprávy z kapitálových transferov od ostatných subjektov mimo verejnej správy</t>
  </si>
  <si>
    <t>699</t>
  </si>
  <si>
    <t>Výnosy samosprávy z odvodu rozpočtových príjmov</t>
  </si>
  <si>
    <t>Účtová trieda 6 súčet (r. 065 + r. 069 + r. 074 + r. 079 + r. 083 + r. 090 + r. 100 + r. 109 + r. 114 + r. 124)</t>
  </si>
  <si>
    <t>Výsledok hospodárenia pred zdanením (r. 134 mínus r. 064) (+/-)</t>
  </si>
  <si>
    <t>591</t>
  </si>
  <si>
    <t>Splatná daň z príjmov</t>
  </si>
  <si>
    <t>595</t>
  </si>
  <si>
    <t>Dodatočne platená daň z príjmov</t>
  </si>
  <si>
    <t>Výsledok hospodárenia po zdanení r. 135 mínus (r. 136, r. 137) (+/-)</t>
  </si>
  <si>
    <t>Receivables employees</t>
  </si>
  <si>
    <t>Transfers - State</t>
  </si>
  <si>
    <t>Bank  - debt</t>
  </si>
  <si>
    <t>Navratne financne vypomoci</t>
  </si>
  <si>
    <t>Ine</t>
  </si>
  <si>
    <t>other operting revenues</t>
  </si>
  <si>
    <t>costs</t>
  </si>
  <si>
    <t>Transfers</t>
  </si>
  <si>
    <t>revenues</t>
  </si>
  <si>
    <t>Príplatky k hrubej mzde</t>
  </si>
  <si>
    <t>JZS</t>
  </si>
  <si>
    <t>ALOS</t>
  </si>
  <si>
    <t>Obložnosť</t>
  </si>
  <si>
    <t>Gynekológia / Pôrodnica SNP</t>
  </si>
  <si>
    <t>K02</t>
  </si>
  <si>
    <t>I.Chirurgická  klinika  SNP</t>
  </si>
  <si>
    <t>K04</t>
  </si>
  <si>
    <t>Kl.ortop.a traumat.pohyb.ústroj. SNP</t>
  </si>
  <si>
    <t>K05</t>
  </si>
  <si>
    <t>Urologická klinika  SNP</t>
  </si>
  <si>
    <t>K07</t>
  </si>
  <si>
    <t>Klinika ORL a chirurgie hlavy a krku   SNP</t>
  </si>
  <si>
    <t>K09</t>
  </si>
  <si>
    <t>Očná klinika    SNP</t>
  </si>
  <si>
    <t>K11</t>
  </si>
  <si>
    <t>I. KAIM   SNP</t>
  </si>
  <si>
    <t>K13</t>
  </si>
  <si>
    <t>Neurochirurgická klinika  SNP</t>
  </si>
  <si>
    <t>K14</t>
  </si>
  <si>
    <t>I. stomatologická klinika  SNP</t>
  </si>
  <si>
    <t>K17</t>
  </si>
  <si>
    <t>I. interná klinika SNP</t>
  </si>
  <si>
    <t>K29</t>
  </si>
  <si>
    <t>Neurologická klinika  SNP</t>
  </si>
  <si>
    <t>K33</t>
  </si>
  <si>
    <t>Psychiatrické oddelenie  SNP</t>
  </si>
  <si>
    <t>K35</t>
  </si>
  <si>
    <t>Klinika  dermatovenerológie   SNP</t>
  </si>
  <si>
    <t>K38</t>
  </si>
  <si>
    <t>Oddelenie  FBaLR     SNP</t>
  </si>
  <si>
    <t>K40</t>
  </si>
  <si>
    <t>Kl. hematológie a onkohematológie SNP</t>
  </si>
  <si>
    <t>K44</t>
  </si>
  <si>
    <t>Neonatologické odd.  SNP</t>
  </si>
  <si>
    <t>K46</t>
  </si>
  <si>
    <t>Transplantačné oddelenie SNP</t>
  </si>
  <si>
    <t>K47</t>
  </si>
  <si>
    <t>Gynekológia / Pôrodnica RA</t>
  </si>
  <si>
    <t>K01</t>
  </si>
  <si>
    <t>II. Chirurgická klinika   RA</t>
  </si>
  <si>
    <t>K03</t>
  </si>
  <si>
    <t>Urologické oddelenie    RA</t>
  </si>
  <si>
    <t>K06</t>
  </si>
  <si>
    <t>Klinika úrazovej chirurgie RA</t>
  </si>
  <si>
    <t>K08</t>
  </si>
  <si>
    <t>Očné oddelenie    RA</t>
  </si>
  <si>
    <t>K10</t>
  </si>
  <si>
    <t>Oddeleni AIM    RA</t>
  </si>
  <si>
    <t>K12</t>
  </si>
  <si>
    <t>Odd. plastickej a rek. a est. chirurgie RA</t>
  </si>
  <si>
    <t>K15</t>
  </si>
  <si>
    <t>Kl. stomatológie a maxilofaciálnej chir.   RA</t>
  </si>
  <si>
    <t>K16</t>
  </si>
  <si>
    <t>IV. interná klinika RA</t>
  </si>
  <si>
    <t>K27</t>
  </si>
  <si>
    <t>Klinika infektológie a cestovnej medicíny RA</t>
  </si>
  <si>
    <t>K30</t>
  </si>
  <si>
    <t>Klinika pneumológie a ftizeológie  RA 1</t>
  </si>
  <si>
    <t>K31</t>
  </si>
  <si>
    <t>Neurologické  oddelenie    RA</t>
  </si>
  <si>
    <t>K32</t>
  </si>
  <si>
    <t>Psychiatrická klinika RA</t>
  </si>
  <si>
    <t>K34</t>
  </si>
  <si>
    <t>Klinika prac. lek. a klin. toxikológie  RA</t>
  </si>
  <si>
    <t>K36</t>
  </si>
  <si>
    <t>Klinika FBaLR    RA</t>
  </si>
  <si>
    <t>K39</t>
  </si>
  <si>
    <t>Neonatologické odd.  RA</t>
  </si>
  <si>
    <t>K45</t>
  </si>
  <si>
    <t>Chirurgicka klinika</t>
  </si>
  <si>
    <t>Traumatologické centrum</t>
  </si>
  <si>
    <t>I. interná klinika</t>
  </si>
  <si>
    <t>II. Interná klinika</t>
  </si>
  <si>
    <t>Centrum Matka a Dieťa - pôrodnica</t>
  </si>
  <si>
    <t>Centrum Matka a Dieťa</t>
  </si>
  <si>
    <t>Neonatológia</t>
  </si>
  <si>
    <t>Urológická klinika</t>
  </si>
  <si>
    <t>Neurológia</t>
  </si>
  <si>
    <t>Klinika stomatológie a maxilofaciálnej chirurgie</t>
  </si>
  <si>
    <t>Klinika ORL</t>
  </si>
  <si>
    <t>FBaLR</t>
  </si>
  <si>
    <t>Transplantačné oddelenie</t>
  </si>
  <si>
    <t>Psychiatrická klinika</t>
  </si>
  <si>
    <t>Klinika plastickej chirurgie</t>
  </si>
  <si>
    <t>Klinika dermavenerologie</t>
  </si>
  <si>
    <t>Klinika infektológie</t>
  </si>
  <si>
    <t>Pneumológia a ftizeológia</t>
  </si>
  <si>
    <t>Klinika pracovného lekárstva a toxikológie</t>
  </si>
  <si>
    <t>Hematológia a onkohematológia</t>
  </si>
  <si>
    <t>ODCH</t>
  </si>
  <si>
    <t>Oddelenie dlhodobej intenzívnej starostlivosti</t>
  </si>
  <si>
    <t>ZMENA</t>
  </si>
  <si>
    <t>#</t>
  </si>
  <si>
    <t>oddelenie</t>
  </si>
  <si>
    <t>areál</t>
  </si>
  <si>
    <t>zmena</t>
  </si>
  <si>
    <t>zmena (%)</t>
  </si>
  <si>
    <t>2018H</t>
  </si>
  <si>
    <t>2019H</t>
  </si>
  <si>
    <t>2020H</t>
  </si>
  <si>
    <t>2021E</t>
  </si>
  <si>
    <t>2022E</t>
  </si>
  <si>
    <t>2023E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</si>
  <si>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</si>
  <si>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</si>
  <si>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</si>
  <si>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</si>
  <si>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</si>
  <si>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</si>
  <si>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</si>
  <si>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</si>
  <si>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</si>
  <si>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</si>
  <si>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2034E</t>
  </si>
  <si>
    <t>2035E</t>
  </si>
  <si>
    <t>Celkom</t>
  </si>
  <si>
    <t>UNLP 2019</t>
  </si>
  <si>
    <t>UNLP zmena</t>
  </si>
  <si>
    <t>OSN 2019</t>
  </si>
  <si>
    <t>OSN zmena</t>
  </si>
  <si>
    <t>areál SNP</t>
  </si>
  <si>
    <t>SNP</t>
  </si>
  <si>
    <t>CELKOM</t>
  </si>
  <si>
    <t>areál RA</t>
  </si>
  <si>
    <t>RA</t>
  </si>
  <si>
    <t>IV. Interná klinika</t>
  </si>
  <si>
    <t>n/a</t>
  </si>
  <si>
    <t>Accounting</t>
  </si>
  <si>
    <t>SVaLZ</t>
  </si>
  <si>
    <t>Krv</t>
  </si>
  <si>
    <t>SZM</t>
  </si>
  <si>
    <t>Ambulantné výkony</t>
  </si>
  <si>
    <t>ZP pôrody</t>
  </si>
  <si>
    <t>ZP ambulantne vykony</t>
  </si>
  <si>
    <t>ZP JAS</t>
  </si>
  <si>
    <t>sadzba za casemix</t>
  </si>
  <si>
    <t>ZP za casemix</t>
  </si>
  <si>
    <t>Lieky</t>
  </si>
  <si>
    <t>Limity ZP - podla dodanych zmluv</t>
  </si>
  <si>
    <t>Uhrady od ZP podla odanych data</t>
  </si>
  <si>
    <t>toto bolo len za 1-6/2021</t>
  </si>
  <si>
    <t>Diff na dodane limity</t>
  </si>
  <si>
    <t>Z toho ine ako priame uhrady od ZP:</t>
  </si>
  <si>
    <t>Počet vykázaných HP</t>
  </si>
  <si>
    <t>Výška nárokovej úhrady</t>
  </si>
  <si>
    <t>počet uznaných HP</t>
  </si>
  <si>
    <t>Uznaná výška úhrad</t>
  </si>
  <si>
    <t>Reálna platba za HP</t>
  </si>
  <si>
    <t>Počet pacientov</t>
  </si>
  <si>
    <t>Počet vykázaných bodov</t>
  </si>
  <si>
    <t>Výška nárokovej platby</t>
  </si>
  <si>
    <t>Počet uznaných bodov</t>
  </si>
  <si>
    <t>Výška uznanej úhrady</t>
  </si>
  <si>
    <t>Výška reálnej platby</t>
  </si>
  <si>
    <t>Hospit</t>
  </si>
  <si>
    <t>SAS</t>
  </si>
  <si>
    <t>Počet výkonov/pacientov</t>
  </si>
  <si>
    <t>Výška nárokovanej úhrady</t>
  </si>
  <si>
    <t>JAS</t>
  </si>
  <si>
    <t>za 1-10/2021</t>
  </si>
  <si>
    <t>Realna platba ZP podla ineho zdroja</t>
  </si>
  <si>
    <t>Diff Uhrady z 2 zdrojov</t>
  </si>
  <si>
    <t>Reál nad Uznané</t>
  </si>
  <si>
    <t>Číslo</t>
  </si>
  <si>
    <t>Názov</t>
  </si>
  <si>
    <t>Počiatočné saldo roka</t>
  </si>
  <si>
    <t>Saldo ku koncu obdobia</t>
  </si>
  <si>
    <t>013.100000000</t>
  </si>
  <si>
    <t xml:space="preserve">Softvér </t>
  </si>
  <si>
    <t>013</t>
  </si>
  <si>
    <t>Skupina 01</t>
  </si>
  <si>
    <t>021.110000000</t>
  </si>
  <si>
    <t>Budovy,haly,stavby - RA</t>
  </si>
  <si>
    <t>021.120000000</t>
  </si>
  <si>
    <t>Budovy,haly, stavby  - SNP</t>
  </si>
  <si>
    <t>021</t>
  </si>
  <si>
    <t>022.100000000</t>
  </si>
  <si>
    <t>Samostatné hnuteľné veci a súb</t>
  </si>
  <si>
    <t>022</t>
  </si>
  <si>
    <t>023.100000000</t>
  </si>
  <si>
    <t xml:space="preserve">Dopravné prostriedky  </t>
  </si>
  <si>
    <t>023</t>
  </si>
  <si>
    <t>029.110000000</t>
  </si>
  <si>
    <t>Ostatný dlhodobý hmotný majeto</t>
  </si>
  <si>
    <t>029.120000000</t>
  </si>
  <si>
    <t>TZ nehnuteľných NKPamiatok RA</t>
  </si>
  <si>
    <t>029.130000000</t>
  </si>
  <si>
    <t>TZ plne odpísanej stavby RA</t>
  </si>
  <si>
    <t>029</t>
  </si>
  <si>
    <t>Skupina 02</t>
  </si>
  <si>
    <t>031.110000000</t>
  </si>
  <si>
    <t>Pozemky - RA</t>
  </si>
  <si>
    <t>031.120000000</t>
  </si>
  <si>
    <t>Pozemky  - SNP</t>
  </si>
  <si>
    <t>031</t>
  </si>
  <si>
    <t>032.100000000</t>
  </si>
  <si>
    <t>Umelecké diela a zbierky</t>
  </si>
  <si>
    <t>032</t>
  </si>
  <si>
    <t>Skupina 03</t>
  </si>
  <si>
    <t>041.100000000</t>
  </si>
  <si>
    <t>Obstar.dlhod.nehmot.majetku</t>
  </si>
  <si>
    <t>041</t>
  </si>
  <si>
    <t>042.100000000</t>
  </si>
  <si>
    <t>Obstaranie dlhodob.HM-stavebný</t>
  </si>
  <si>
    <t>042.200000000</t>
  </si>
  <si>
    <t xml:space="preserve">Obstaranie dlh. HM -strojový </t>
  </si>
  <si>
    <t>042.300000000</t>
  </si>
  <si>
    <t>Obstaranie dlh. HM -projekty</t>
  </si>
  <si>
    <t>042</t>
  </si>
  <si>
    <t>Skupina 04</t>
  </si>
  <si>
    <t>052.100000000</t>
  </si>
  <si>
    <t>Poskytn.predd.na dlhod.HM</t>
  </si>
  <si>
    <t>052</t>
  </si>
  <si>
    <t>Skupina 05</t>
  </si>
  <si>
    <t>073.100000000</t>
  </si>
  <si>
    <t xml:space="preserve">Oprávky k softvéru </t>
  </si>
  <si>
    <t>073</t>
  </si>
  <si>
    <t>Skupina 07</t>
  </si>
  <si>
    <t>081.100000000</t>
  </si>
  <si>
    <t xml:space="preserve">Oprávky k stavbám  </t>
  </si>
  <si>
    <t>081</t>
  </si>
  <si>
    <t>082.100000000</t>
  </si>
  <si>
    <t>Oprávky - k samostat. hnut.vec</t>
  </si>
  <si>
    <t>082</t>
  </si>
  <si>
    <t>083.100000000</t>
  </si>
  <si>
    <t>Oprávky k dopr.prostriedkom</t>
  </si>
  <si>
    <t>083</t>
  </si>
  <si>
    <t>089.110000000</t>
  </si>
  <si>
    <t xml:space="preserve">Oprávky k ostat.dlh. HM </t>
  </si>
  <si>
    <t>089.120000000</t>
  </si>
  <si>
    <t>Oprávky k TZ nehnuteľ. NKPamia</t>
  </si>
  <si>
    <t>089.130000000</t>
  </si>
  <si>
    <t>Oprávky k TZ odpísanej stavby</t>
  </si>
  <si>
    <t>089</t>
  </si>
  <si>
    <t>Skupina 08</t>
  </si>
  <si>
    <t>Trieda 0</t>
  </si>
  <si>
    <t>111.110000000</t>
  </si>
  <si>
    <t xml:space="preserve">Obstaranie materiálu </t>
  </si>
  <si>
    <t>111.120000000</t>
  </si>
  <si>
    <t>Obstaranie materiálu - Lekáreň</t>
  </si>
  <si>
    <t>111.130000000</t>
  </si>
  <si>
    <t>Obstaranie materiálu - ZM</t>
  </si>
  <si>
    <t>111.140000000</t>
  </si>
  <si>
    <t>Obstaranie materiálu - OH</t>
  </si>
  <si>
    <t>112.112000000</t>
  </si>
  <si>
    <t>Materiál na sklade - Lekáreň</t>
  </si>
  <si>
    <t>112.113000000</t>
  </si>
  <si>
    <t>Materiál na sklade - ZM</t>
  </si>
  <si>
    <t>112.114000000</t>
  </si>
  <si>
    <t>Krv a krvné výrobky</t>
  </si>
  <si>
    <t>112.134000000</t>
  </si>
  <si>
    <t>piliny</t>
  </si>
  <si>
    <t>112.135000000</t>
  </si>
  <si>
    <t>DDK u labor.B kov-Kobezdová</t>
  </si>
  <si>
    <t>112.136000000</t>
  </si>
  <si>
    <t>DDK u lab.aurosa- Kobezdová</t>
  </si>
  <si>
    <t>112.141000000</t>
  </si>
  <si>
    <t>Potraviny   Rastislavova</t>
  </si>
  <si>
    <t>112.142000000</t>
  </si>
  <si>
    <t>Potraviny  -mäso  RAS.</t>
  </si>
  <si>
    <t>112.144000000</t>
  </si>
  <si>
    <t>cenové rozdiely potravín</t>
  </si>
  <si>
    <t>112.146000000</t>
  </si>
  <si>
    <t>Večere -  RA</t>
  </si>
  <si>
    <t>112.147000000</t>
  </si>
  <si>
    <t>Večere - SNP</t>
  </si>
  <si>
    <t>112.148000000</t>
  </si>
  <si>
    <t>Potraviny-sklad č.8  SNP</t>
  </si>
  <si>
    <t>112.149000000</t>
  </si>
  <si>
    <t>Potraviny-sklad mäsa  č.9  SN</t>
  </si>
  <si>
    <t>112.151000000</t>
  </si>
  <si>
    <t>mat.upratovací,čistiaci   RA</t>
  </si>
  <si>
    <t>112.152000000</t>
  </si>
  <si>
    <t>materiál dezinf.-všeob.sklad</t>
  </si>
  <si>
    <t>112.153000000</t>
  </si>
  <si>
    <t>Kancelársky materiál RAST.</t>
  </si>
  <si>
    <t>112.154000000</t>
  </si>
  <si>
    <t>Iný všeob.materiál RAST.</t>
  </si>
  <si>
    <t>112.155000000</t>
  </si>
  <si>
    <t>Tlačivá  RAST.</t>
  </si>
  <si>
    <t>112.156000000</t>
  </si>
  <si>
    <t>Kuchyns.zar.,nád.a jedál.príb.</t>
  </si>
  <si>
    <t>112.157000000</t>
  </si>
  <si>
    <t xml:space="preserve">Bielizeň, odevy,obuv  sklad   </t>
  </si>
  <si>
    <t>112.158000000</t>
  </si>
  <si>
    <t>Ost.drob.hmot.majetok  RAS.</t>
  </si>
  <si>
    <t>112.161000000</t>
  </si>
  <si>
    <t>Nábytok SNP</t>
  </si>
  <si>
    <t>112.162000000</t>
  </si>
  <si>
    <t>Nábytok RA</t>
  </si>
  <si>
    <t>112.163000000</t>
  </si>
  <si>
    <t>Technický sklad SNP</t>
  </si>
  <si>
    <t>112.164000000</t>
  </si>
  <si>
    <t>Technické plyny  SNP</t>
  </si>
  <si>
    <t>112.165000000</t>
  </si>
  <si>
    <t>Technický sklad RA</t>
  </si>
  <si>
    <t>112.166000000</t>
  </si>
  <si>
    <t>Hasiace potreby -sklad  RA</t>
  </si>
  <si>
    <t>112.167000000</t>
  </si>
  <si>
    <t>Technické plyny RA</t>
  </si>
  <si>
    <t>112.171000000</t>
  </si>
  <si>
    <t>Materiál na sklade lekáreň</t>
  </si>
  <si>
    <t>112.172000000</t>
  </si>
  <si>
    <t>Materiál na sklade ZM</t>
  </si>
  <si>
    <t>112.173000000</t>
  </si>
  <si>
    <t>Osobitne hradený ZM</t>
  </si>
  <si>
    <t>112.181000000</t>
  </si>
  <si>
    <t>Sklad vrchných sestier - lieky</t>
  </si>
  <si>
    <t>112.182000000</t>
  </si>
  <si>
    <t>Sklad vrchných sestier - ZM</t>
  </si>
  <si>
    <t>119.110000000</t>
  </si>
  <si>
    <t>Materiál na ceste - sklad</t>
  </si>
  <si>
    <t>119.120000000</t>
  </si>
  <si>
    <t>Materiál na ceste  lieky</t>
  </si>
  <si>
    <t>119.130000000</t>
  </si>
  <si>
    <t>Materiál na ceste  ZM</t>
  </si>
  <si>
    <t>Skupina 11</t>
  </si>
  <si>
    <t>132.191000000</t>
  </si>
  <si>
    <t>Tovar na sklade Verej.lek. SNP</t>
  </si>
  <si>
    <t>Skupina 13</t>
  </si>
  <si>
    <t>Trieda 1</t>
  </si>
  <si>
    <t>211.010000000</t>
  </si>
  <si>
    <t>Hlavná pokladnica Rastislavova</t>
  </si>
  <si>
    <t>211.020000000</t>
  </si>
  <si>
    <t>Vrátnica Rastislavova - Regist</t>
  </si>
  <si>
    <t>211.030000000</t>
  </si>
  <si>
    <t>Hlavná pokladnica prac. SNP</t>
  </si>
  <si>
    <t>211.070000000</t>
  </si>
  <si>
    <t>Registračná pokl. vrátn. SNP</t>
  </si>
  <si>
    <t>211.080000000</t>
  </si>
  <si>
    <t>Poklad. parkovací automat SNP</t>
  </si>
  <si>
    <t>211.191000000</t>
  </si>
  <si>
    <t>Pokladň 1- Verejná lekáreň SNP</t>
  </si>
  <si>
    <t>211.192000000</t>
  </si>
  <si>
    <t>Pokladň 2- Verejná lekáreň SNP</t>
  </si>
  <si>
    <t>211.193000000</t>
  </si>
  <si>
    <t>Pokladň 3- Verejná lekáreň SNP</t>
  </si>
  <si>
    <t>211.194000000</t>
  </si>
  <si>
    <t>Pokladň 4- Ver.lek. Trezor SNP</t>
  </si>
  <si>
    <t>211</t>
  </si>
  <si>
    <t>213.100000000</t>
  </si>
  <si>
    <t>Cenniny - stravné lístky</t>
  </si>
  <si>
    <t>213</t>
  </si>
  <si>
    <t>Skupina 21</t>
  </si>
  <si>
    <t>221.110000000</t>
  </si>
  <si>
    <t>Bežný účet - Štátna pokladnica</t>
  </si>
  <si>
    <t>221.120000000</t>
  </si>
  <si>
    <t>BÚ Výúčbová základňa  ŠP</t>
  </si>
  <si>
    <t>221.150000000</t>
  </si>
  <si>
    <t>BÚ podnikateľský ŠP</t>
  </si>
  <si>
    <t>221.210000000</t>
  </si>
  <si>
    <t>BÚ sociálnych príspevkov ŠP</t>
  </si>
  <si>
    <t>221.240000000</t>
  </si>
  <si>
    <t>BÚ - Sponzorský -ŠP</t>
  </si>
  <si>
    <t>221.250000000</t>
  </si>
  <si>
    <t>BÚ - kapitálové výdavky zo ŠR</t>
  </si>
  <si>
    <t>221.370000000</t>
  </si>
  <si>
    <t>BÚ - Depozit</t>
  </si>
  <si>
    <t>221.380000000</t>
  </si>
  <si>
    <t>BÚ - Stravovanie</t>
  </si>
  <si>
    <t>221</t>
  </si>
  <si>
    <t>Skupina 22</t>
  </si>
  <si>
    <t>261.110000000</t>
  </si>
  <si>
    <t>Peniaze na ceste banka-pokladň</t>
  </si>
  <si>
    <t>261.120000000</t>
  </si>
  <si>
    <t>Prevod medzi účtami v ŠP</t>
  </si>
  <si>
    <t>261.130000000</t>
  </si>
  <si>
    <t>Peniaze na ceste poklad-poklad</t>
  </si>
  <si>
    <t>261.140000000</t>
  </si>
  <si>
    <t>Pen.na ceste pok.-park.automat</t>
  </si>
  <si>
    <t>261.191000000</t>
  </si>
  <si>
    <t>Pen.na ceste Pokl.1.VL SNP-pok</t>
  </si>
  <si>
    <t>261.192000000</t>
  </si>
  <si>
    <t>Pen.na ceste Pokl.2.VL SNP-pok</t>
  </si>
  <si>
    <t>261.193000000</t>
  </si>
  <si>
    <t>Pen.na ceste Pokl.3.VL SNP-pok</t>
  </si>
  <si>
    <t>261</t>
  </si>
  <si>
    <t>Skupina 26</t>
  </si>
  <si>
    <t>273.121000000</t>
  </si>
  <si>
    <t>Úroky 2011</t>
  </si>
  <si>
    <t>273</t>
  </si>
  <si>
    <t>Skupina 27</t>
  </si>
  <si>
    <t>Trieda 2</t>
  </si>
  <si>
    <t>311.110000000</t>
  </si>
  <si>
    <t>VšZP</t>
  </si>
  <si>
    <t>311.120000000</t>
  </si>
  <si>
    <t>Dôvera ZP</t>
  </si>
  <si>
    <t>311.130000000</t>
  </si>
  <si>
    <t>UNION ZP</t>
  </si>
  <si>
    <t>311.220000000</t>
  </si>
  <si>
    <t>Sociálna poisťovňa</t>
  </si>
  <si>
    <t>311.310000000</t>
  </si>
  <si>
    <t>Stravovanie - cudzí</t>
  </si>
  <si>
    <t>311.320000000</t>
  </si>
  <si>
    <t>odberatelia pren.majetku</t>
  </si>
  <si>
    <t>311.330000000</t>
  </si>
  <si>
    <t>Nájom parkovacích priestorov</t>
  </si>
  <si>
    <t>311.340000000</t>
  </si>
  <si>
    <t>Odberatelia bežný účet</t>
  </si>
  <si>
    <t>311.350000000</t>
  </si>
  <si>
    <t>Odberatelia podnikateľský účet</t>
  </si>
  <si>
    <t>311.370000000</t>
  </si>
  <si>
    <t>Odberatelia-klinické štúdie</t>
  </si>
  <si>
    <t>311.380000000</t>
  </si>
  <si>
    <t>Odberatelia - penále PČ</t>
  </si>
  <si>
    <t>311.911000000</t>
  </si>
  <si>
    <t>VšZP- Verejná lekáreň</t>
  </si>
  <si>
    <t>311.912000000</t>
  </si>
  <si>
    <t>Dôvera ZP - Verejná lekáreň</t>
  </si>
  <si>
    <t>311.913000000</t>
  </si>
  <si>
    <t>UNION ZP -  Verejná lekáreň</t>
  </si>
  <si>
    <t>311</t>
  </si>
  <si>
    <t>314.100000000</t>
  </si>
  <si>
    <t>Poskytnuté prevádzkové preddav</t>
  </si>
  <si>
    <t>314</t>
  </si>
  <si>
    <t>315.120000000</t>
  </si>
  <si>
    <t>315.910000000</t>
  </si>
  <si>
    <t>Pohľadávky Verejnej lekárne</t>
  </si>
  <si>
    <t>315</t>
  </si>
  <si>
    <t>Skupina 31</t>
  </si>
  <si>
    <t>321.111000000</t>
  </si>
  <si>
    <t>Neinvest. dod. tuzemskí lieky</t>
  </si>
  <si>
    <t>321.112000000</t>
  </si>
  <si>
    <t>Neinvest. dod. tuzemskí diagno</t>
  </si>
  <si>
    <t>321.113000000</t>
  </si>
  <si>
    <t>Neinvest. dod. tuzemskí  - ZM</t>
  </si>
  <si>
    <t>321.114000000</t>
  </si>
  <si>
    <t>Neinvest.dod. tuzemskí  - krv</t>
  </si>
  <si>
    <t>321.115000000</t>
  </si>
  <si>
    <t>Neinvest. dod.tuzemskí-potravi</t>
  </si>
  <si>
    <t>321.116000000</t>
  </si>
  <si>
    <t>Neinvest. dod. tuzemskí  - ene</t>
  </si>
  <si>
    <t>321.117000000</t>
  </si>
  <si>
    <t>Neinvest. dod. tuzemskí  - pen</t>
  </si>
  <si>
    <t>321.119000000</t>
  </si>
  <si>
    <t>Neinvest. dod. tuzemskí  - ost</t>
  </si>
  <si>
    <t>321.120000000</t>
  </si>
  <si>
    <t xml:space="preserve">Dodávatelia investiční  </t>
  </si>
  <si>
    <t>321.130000000</t>
  </si>
  <si>
    <t>Dodávatelia - Sponzorský fond</t>
  </si>
  <si>
    <t>321.191000000</t>
  </si>
  <si>
    <t>Neinv. dod. Verejná lek SNP</t>
  </si>
  <si>
    <t>321.212000000</t>
  </si>
  <si>
    <t>Neinvest. dod. zahraniční diag</t>
  </si>
  <si>
    <t>321.213000000</t>
  </si>
  <si>
    <t>Neinvest. dod. zahraniční - ZM</t>
  </si>
  <si>
    <t>321.219000000</t>
  </si>
  <si>
    <t>Neinvest. dod. zahraniční-ost.</t>
  </si>
  <si>
    <t>321</t>
  </si>
  <si>
    <t>323.115000000</t>
  </si>
  <si>
    <t>Ostatné rezrevy súdne spory</t>
  </si>
  <si>
    <t>323.116000000</t>
  </si>
  <si>
    <t>Ostatné rezervy pokuty  penále</t>
  </si>
  <si>
    <t>323.119000000</t>
  </si>
  <si>
    <t>Iné riziká a straty</t>
  </si>
  <si>
    <t>323.121000000</t>
  </si>
  <si>
    <t>Zákonné rezervy na dovolen. PČ</t>
  </si>
  <si>
    <t>323.122000000</t>
  </si>
  <si>
    <t>Zákonné rezervy odvody PČ</t>
  </si>
  <si>
    <t>323</t>
  </si>
  <si>
    <t>324.110000000</t>
  </si>
  <si>
    <t>Prijaté preddavky od VšZP</t>
  </si>
  <si>
    <t>324</t>
  </si>
  <si>
    <t>325.110000000</t>
  </si>
  <si>
    <t>Ost. záväzky-neident. plat.Odb</t>
  </si>
  <si>
    <t>325</t>
  </si>
  <si>
    <t>326.100000000</t>
  </si>
  <si>
    <t>326</t>
  </si>
  <si>
    <t>Skupina 32</t>
  </si>
  <si>
    <t>331.100000000</t>
  </si>
  <si>
    <t>Zamestnanci - mzdový fond, OON</t>
  </si>
  <si>
    <t>331</t>
  </si>
  <si>
    <t>333.120000000</t>
  </si>
  <si>
    <t>Deponované mzdy</t>
  </si>
  <si>
    <t>333.130000000</t>
  </si>
  <si>
    <t>Zál. na ID karty a iné-záväzok</t>
  </si>
  <si>
    <t>333.140000000</t>
  </si>
  <si>
    <t>Príspevok na rekreácie</t>
  </si>
  <si>
    <t>333</t>
  </si>
  <si>
    <t>335.110000000</t>
  </si>
  <si>
    <t>Zálohy zamestnancom</t>
  </si>
  <si>
    <t>335.120000000</t>
  </si>
  <si>
    <t>Nákup PHM - karty Slovnaft</t>
  </si>
  <si>
    <t>335.130000000</t>
  </si>
  <si>
    <t>Uplatnené náhrady voči zamest.</t>
  </si>
  <si>
    <t>335.140000000</t>
  </si>
  <si>
    <t>Stravné lístky - pohľadávky</t>
  </si>
  <si>
    <t>335</t>
  </si>
  <si>
    <t>336.111000000</t>
  </si>
  <si>
    <t>VšZP - ZP - zamestnávateľ</t>
  </si>
  <si>
    <t>336.112000000</t>
  </si>
  <si>
    <t>VšZp  - ZP - zamestnanec</t>
  </si>
  <si>
    <t>336.113000000</t>
  </si>
  <si>
    <t>VšZP - ZP - ročné zúčtovanie</t>
  </si>
  <si>
    <t>336.121000000</t>
  </si>
  <si>
    <t>Dôvera - ZP - zamestnávateľ</t>
  </si>
  <si>
    <t>336.122000000</t>
  </si>
  <si>
    <t>Dôvera - ZP - zamestnanec</t>
  </si>
  <si>
    <t>336.123000000</t>
  </si>
  <si>
    <t>Dôvera - ZP - ročné zúčtovanie</t>
  </si>
  <si>
    <t>336.131000000</t>
  </si>
  <si>
    <t>Union - ZP - zamestnávateľ</t>
  </si>
  <si>
    <t>336.132000000</t>
  </si>
  <si>
    <t>Union - ZP - zamestnanec</t>
  </si>
  <si>
    <t>336.133000000</t>
  </si>
  <si>
    <t>Union - ZP - ročné zúčtovanie</t>
  </si>
  <si>
    <t>336.211000000</t>
  </si>
  <si>
    <t>SP-pravid. príjem-zamestnávate</t>
  </si>
  <si>
    <t>336.212000000</t>
  </si>
  <si>
    <t>SP-pravid. príjem-zamestnanec</t>
  </si>
  <si>
    <t>336.221000000</t>
  </si>
  <si>
    <t>SP-nepravid. príjem-zamestnáva</t>
  </si>
  <si>
    <t>336.222000000</t>
  </si>
  <si>
    <t>SP-nepravid. príjem-zamestnane</t>
  </si>
  <si>
    <t>336.311000000</t>
  </si>
  <si>
    <t>DDS - INGTatry Sympatia</t>
  </si>
  <si>
    <t>336.312000000</t>
  </si>
  <si>
    <t>DDS - Stabilita</t>
  </si>
  <si>
    <t>336.313000000</t>
  </si>
  <si>
    <t>DDS - Tatrabanka a.s.</t>
  </si>
  <si>
    <t>336.314000000</t>
  </si>
  <si>
    <t>DDS - AXA - UNIQA</t>
  </si>
  <si>
    <t>336.321000000</t>
  </si>
  <si>
    <t>336.322000000</t>
  </si>
  <si>
    <t>336.323000000</t>
  </si>
  <si>
    <t>336.324000000</t>
  </si>
  <si>
    <t>336.420000000</t>
  </si>
  <si>
    <t xml:space="preserve">DSS - ING - zamestnanec </t>
  </si>
  <si>
    <t>336.430000000</t>
  </si>
  <si>
    <t>DSS - VÚB GENERALI zamestnanec</t>
  </si>
  <si>
    <t>336.582000000</t>
  </si>
  <si>
    <t>SP - Penále a pokuty</t>
  </si>
  <si>
    <t>336</t>
  </si>
  <si>
    <t>Skupina 33</t>
  </si>
  <si>
    <t>341.110000000</t>
  </si>
  <si>
    <t>341.120000000</t>
  </si>
  <si>
    <t>Daňové pohľadávky-preplatok</t>
  </si>
  <si>
    <t>341.200000000</t>
  </si>
  <si>
    <t>Zrážková daň § 43 ods. 17</t>
  </si>
  <si>
    <t>341</t>
  </si>
  <si>
    <t>342.100000000</t>
  </si>
  <si>
    <t>Daň. záväzky- DP zo závislej č</t>
  </si>
  <si>
    <t>342</t>
  </si>
  <si>
    <t>343.121100000</t>
  </si>
  <si>
    <t>DPH odpočet 20 %</t>
  </si>
  <si>
    <t>343.121200000</t>
  </si>
  <si>
    <t>DPH odpočet 20 % koef.</t>
  </si>
  <si>
    <t>343.121300000</t>
  </si>
  <si>
    <t>DPH odpočet 10%</t>
  </si>
  <si>
    <t>343.121400000</t>
  </si>
  <si>
    <t>DPH odpočet 10% koef.</t>
  </si>
  <si>
    <t>343.123120000</t>
  </si>
  <si>
    <t>DPH  bez nároku odpočet EU</t>
  </si>
  <si>
    <t>343.138100000</t>
  </si>
  <si>
    <t>DPH výstup 20%</t>
  </si>
  <si>
    <t>343.138200000</t>
  </si>
  <si>
    <t>DPH výstup 20% - nákup EU</t>
  </si>
  <si>
    <t>343.138210000</t>
  </si>
  <si>
    <t>DPH výstup 10% - nákup EU</t>
  </si>
  <si>
    <t>343.138500000</t>
  </si>
  <si>
    <t>DPH výstup 10%</t>
  </si>
  <si>
    <t>343.138800000</t>
  </si>
  <si>
    <t>DPH tuzemské samozdanenie</t>
  </si>
  <si>
    <t>343.138900000</t>
  </si>
  <si>
    <t>Odúčtovanie uplat. nároku DPH</t>
  </si>
  <si>
    <t>343.140000000</t>
  </si>
  <si>
    <t>DPH - vzťah voči DÚ</t>
  </si>
  <si>
    <t>343</t>
  </si>
  <si>
    <t>345.100000000</t>
  </si>
  <si>
    <t>Daň z nehnuteľností</t>
  </si>
  <si>
    <t>345.200000000</t>
  </si>
  <si>
    <t>345.300000000</t>
  </si>
  <si>
    <t>Dane a poplatky - ostatné</t>
  </si>
  <si>
    <t>345</t>
  </si>
  <si>
    <t>Skupina 34</t>
  </si>
  <si>
    <t>352.100000000</t>
  </si>
  <si>
    <t xml:space="preserve">Zúčt.z fin.ŠR -bežné výdavky </t>
  </si>
  <si>
    <t>352.200000000</t>
  </si>
  <si>
    <t>Zúčt. z financov.zo ŠR- kapitá</t>
  </si>
  <si>
    <t>352</t>
  </si>
  <si>
    <t>353.100000000</t>
  </si>
  <si>
    <t>Zúčt.transferov zo  ŠR - kapit</t>
  </si>
  <si>
    <t>353.210000000</t>
  </si>
  <si>
    <t>Transf.Rek.moder.amb.st. EÚ</t>
  </si>
  <si>
    <t>353.220000000</t>
  </si>
  <si>
    <t>Transf. Urgentný príjem EÚ</t>
  </si>
  <si>
    <t>353.300000000</t>
  </si>
  <si>
    <t>Zúčt.transferov zo ŠR KV-nevyč</t>
  </si>
  <si>
    <t>353.400000000</t>
  </si>
  <si>
    <t>Zúčt.transferov zo ŠR BV-nevyč</t>
  </si>
  <si>
    <t>353</t>
  </si>
  <si>
    <t>359.110000000</t>
  </si>
  <si>
    <t>Zúčtovanie transferov medzi su</t>
  </si>
  <si>
    <t>359</t>
  </si>
  <si>
    <t>Skupina 35</t>
  </si>
  <si>
    <t>372.110000000</t>
  </si>
  <si>
    <t>Transfery a ostatné zúčtovanie</t>
  </si>
  <si>
    <t>372.120000000</t>
  </si>
  <si>
    <t>Transfery - Sponzorský fond</t>
  </si>
  <si>
    <t>372</t>
  </si>
  <si>
    <t>378.120000000</t>
  </si>
  <si>
    <t>Colná zábezpeka - Lieh</t>
  </si>
  <si>
    <t>378.130000000</t>
  </si>
  <si>
    <t>Ost.pohľ-Iné zábezpeky,depozit</t>
  </si>
  <si>
    <t>378.140000000</t>
  </si>
  <si>
    <t>Poistné plnenie</t>
  </si>
  <si>
    <t>378.150000000</t>
  </si>
  <si>
    <t>Rezidenti</t>
  </si>
  <si>
    <t>378.160000000</t>
  </si>
  <si>
    <t>Odborná prax</t>
  </si>
  <si>
    <t>378.190000000</t>
  </si>
  <si>
    <t>Iné pohľadávky-ostatné</t>
  </si>
  <si>
    <t>378</t>
  </si>
  <si>
    <t>379.110000000</t>
  </si>
  <si>
    <t>V.O.S.-Zabezpeka-prijatá</t>
  </si>
  <si>
    <t>379.120000000</t>
  </si>
  <si>
    <t>Penále,poplatky Zdrav. a Soc.</t>
  </si>
  <si>
    <t>379.130000000</t>
  </si>
  <si>
    <t>Poistné</t>
  </si>
  <si>
    <t>379.140000000</t>
  </si>
  <si>
    <t>Zrážky zam. výživ.,exek,odbory</t>
  </si>
  <si>
    <t>379.180000000</t>
  </si>
  <si>
    <t>Pokuty a penále ostatné</t>
  </si>
  <si>
    <t>379.190000000</t>
  </si>
  <si>
    <t>Ostatné - iné záväzky</t>
  </si>
  <si>
    <t>379.210000000</t>
  </si>
  <si>
    <t>Postúpenie - istina</t>
  </si>
  <si>
    <t>379.220000000</t>
  </si>
  <si>
    <t>Postúpenie - penále</t>
  </si>
  <si>
    <t>379.230000000</t>
  </si>
  <si>
    <t>Postup_Ručenie - istina</t>
  </si>
  <si>
    <t>379</t>
  </si>
  <si>
    <t>Skupina 37</t>
  </si>
  <si>
    <t>381.120000000</t>
  </si>
  <si>
    <t>Náklady budúcich období-poistn</t>
  </si>
  <si>
    <t>381</t>
  </si>
  <si>
    <t>384.110000000</t>
  </si>
  <si>
    <t xml:space="preserve">Výnosy budúc.období-HM  </t>
  </si>
  <si>
    <t>384.130000000</t>
  </si>
  <si>
    <t>Výnosy budúcich období,ostatné</t>
  </si>
  <si>
    <t>384</t>
  </si>
  <si>
    <t>385.100000000</t>
  </si>
  <si>
    <t xml:space="preserve">Príjmy budúcich období  </t>
  </si>
  <si>
    <t>385</t>
  </si>
  <si>
    <t>Skupina 38</t>
  </si>
  <si>
    <t>391.110000000</t>
  </si>
  <si>
    <t>Oprav. pol. k pohľ. ZP - Hč</t>
  </si>
  <si>
    <t>391.210000000</t>
  </si>
  <si>
    <t>Oprav.pol. k pohľ. 311 - Pč</t>
  </si>
  <si>
    <t>391.220000000</t>
  </si>
  <si>
    <t>Oprav. pol. k 315 ost. poh. Pč</t>
  </si>
  <si>
    <t>391</t>
  </si>
  <si>
    <t>395.110000000</t>
  </si>
  <si>
    <t>Vnútorné zúčtovanie - večere</t>
  </si>
  <si>
    <t>395.130000000</t>
  </si>
  <si>
    <t>Vnútorné zúčtovanie - Lekáreň</t>
  </si>
  <si>
    <t>395.140000000</t>
  </si>
  <si>
    <t>Vnútorné zúčtovanie - ZM</t>
  </si>
  <si>
    <t>395.150000000</t>
  </si>
  <si>
    <t>Vnútorné zúčtovanie - PS</t>
  </si>
  <si>
    <t>395.160000000</t>
  </si>
  <si>
    <t>Vnútorné zúčtovanie - VL</t>
  </si>
  <si>
    <t>395.190000000</t>
  </si>
  <si>
    <t>Vnút. zúčtovanie ostatné</t>
  </si>
  <si>
    <t>395</t>
  </si>
  <si>
    <t>Skupina 39</t>
  </si>
  <si>
    <t>Trieda 3</t>
  </si>
  <si>
    <t>428.100000000</t>
  </si>
  <si>
    <t>Nevysporiadaný výsledok hospod</t>
  </si>
  <si>
    <t>428</t>
  </si>
  <si>
    <t>Skupina 42</t>
  </si>
  <si>
    <t>431.100000000</t>
  </si>
  <si>
    <t>Výsledok hospodárenia v schvaľ</t>
  </si>
  <si>
    <t>431</t>
  </si>
  <si>
    <t>Skupina 43</t>
  </si>
  <si>
    <t>472.100000000</t>
  </si>
  <si>
    <t>Počiatočný stav</t>
  </si>
  <si>
    <t>472.200000000</t>
  </si>
  <si>
    <t>Tvorba</t>
  </si>
  <si>
    <t>472.310000000</t>
  </si>
  <si>
    <t>Soc.výpomoc nenávrat.úmrtia</t>
  </si>
  <si>
    <t>472.320000000</t>
  </si>
  <si>
    <t>Prac.výročia a jubileá</t>
  </si>
  <si>
    <t>472.330000000</t>
  </si>
  <si>
    <t>Regenerácia prac. sily</t>
  </si>
  <si>
    <t>472.340000000</t>
  </si>
  <si>
    <t>Na závodné stravovanie</t>
  </si>
  <si>
    <t>472</t>
  </si>
  <si>
    <t>479.120000000</t>
  </si>
  <si>
    <t>Ost.dlh.záväzky-321.12</t>
  </si>
  <si>
    <t>479</t>
  </si>
  <si>
    <t>Skupina 47</t>
  </si>
  <si>
    <t>Trieda 4</t>
  </si>
  <si>
    <t>501.111012000</t>
  </si>
  <si>
    <t>Tráv. trakt a metab - okrem PP</t>
  </si>
  <si>
    <t>501.111022000</t>
  </si>
  <si>
    <t>Krv a krvotvor. org.- okrem PP</t>
  </si>
  <si>
    <t>501.111032000</t>
  </si>
  <si>
    <t>Kardiovaskulárny sys- okrem PP</t>
  </si>
  <si>
    <t>501.111042000</t>
  </si>
  <si>
    <t>Dermatologiká - PP</t>
  </si>
  <si>
    <t>501.111052000</t>
  </si>
  <si>
    <t>Urog. trakt a poh.hor-okrem PP</t>
  </si>
  <si>
    <t>501.111062000</t>
  </si>
  <si>
    <t>Systémové hormóny- okrem PP</t>
  </si>
  <si>
    <t>501.111072000</t>
  </si>
  <si>
    <t>Antiinfektíva  okrem- PP</t>
  </si>
  <si>
    <t>501.111082000</t>
  </si>
  <si>
    <t>Antineoplast. a imun.-okrem PP</t>
  </si>
  <si>
    <t>501.111092000</t>
  </si>
  <si>
    <t>Muskoskeletálny syst. okrem PP</t>
  </si>
  <si>
    <t>501.111102000</t>
  </si>
  <si>
    <t>Centrálna ner. súst.-okrem PP</t>
  </si>
  <si>
    <t>501.111112000</t>
  </si>
  <si>
    <t>Antiparazitiká - okrem PP</t>
  </si>
  <si>
    <t>501.111122000</t>
  </si>
  <si>
    <t>Respiračný systém - okrem PP</t>
  </si>
  <si>
    <t>501.111132000</t>
  </si>
  <si>
    <t>Zmyslové orgány - okrem  PP</t>
  </si>
  <si>
    <t>501.111141200</t>
  </si>
  <si>
    <t>Diagnostiká – okrem PP</t>
  </si>
  <si>
    <t>501.111142200</t>
  </si>
  <si>
    <t>Ostatné vária - okrem PP</t>
  </si>
  <si>
    <t>501.111152000</t>
  </si>
  <si>
    <t>Kontrastné látky - okem PP</t>
  </si>
  <si>
    <t>501.112100000</t>
  </si>
  <si>
    <t>Medicinálne plyny</t>
  </si>
  <si>
    <t>501.112200000</t>
  </si>
  <si>
    <t>Dietetiká-potraviny a výž.dopl</t>
  </si>
  <si>
    <t>501.112400000</t>
  </si>
  <si>
    <t>Suroviny a obaly</t>
  </si>
  <si>
    <t>501.113100000</t>
  </si>
  <si>
    <t>Ostatné lieky-mimoriadny dovoz</t>
  </si>
  <si>
    <t>501.121000000</t>
  </si>
  <si>
    <t>501.130100000</t>
  </si>
  <si>
    <t>Implantáty</t>
  </si>
  <si>
    <t>501.130300000</t>
  </si>
  <si>
    <t>RTG materiál</t>
  </si>
  <si>
    <t>501.130500000</t>
  </si>
  <si>
    <t>Stomatologický ZM</t>
  </si>
  <si>
    <t>501.130600000</t>
  </si>
  <si>
    <t>Podtlakový systém hojenia rán</t>
  </si>
  <si>
    <t>501.130800000</t>
  </si>
  <si>
    <t>Ostatný osobitne hradený mater</t>
  </si>
  <si>
    <t>501.131100000</t>
  </si>
  <si>
    <t>Obväzový materiál</t>
  </si>
  <si>
    <t>501.131200000</t>
  </si>
  <si>
    <t>Šicí materiál</t>
  </si>
  <si>
    <t>501.131301000</t>
  </si>
  <si>
    <t>501.131303000</t>
  </si>
  <si>
    <t>501.131304000</t>
  </si>
  <si>
    <t>Inštrumenty</t>
  </si>
  <si>
    <t>501.131305000</t>
  </si>
  <si>
    <t>501.131306000</t>
  </si>
  <si>
    <t>501.131307000</t>
  </si>
  <si>
    <t>Oftalmologický ZM okrem implan</t>
  </si>
  <si>
    <t>501.131308000</t>
  </si>
  <si>
    <t>Ostatný osobitne nehradený mat</t>
  </si>
  <si>
    <t>501.131400000</t>
  </si>
  <si>
    <t>Jednorazové operačné materiály</t>
  </si>
  <si>
    <t>501.131500000</t>
  </si>
  <si>
    <t>Diagnostické zdravotnícke pomô</t>
  </si>
  <si>
    <t>501.131600000</t>
  </si>
  <si>
    <t>Laboratórny materiál</t>
  </si>
  <si>
    <t>501.131700000</t>
  </si>
  <si>
    <t>Odberový materiál</t>
  </si>
  <si>
    <t>501.141100000</t>
  </si>
  <si>
    <t>Potraviny pre pacientov RA</t>
  </si>
  <si>
    <t>501.141200000</t>
  </si>
  <si>
    <t>Potraviny pre pacientov  SNP</t>
  </si>
  <si>
    <t>501.142110000</t>
  </si>
  <si>
    <t>Potraviny pre zamest RA-obedy</t>
  </si>
  <si>
    <t>501.142210000</t>
  </si>
  <si>
    <t>Potraviny pre zamest SNP-obedy</t>
  </si>
  <si>
    <t>501.143100000</t>
  </si>
  <si>
    <t>Potraviny pre cudzích - RA</t>
  </si>
  <si>
    <t>501.143200000</t>
  </si>
  <si>
    <t>Potraviny pre cudzích - SNP</t>
  </si>
  <si>
    <t>501.144000000</t>
  </si>
  <si>
    <t>Pitný režim - pacienti</t>
  </si>
  <si>
    <t>501.151100000</t>
  </si>
  <si>
    <t xml:space="preserve">Čistiace prostriedky </t>
  </si>
  <si>
    <t>501.151200000</t>
  </si>
  <si>
    <t xml:space="preserve">Dezinfekčné prostriedky </t>
  </si>
  <si>
    <t>501.152000000</t>
  </si>
  <si>
    <t>501.153000000</t>
  </si>
  <si>
    <t xml:space="preserve">Tlačivá </t>
  </si>
  <si>
    <t>501.154000000</t>
  </si>
  <si>
    <t>Technické plyny</t>
  </si>
  <si>
    <t>501.155000000</t>
  </si>
  <si>
    <t xml:space="preserve">Pracie  prostriedky </t>
  </si>
  <si>
    <t>501.156100000</t>
  </si>
  <si>
    <t>Ochranné pomôcky</t>
  </si>
  <si>
    <t>501.156200000</t>
  </si>
  <si>
    <t>Ostatné pomôcky nezaradené</t>
  </si>
  <si>
    <t>501.157100000</t>
  </si>
  <si>
    <t>Kuchynský spotr.  materiál</t>
  </si>
  <si>
    <t>501.157200000</t>
  </si>
  <si>
    <t>Ostatný spotr. materiál</t>
  </si>
  <si>
    <t>501.161000000</t>
  </si>
  <si>
    <t>Náhradné diely ZT</t>
  </si>
  <si>
    <t>501.162100000</t>
  </si>
  <si>
    <t>Obalový materiál</t>
  </si>
  <si>
    <t>501.162200000</t>
  </si>
  <si>
    <t>Prevázkovo-technický materiál</t>
  </si>
  <si>
    <t>501.171000000</t>
  </si>
  <si>
    <t>Zdravotnícka technika</t>
  </si>
  <si>
    <t>501.172100000</t>
  </si>
  <si>
    <t>Prevádzka -DHM</t>
  </si>
  <si>
    <t>501.172200000</t>
  </si>
  <si>
    <t>Prevádzka - spotreba ostatné</t>
  </si>
  <si>
    <t>501.173000000</t>
  </si>
  <si>
    <t>IT</t>
  </si>
  <si>
    <t>501.174000000</t>
  </si>
  <si>
    <t>Telekomunikačná technika</t>
  </si>
  <si>
    <t>501.175000000</t>
  </si>
  <si>
    <t>Knižnica</t>
  </si>
  <si>
    <t>501.176000000</t>
  </si>
  <si>
    <t>Bielizeň rovná, operačná, paci</t>
  </si>
  <si>
    <t>501.177000000</t>
  </si>
  <si>
    <t>Ostatný drobný hmnotný majetok</t>
  </si>
  <si>
    <t>501.178000000</t>
  </si>
  <si>
    <t>Nábytok</t>
  </si>
  <si>
    <t>501.183000000</t>
  </si>
  <si>
    <t>Palivá plynné (PHM)</t>
  </si>
  <si>
    <t>501.184000000</t>
  </si>
  <si>
    <t>PHM - benzín</t>
  </si>
  <si>
    <t>501.185000000</t>
  </si>
  <si>
    <t xml:space="preserve">PHM  - nafta </t>
  </si>
  <si>
    <t>501.186000000</t>
  </si>
  <si>
    <t>Oleje a mazadlá</t>
  </si>
  <si>
    <t>501.190000000</t>
  </si>
  <si>
    <t>Ostatný materiál</t>
  </si>
  <si>
    <t>501.912000000</t>
  </si>
  <si>
    <t>PČ - suroviny a obaly VL</t>
  </si>
  <si>
    <t>501.913000000</t>
  </si>
  <si>
    <t>PČ - ZM</t>
  </si>
  <si>
    <t>501.914000000</t>
  </si>
  <si>
    <t>PČ - potraviny pre cudzích</t>
  </si>
  <si>
    <t>501.915000000</t>
  </si>
  <si>
    <t>PČ - všeobecný materiál</t>
  </si>
  <si>
    <t>501.916000000</t>
  </si>
  <si>
    <t>PČ - mater.na údržbu + ND</t>
  </si>
  <si>
    <t>501.917000000</t>
  </si>
  <si>
    <t>PČ -drobný dlh. HM do 1 700 €</t>
  </si>
  <si>
    <t>502.110000000</t>
  </si>
  <si>
    <t>Elektrická energia</t>
  </si>
  <si>
    <t>502.120000000</t>
  </si>
  <si>
    <t>Plyn</t>
  </si>
  <si>
    <t>502.140000000</t>
  </si>
  <si>
    <t>Voda</t>
  </si>
  <si>
    <t>502.150000000</t>
  </si>
  <si>
    <t xml:space="preserve">Para </t>
  </si>
  <si>
    <t>502.911000000</t>
  </si>
  <si>
    <t>PČ - elektrická energia</t>
  </si>
  <si>
    <t>502.912000000</t>
  </si>
  <si>
    <t>PČ - plyn</t>
  </si>
  <si>
    <t>502.914000000</t>
  </si>
  <si>
    <t>PČ - voda</t>
  </si>
  <si>
    <t>502.915000000</t>
  </si>
  <si>
    <t>PČ - para</t>
  </si>
  <si>
    <t>504.911000000</t>
  </si>
  <si>
    <t>Predané lieky VL</t>
  </si>
  <si>
    <t>504.912000000</t>
  </si>
  <si>
    <t>Predané zdrav.  pomôcky VL</t>
  </si>
  <si>
    <t>504.913000000</t>
  </si>
  <si>
    <t>Predaný dopln. sortiment VL</t>
  </si>
  <si>
    <t>504</t>
  </si>
  <si>
    <t>Skupina 50</t>
  </si>
  <si>
    <t>511.110000000</t>
  </si>
  <si>
    <t>Opravy a údržba zdrav.techniky</t>
  </si>
  <si>
    <t>511.120000000</t>
  </si>
  <si>
    <t>Opravy a údržba nezdrav.techni</t>
  </si>
  <si>
    <t>511.131000000</t>
  </si>
  <si>
    <t>Opravy budov a stavieb</t>
  </si>
  <si>
    <t>511.132000000</t>
  </si>
  <si>
    <t>Ostatná údržba-revízie VTZ</t>
  </si>
  <si>
    <t>511.140000000</t>
  </si>
  <si>
    <t>Opravy a údržba vozového parku</t>
  </si>
  <si>
    <t>511.150000000</t>
  </si>
  <si>
    <t>Opravy a údržba výpočt. techni</t>
  </si>
  <si>
    <t>511.160000000</t>
  </si>
  <si>
    <t>Opravy a údržba telekom. techn</t>
  </si>
  <si>
    <t>511.170000000</t>
  </si>
  <si>
    <t xml:space="preserve">Ostatné </t>
  </si>
  <si>
    <t>511.913000000</t>
  </si>
  <si>
    <t>PČ - opravy a udržiavanie budo</t>
  </si>
  <si>
    <t>512.111000000</t>
  </si>
  <si>
    <t>Stravné</t>
  </si>
  <si>
    <t>512.112000000</t>
  </si>
  <si>
    <t>Ostatné</t>
  </si>
  <si>
    <t>512.113000000</t>
  </si>
  <si>
    <t>Náhrada cestovného</t>
  </si>
  <si>
    <t>513.100000000</t>
  </si>
  <si>
    <t>518.111000000</t>
  </si>
  <si>
    <t>Konzíliá</t>
  </si>
  <si>
    <t>518.114000000</t>
  </si>
  <si>
    <t>Laboratórne vyšetrenia</t>
  </si>
  <si>
    <t>518.118000000</t>
  </si>
  <si>
    <t>Ostatné  (protetické práce)</t>
  </si>
  <si>
    <t>518.121000000</t>
  </si>
  <si>
    <t>Upratovanie</t>
  </si>
  <si>
    <t>518.124000000</t>
  </si>
  <si>
    <t>Odpadové hospodárstvo</t>
  </si>
  <si>
    <t>518.125000000</t>
  </si>
  <si>
    <t>Dezinfekcia a deratizácia</t>
  </si>
  <si>
    <t>518.126000000</t>
  </si>
  <si>
    <t>Ochrana objektov</t>
  </si>
  <si>
    <t>518.128000000</t>
  </si>
  <si>
    <t>Stočné, zrážková voda</t>
  </si>
  <si>
    <t>518.129000000</t>
  </si>
  <si>
    <t>Ostatné prevádzkové služby</t>
  </si>
  <si>
    <t>518.132000000</t>
  </si>
  <si>
    <t>Marketing a inzercia</t>
  </si>
  <si>
    <t>518.133000000</t>
  </si>
  <si>
    <t xml:space="preserve">Právne, poradenské, exekučné, </t>
  </si>
  <si>
    <t>518.134000000</t>
  </si>
  <si>
    <t>Štúdie, posudky, expertízy</t>
  </si>
  <si>
    <t>518.136100000</t>
  </si>
  <si>
    <t>Provízie a refundácie</t>
  </si>
  <si>
    <t>518.136200000</t>
  </si>
  <si>
    <t>REZIDENTI - popl. za ŠŠ</t>
  </si>
  <si>
    <t>518.137000000</t>
  </si>
  <si>
    <t>Ostatné manažérske služby</t>
  </si>
  <si>
    <t>518.140000000</t>
  </si>
  <si>
    <t>Nájomné</t>
  </si>
  <si>
    <t>518.150000000</t>
  </si>
  <si>
    <t>Vzdelávanie</t>
  </si>
  <si>
    <t>518.161000000</t>
  </si>
  <si>
    <t>Služby inform. technológií</t>
  </si>
  <si>
    <t>518.162000000</t>
  </si>
  <si>
    <t>518.163000000</t>
  </si>
  <si>
    <t>518.164000000</t>
  </si>
  <si>
    <t xml:space="preserve">Doprava všeobecná </t>
  </si>
  <si>
    <t>518.171000000</t>
  </si>
  <si>
    <t>Ostatné služby vozového parku</t>
  </si>
  <si>
    <t>518.172000000</t>
  </si>
  <si>
    <t>Ostatné služby zdrav. techniky</t>
  </si>
  <si>
    <t>518.173000000</t>
  </si>
  <si>
    <t>Ostatné služby výpočtovej tech</t>
  </si>
  <si>
    <t>518.174000000</t>
  </si>
  <si>
    <t>Ostatné služby prevádz. celkov</t>
  </si>
  <si>
    <t>518.175000000</t>
  </si>
  <si>
    <t>Ostatné služby nezdrav. techni</t>
  </si>
  <si>
    <t>518.180000000</t>
  </si>
  <si>
    <t>Softvér</t>
  </si>
  <si>
    <t>518.912100000</t>
  </si>
  <si>
    <t>PČ - upratovanie</t>
  </si>
  <si>
    <t>518.912900000</t>
  </si>
  <si>
    <t>PČ - ostatné služby</t>
  </si>
  <si>
    <t>518.916100000</t>
  </si>
  <si>
    <t>PČ - výkony výpočtovej technik</t>
  </si>
  <si>
    <t>518.916300000</t>
  </si>
  <si>
    <t>PČ - telef. poplatky,poštovné</t>
  </si>
  <si>
    <t>518.918000000</t>
  </si>
  <si>
    <t>Pč - Softvér</t>
  </si>
  <si>
    <t>Skupina 51</t>
  </si>
  <si>
    <t>521.111000000</t>
  </si>
  <si>
    <t>Mzdové náklady  lekárov</t>
  </si>
  <si>
    <t>521.112000000</t>
  </si>
  <si>
    <t>Mzdové náklady ost. zdravotníc</t>
  </si>
  <si>
    <t>521.113000000</t>
  </si>
  <si>
    <t xml:space="preserve">Mzdové náklady nezdravotnícki </t>
  </si>
  <si>
    <t>521.114100000</t>
  </si>
  <si>
    <t>Mzd. nák. ošetr.sestry,pôr.asi</t>
  </si>
  <si>
    <t>521.114200000</t>
  </si>
  <si>
    <t>Mzd. nák. ošetr. prak.s, zdr.a</t>
  </si>
  <si>
    <t>521.121000000</t>
  </si>
  <si>
    <t xml:space="preserve">OON / lekári </t>
  </si>
  <si>
    <t>521.122000000</t>
  </si>
  <si>
    <t>OON / ostatní  zdravotnícki za</t>
  </si>
  <si>
    <t>521.123000000</t>
  </si>
  <si>
    <t>OON/ nezdravotnícki zamestnanc</t>
  </si>
  <si>
    <t>521.910000000</t>
  </si>
  <si>
    <t>PČ - Mzdové náklady</t>
  </si>
  <si>
    <t>524.111000000</t>
  </si>
  <si>
    <t>Odvod do zdrav. poist./lekári</t>
  </si>
  <si>
    <t>524.112000000</t>
  </si>
  <si>
    <t>Odvod do zdrav. poistenia/OZP</t>
  </si>
  <si>
    <t>524.113000000</t>
  </si>
  <si>
    <t>Odvod do zdrav. poistenia/NZP</t>
  </si>
  <si>
    <t>524.114100000</t>
  </si>
  <si>
    <t>Odvod do  ZP/OŠP-sestry,pôr.as</t>
  </si>
  <si>
    <t>524.114200000</t>
  </si>
  <si>
    <t>Odvod do  ZP/OŠP-prak.sestry,z</t>
  </si>
  <si>
    <t>524.121000000</t>
  </si>
  <si>
    <t xml:space="preserve">Odvod do FNP / lekári </t>
  </si>
  <si>
    <t>524.122000000</t>
  </si>
  <si>
    <t>Odvod do FNP / OZP</t>
  </si>
  <si>
    <t>524.123000000</t>
  </si>
  <si>
    <t>Odvod do FNP /NZP</t>
  </si>
  <si>
    <t>524.124100000</t>
  </si>
  <si>
    <t>Odvod do FNP /OŠP-sestry,pôr.a</t>
  </si>
  <si>
    <t>524.124200000</t>
  </si>
  <si>
    <t>Odvod do FNP/OŠP-prak.s,zdr.as</t>
  </si>
  <si>
    <t>524.131000000</t>
  </si>
  <si>
    <t>Odvod do FDP / lekári</t>
  </si>
  <si>
    <t>524.132000000</t>
  </si>
  <si>
    <t>Odvod do FDP / OZP</t>
  </si>
  <si>
    <t>524.133000000</t>
  </si>
  <si>
    <t>Odvod do FDP /NZP</t>
  </si>
  <si>
    <t>524.134100000</t>
  </si>
  <si>
    <t>Odvod do FDP/OŠP-sestry,pôr.as</t>
  </si>
  <si>
    <t>524.134200000</t>
  </si>
  <si>
    <t>Odvod do FDP/OŠP-prak.ses.zdr.</t>
  </si>
  <si>
    <t>524.141000000</t>
  </si>
  <si>
    <t xml:space="preserve">Odvod do FZ  / lekári </t>
  </si>
  <si>
    <t>524.142000000</t>
  </si>
  <si>
    <t>Odvod do FZ  / OZP</t>
  </si>
  <si>
    <t>524.143000000</t>
  </si>
  <si>
    <t>Odvod do FZ / NZP</t>
  </si>
  <si>
    <t>524.144100000</t>
  </si>
  <si>
    <t>Odvod do FZ  /OŠP</t>
  </si>
  <si>
    <t>524.144200000</t>
  </si>
  <si>
    <t>Odvod do FZ/OŠP-prak.ses.zdr.a</t>
  </si>
  <si>
    <t>524.151000000</t>
  </si>
  <si>
    <t xml:space="preserve">Odvod do SP - IP / lekári </t>
  </si>
  <si>
    <t>524.152000000</t>
  </si>
  <si>
    <t>Odvod do SP - IP /OZP</t>
  </si>
  <si>
    <t>524.153000000</t>
  </si>
  <si>
    <t>Odvod do SP - IP/NZP</t>
  </si>
  <si>
    <t>524.154100000</t>
  </si>
  <si>
    <t>Odv do SP-IP/OŠP-sestry,pôr.as</t>
  </si>
  <si>
    <t>524.154200000</t>
  </si>
  <si>
    <t>Odv do SP-IP/OŠP-prak.ses.zdr.</t>
  </si>
  <si>
    <t>524.161000000</t>
  </si>
  <si>
    <t xml:space="preserve">Odvod do SP - UP / lekári </t>
  </si>
  <si>
    <t>524.162000000</t>
  </si>
  <si>
    <t>Odvod do SP - UP / OZP</t>
  </si>
  <si>
    <t>524.163000000</t>
  </si>
  <si>
    <t>Odvod do SP - UP/ NZP</t>
  </si>
  <si>
    <t>524.164100000</t>
  </si>
  <si>
    <t>Odv do SP-UP/OZP-prak.sest.zdr</t>
  </si>
  <si>
    <t>524.164200000</t>
  </si>
  <si>
    <t>Odv do SP-UP/OZP-prak.ses.zdr.</t>
  </si>
  <si>
    <t>524.171000000</t>
  </si>
  <si>
    <t xml:space="preserve">Odvod do SP - RF / lekári </t>
  </si>
  <si>
    <t>524.172000000</t>
  </si>
  <si>
    <t>Odvod do SP - RF / OZP</t>
  </si>
  <si>
    <t>524.173000000</t>
  </si>
  <si>
    <t>Odvod do SP - RF/ NZP</t>
  </si>
  <si>
    <t>524.174100000</t>
  </si>
  <si>
    <t>Odv. do SP-RF/OZP-sestry,pôr.a</t>
  </si>
  <si>
    <t>524.174200000</t>
  </si>
  <si>
    <t>Odv. do SP-RF/OZP-prak.ses,zdr</t>
  </si>
  <si>
    <t>524.911000000</t>
  </si>
  <si>
    <t>PČ - poistenie-zdravotné</t>
  </si>
  <si>
    <t>524.912000000</t>
  </si>
  <si>
    <t xml:space="preserve">PČ-odvod nemocens.poist. </t>
  </si>
  <si>
    <t>524.913000000</t>
  </si>
  <si>
    <t>PČ - Odvod do fondu dôchod. po</t>
  </si>
  <si>
    <t>524.914000000</t>
  </si>
  <si>
    <t>PČ - Odvod do fondu zamestnano</t>
  </si>
  <si>
    <t>524.915000000</t>
  </si>
  <si>
    <t>PČ - Odvod do SP - invalidné p</t>
  </si>
  <si>
    <t>524.916000000</t>
  </si>
  <si>
    <t>PČ - Odvod do SP - úrazové poi</t>
  </si>
  <si>
    <t>524.917000000</t>
  </si>
  <si>
    <t>PČ - Odvod do SP- poist. do RF</t>
  </si>
  <si>
    <t>525.111000000</t>
  </si>
  <si>
    <t>Ostatné sociálne poist./lekári</t>
  </si>
  <si>
    <t>525.112000000</t>
  </si>
  <si>
    <t>Ostatné sociálne poist./ OZP</t>
  </si>
  <si>
    <t>525.113000000</t>
  </si>
  <si>
    <t>Ostatné sociálne poist./ NZP</t>
  </si>
  <si>
    <t>525.114100000</t>
  </si>
  <si>
    <t>Ost.soc.poist./OŠP-sestry, pôr</t>
  </si>
  <si>
    <t>525.114200000</t>
  </si>
  <si>
    <t>Ost.soc.poist./OŠP-prak.sestry</t>
  </si>
  <si>
    <t>525.910000000</t>
  </si>
  <si>
    <t>PČ-doplnk.dôch.poist.zamestnáv</t>
  </si>
  <si>
    <t>527.111000000</t>
  </si>
  <si>
    <t>Tvorba sociálneho fondu/lekári</t>
  </si>
  <si>
    <t>527.112000000</t>
  </si>
  <si>
    <t>Tvorba sociálneho fondu/OZP</t>
  </si>
  <si>
    <t>527.113000000</t>
  </si>
  <si>
    <t>Tvorba sociálneho fondu/NZP</t>
  </si>
  <si>
    <t>527.114100000</t>
  </si>
  <si>
    <t>Tvorba soc.f/OŠP-sestry,pôr.</t>
  </si>
  <si>
    <t>527.114200000</t>
  </si>
  <si>
    <t>Tvorba soc. f./OŠP-prak.sestry</t>
  </si>
  <si>
    <t>527.121000000</t>
  </si>
  <si>
    <t>Prísp. zam. na strav. lekári</t>
  </si>
  <si>
    <t>527.122000000</t>
  </si>
  <si>
    <t>Prísp. zam. na strav. OZP</t>
  </si>
  <si>
    <t>527.123000000</t>
  </si>
  <si>
    <t>Prísp. zam. na strav. NZP</t>
  </si>
  <si>
    <t>527.124100000</t>
  </si>
  <si>
    <t>Prísp. zam. na strav.OŠP-sestr</t>
  </si>
  <si>
    <t>527.124200000</t>
  </si>
  <si>
    <t>Prísp. zam. na strav.OŠP-p.ses</t>
  </si>
  <si>
    <t>527.132000000</t>
  </si>
  <si>
    <t>Odstupné  / ostatní  zdravotní</t>
  </si>
  <si>
    <t>527.133000000</t>
  </si>
  <si>
    <t>Odstupné / nezdravotnícki zame</t>
  </si>
  <si>
    <t>527.134100000</t>
  </si>
  <si>
    <t>Odstupné /OŠP- sesry,pôr.as.</t>
  </si>
  <si>
    <t>527.141000000</t>
  </si>
  <si>
    <t>Odchodné / lekári</t>
  </si>
  <si>
    <t>527.142000000</t>
  </si>
  <si>
    <t>Odchodné / OZP</t>
  </si>
  <si>
    <t>527.143000000</t>
  </si>
  <si>
    <t>Odchodné / NZP</t>
  </si>
  <si>
    <t>527.144100000</t>
  </si>
  <si>
    <t>Odchodné /OŠP-sestry,pôr.as</t>
  </si>
  <si>
    <t>527.151000000</t>
  </si>
  <si>
    <t>Náhr. príj. pri doč. PN/lekári</t>
  </si>
  <si>
    <t>527.152000000</t>
  </si>
  <si>
    <t>Náhr. príj. pri doč. PN/OZP</t>
  </si>
  <si>
    <t>527.153000000</t>
  </si>
  <si>
    <t>Náhr. príj. pri doč. PN/NZP</t>
  </si>
  <si>
    <t>527.154100000</t>
  </si>
  <si>
    <t>Náhr. príj. pri doč. PN/OŠP-se</t>
  </si>
  <si>
    <t>527.154200000</t>
  </si>
  <si>
    <t>Náhr. príj. pri doč. PN/OŠP-p.</t>
  </si>
  <si>
    <t>527.161000000</t>
  </si>
  <si>
    <t xml:space="preserve">OOP / lekári </t>
  </si>
  <si>
    <t>527.162000000</t>
  </si>
  <si>
    <t>OOP / ostatní  zdravotnícki za</t>
  </si>
  <si>
    <t>527.163000000</t>
  </si>
  <si>
    <t>OOP/ nezdravotnícki zamestnanc</t>
  </si>
  <si>
    <t>527.164100000</t>
  </si>
  <si>
    <t>OOP /OŠP- sestry, pôr.as.</t>
  </si>
  <si>
    <t>527.191000000</t>
  </si>
  <si>
    <t>Rekondičné pobyty / lekári</t>
  </si>
  <si>
    <t>527.192000000</t>
  </si>
  <si>
    <t>Rekondičné pobyty / OZP</t>
  </si>
  <si>
    <t>527.193000000</t>
  </si>
  <si>
    <t>Rekondičné pobyty / NZP</t>
  </si>
  <si>
    <t>527.194100000</t>
  </si>
  <si>
    <t>Rekondičné pobyty/OŠP-sestry</t>
  </si>
  <si>
    <t>527.194200000</t>
  </si>
  <si>
    <t>Rekondičné pobyty/OŠP-prak.s.</t>
  </si>
  <si>
    <t>527.210000000</t>
  </si>
  <si>
    <t>Pitný režim zamestnanci</t>
  </si>
  <si>
    <t>527.911000000</t>
  </si>
  <si>
    <t>Pč - tvorba Soc. fondu</t>
  </si>
  <si>
    <t>527.913000000</t>
  </si>
  <si>
    <t>PČ- odstupné</t>
  </si>
  <si>
    <t>527.914000000</t>
  </si>
  <si>
    <t>PČ - odchodné</t>
  </si>
  <si>
    <t>527.915000000</t>
  </si>
  <si>
    <t>PČ - nemoc.dávky(náhrada 10)</t>
  </si>
  <si>
    <t>527.916000000</t>
  </si>
  <si>
    <t>Pč - OOPP</t>
  </si>
  <si>
    <t>Skupina 52</t>
  </si>
  <si>
    <t>531.100000000</t>
  </si>
  <si>
    <t>532.100000000</t>
  </si>
  <si>
    <t>532.900000000</t>
  </si>
  <si>
    <t>Daň z nehnuteľností - Pč</t>
  </si>
  <si>
    <t>538.100000000</t>
  </si>
  <si>
    <t>Ostatné dane a poplatky - kolk</t>
  </si>
  <si>
    <t>Skupina 53</t>
  </si>
  <si>
    <t>541.100000000</t>
  </si>
  <si>
    <t>Zostatková cena predaného DLHN</t>
  </si>
  <si>
    <t>542.100000000</t>
  </si>
  <si>
    <t>544.130000000</t>
  </si>
  <si>
    <t>Zmluvné pokuty VŠZP</t>
  </si>
  <si>
    <t>544.150000000</t>
  </si>
  <si>
    <t>Penále Sociálna poisťovňa</t>
  </si>
  <si>
    <t>545.110000000</t>
  </si>
  <si>
    <t>Penále a úroky z omeškania</t>
  </si>
  <si>
    <t>545.120000000</t>
  </si>
  <si>
    <t>Súdne poplatky, trovy konania,</t>
  </si>
  <si>
    <t>545.130000000</t>
  </si>
  <si>
    <t>Pokuty</t>
  </si>
  <si>
    <t>546.100000000</t>
  </si>
  <si>
    <t>548.120000000</t>
  </si>
  <si>
    <t>Neuplatnená časť DPH</t>
  </si>
  <si>
    <t>548.130000000</t>
  </si>
  <si>
    <t>Členské príspevky</t>
  </si>
  <si>
    <t>548.160000000</t>
  </si>
  <si>
    <t>Náklady - centové vyrovnania</t>
  </si>
  <si>
    <t>548.170000000</t>
  </si>
  <si>
    <t>Náklady na pasívne spory a exe</t>
  </si>
  <si>
    <t>548.180000000</t>
  </si>
  <si>
    <t>548.912000000</t>
  </si>
  <si>
    <t>PČ - preúčt.koefic. DPH</t>
  </si>
  <si>
    <t>548.918000000</t>
  </si>
  <si>
    <t>PČ - prevádzk. nákl. ostatné</t>
  </si>
  <si>
    <t>549.100000000</t>
  </si>
  <si>
    <t>549.910000000</t>
  </si>
  <si>
    <t>Pč - Manká a škody</t>
  </si>
  <si>
    <t>Skupina 54</t>
  </si>
  <si>
    <t>551.110000000</t>
  </si>
  <si>
    <t>Odpisy dlh.NM -zdravotnícke</t>
  </si>
  <si>
    <t>551.120000000</t>
  </si>
  <si>
    <t>Odpisy dlh.NM-nezdrav.tech.</t>
  </si>
  <si>
    <t>551.130000000</t>
  </si>
  <si>
    <t>Odpisy dlh.HM -zdravotnícke</t>
  </si>
  <si>
    <t>551.140000000</t>
  </si>
  <si>
    <t>Odpisy dlh.HM-nezdrav.techn.</t>
  </si>
  <si>
    <t>551.150000000</t>
  </si>
  <si>
    <t>Odpisy  budov,  stavieb</t>
  </si>
  <si>
    <t>552.100000000</t>
  </si>
  <si>
    <t>Tvorba zákonných rezerv z prev</t>
  </si>
  <si>
    <t>553.100000000</t>
  </si>
  <si>
    <t>Tvorba ostatných rezerv z prev</t>
  </si>
  <si>
    <t>558.100000000</t>
  </si>
  <si>
    <t>Tvorba ostatných opravných pol</t>
  </si>
  <si>
    <t>Skupina 55</t>
  </si>
  <si>
    <t>562.110000000</t>
  </si>
  <si>
    <t>563.110000000</t>
  </si>
  <si>
    <t>Kurzové straty realizované</t>
  </si>
  <si>
    <t>568.110000000</t>
  </si>
  <si>
    <t>568.120000000</t>
  </si>
  <si>
    <t>Ost.fin.náklady -Št.pokladnica</t>
  </si>
  <si>
    <t>568.131000000</t>
  </si>
  <si>
    <t>Poistenie nehnuteľností</t>
  </si>
  <si>
    <t>568.132000000</t>
  </si>
  <si>
    <t>Poistenie dopravných prostr.</t>
  </si>
  <si>
    <t>568.133000000</t>
  </si>
  <si>
    <t>Ostatné poistenie</t>
  </si>
  <si>
    <t>568.912000000</t>
  </si>
  <si>
    <t>Pč- ostat. fin.náklady</t>
  </si>
  <si>
    <t>Skupina 56</t>
  </si>
  <si>
    <t>587.100000000</t>
  </si>
  <si>
    <t>Bezodplat prevod zásob</t>
  </si>
  <si>
    <t>Skupina 58</t>
  </si>
  <si>
    <t>591.200000000</t>
  </si>
  <si>
    <t>591.300000000</t>
  </si>
  <si>
    <t>Zrážková daň zrazená držiteľom</t>
  </si>
  <si>
    <t>Skupina 59</t>
  </si>
  <si>
    <t>Trieda 5</t>
  </si>
  <si>
    <t>602.111000000</t>
  </si>
  <si>
    <t>VšZP - hospitalizácie</t>
  </si>
  <si>
    <t>602.120000000</t>
  </si>
  <si>
    <t>VšZP - JZS</t>
  </si>
  <si>
    <t>602.131000000</t>
  </si>
  <si>
    <t>VšZP - ambulancie body</t>
  </si>
  <si>
    <t>602.132000000</t>
  </si>
  <si>
    <t>VšZP - ambulancie výkony</t>
  </si>
  <si>
    <t>602.133000000</t>
  </si>
  <si>
    <t>VšZP - kapitácia</t>
  </si>
  <si>
    <t>602.134000000</t>
  </si>
  <si>
    <t>VšZP - stomatológia</t>
  </si>
  <si>
    <t>602.141000000</t>
  </si>
  <si>
    <t>VšZP - SVALZ body</t>
  </si>
  <si>
    <t>602.142000000</t>
  </si>
  <si>
    <t>VšZP - SVALZ výkony</t>
  </si>
  <si>
    <t>602.151000000</t>
  </si>
  <si>
    <t>VšZP-krv- pripoč. pol. k HP</t>
  </si>
  <si>
    <t>602.154000000</t>
  </si>
  <si>
    <t>VšZP - krv - ambulancie</t>
  </si>
  <si>
    <t>602.161000000</t>
  </si>
  <si>
    <t>VšZP- lieky- pripoč. pol. k HP</t>
  </si>
  <si>
    <t>602.163000000</t>
  </si>
  <si>
    <t>VšZP - lieky - JZS</t>
  </si>
  <si>
    <t>602.164000000</t>
  </si>
  <si>
    <t>VšZP - lieky -ambulancie</t>
  </si>
  <si>
    <t>602.165000000</t>
  </si>
  <si>
    <t>VšZP - lieky -SVaLZ</t>
  </si>
  <si>
    <t>602.171000000</t>
  </si>
  <si>
    <t>VšZP -ZM- pripoč. pol. k HP</t>
  </si>
  <si>
    <t>602.173000000</t>
  </si>
  <si>
    <t>VšZP - ZM -JZS</t>
  </si>
  <si>
    <t>602.174000000</t>
  </si>
  <si>
    <t>VšZP - ZM - ambulancie</t>
  </si>
  <si>
    <t>602.175000000</t>
  </si>
  <si>
    <t>VšZP - ZM - SVaLZ</t>
  </si>
  <si>
    <t>602.180000000</t>
  </si>
  <si>
    <t>VšZP - stacionár</t>
  </si>
  <si>
    <t>602.211000000</t>
  </si>
  <si>
    <t>Dôvera - hospitalizácie</t>
  </si>
  <si>
    <t>602.215000000</t>
  </si>
  <si>
    <t>Dôvera - anestézy</t>
  </si>
  <si>
    <t>602.231000000</t>
  </si>
  <si>
    <t>Dôvera - ambulancie - body</t>
  </si>
  <si>
    <t>602.232000000</t>
  </si>
  <si>
    <t>Dôvera - ambulancie - výkony</t>
  </si>
  <si>
    <t>602.233000000</t>
  </si>
  <si>
    <t>Dôvera - ambulancie - kapitáci</t>
  </si>
  <si>
    <t>602.234000000</t>
  </si>
  <si>
    <t>Dôvera - ambulancie - stomatol</t>
  </si>
  <si>
    <t>602.241000000</t>
  </si>
  <si>
    <t>Dôvera - SVaLZ body</t>
  </si>
  <si>
    <t>602.242000000</t>
  </si>
  <si>
    <t>Dôvera - SVaLZ výkony</t>
  </si>
  <si>
    <t>602.251000000</t>
  </si>
  <si>
    <t>Dôvera - krv-pripopč.pol. k HP</t>
  </si>
  <si>
    <t>602.254000000</t>
  </si>
  <si>
    <t>Dôvera - krv - ambulancie</t>
  </si>
  <si>
    <t>602.261000000</t>
  </si>
  <si>
    <t>Dôvera-lieky-pripoč.pol. k HP</t>
  </si>
  <si>
    <t>602.264000000</t>
  </si>
  <si>
    <t>Dôvera  -  lieky - ambulancie</t>
  </si>
  <si>
    <t>602.265000000</t>
  </si>
  <si>
    <t>Dôvera  -  lieky - SVaLZ</t>
  </si>
  <si>
    <t>602.271000000</t>
  </si>
  <si>
    <t>Dôvera-ZM-pripoč.pol. k HP</t>
  </si>
  <si>
    <t>602.274000000</t>
  </si>
  <si>
    <t>Dôvera - ZM - ambulancie</t>
  </si>
  <si>
    <t>602.275000000</t>
  </si>
  <si>
    <t>Dôvera - ZM - SVaLZ</t>
  </si>
  <si>
    <t>602.280000000</t>
  </si>
  <si>
    <t>Dôvera - stacionár</t>
  </si>
  <si>
    <t>602.311000000</t>
  </si>
  <si>
    <t>Union -hospitalizácie</t>
  </si>
  <si>
    <t>602.315000000</t>
  </si>
  <si>
    <t>Union - anestézy</t>
  </si>
  <si>
    <t>602.320000000</t>
  </si>
  <si>
    <t>Union - JZS</t>
  </si>
  <si>
    <t>602.331000000</t>
  </si>
  <si>
    <t>Union - ambulancie body</t>
  </si>
  <si>
    <t>602.332000000</t>
  </si>
  <si>
    <t xml:space="preserve">Union - ambulancie výkony </t>
  </si>
  <si>
    <t>602.333000000</t>
  </si>
  <si>
    <t>Union -  kapitácia</t>
  </si>
  <si>
    <t>602.334000000</t>
  </si>
  <si>
    <t>Union - stomatológia</t>
  </si>
  <si>
    <t>602.341000000</t>
  </si>
  <si>
    <t>Union - SVaLZ body</t>
  </si>
  <si>
    <t>602.342000000</t>
  </si>
  <si>
    <t>Union - SVaLZ výkony</t>
  </si>
  <si>
    <t>602.351000000</t>
  </si>
  <si>
    <t>Union-krv- pripoč. pol. k HP</t>
  </si>
  <si>
    <t>602.354000000</t>
  </si>
  <si>
    <t>Union - krv - ambulancie</t>
  </si>
  <si>
    <t>602.361000000</t>
  </si>
  <si>
    <t>Union- lieky-pripoč. pol. k HP</t>
  </si>
  <si>
    <t>602.364000000</t>
  </si>
  <si>
    <t>Union - lieky - ambulancie</t>
  </si>
  <si>
    <t>602.365000000</t>
  </si>
  <si>
    <t>Union - lieky - SVaLZ</t>
  </si>
  <si>
    <t>602.371000000</t>
  </si>
  <si>
    <t>Union-ZM-pripoč. pol. k HP</t>
  </si>
  <si>
    <t>602.373000000</t>
  </si>
  <si>
    <t>Union - ZM - JZS</t>
  </si>
  <si>
    <t>602.374000000</t>
  </si>
  <si>
    <t>Union - ZM - ambulancie</t>
  </si>
  <si>
    <t>602.375000000</t>
  </si>
  <si>
    <t>Union - ZM - SVaLZ</t>
  </si>
  <si>
    <t>602.380000000</t>
  </si>
  <si>
    <t>Union - stacionár</t>
  </si>
  <si>
    <t>602.410100000</t>
  </si>
  <si>
    <t>EU - Poistenci VšZP-hospital</t>
  </si>
  <si>
    <t>602.410200000</t>
  </si>
  <si>
    <t>EU - Poistenci VšZP -  JZS</t>
  </si>
  <si>
    <t>602.410300000</t>
  </si>
  <si>
    <t>EU - Poistenci VšZP - ambulanc</t>
  </si>
  <si>
    <t>602.410400000</t>
  </si>
  <si>
    <t>EU - Poistenci VšZP - SVaLZ</t>
  </si>
  <si>
    <t>602.420100000</t>
  </si>
  <si>
    <t>EU - Poistenci Dôvera - hospit</t>
  </si>
  <si>
    <t>602.420300000</t>
  </si>
  <si>
    <t>EU - Poistenci Dôvera - ambula</t>
  </si>
  <si>
    <t>602.420400000</t>
  </si>
  <si>
    <t>EU - Poistanci Dôvera - SVaLZ</t>
  </si>
  <si>
    <t>602.430100000</t>
  </si>
  <si>
    <t>EU - Poistenci Union - hospita</t>
  </si>
  <si>
    <t>602.430200000</t>
  </si>
  <si>
    <t>EU - Poistenci UNION - JZS</t>
  </si>
  <si>
    <t>602.430300000</t>
  </si>
  <si>
    <t>EU - Poistenci Union - ambulan</t>
  </si>
  <si>
    <t>602.430400000</t>
  </si>
  <si>
    <t>EU - Poistenci Union - SVaLZ</t>
  </si>
  <si>
    <t>602.511000000</t>
  </si>
  <si>
    <t>Ubytovanie sprevádzajúcich osô</t>
  </si>
  <si>
    <t>602.512000000</t>
  </si>
  <si>
    <t>Stravovanie sprevádzajúcich os</t>
  </si>
  <si>
    <t>602.513000000</t>
  </si>
  <si>
    <t>AS lieky</t>
  </si>
  <si>
    <t>602.514100000</t>
  </si>
  <si>
    <t>Platený zdrav. výkon s DPH</t>
  </si>
  <si>
    <t>602.514200000</t>
  </si>
  <si>
    <t>Platený zdrav. výkon bez DPH</t>
  </si>
  <si>
    <t>602.514300000</t>
  </si>
  <si>
    <t>Za liečenie cudzincov</t>
  </si>
  <si>
    <t>602.514400000</t>
  </si>
  <si>
    <t>Plat.služby výbe lekára</t>
  </si>
  <si>
    <t>602.514500000</t>
  </si>
  <si>
    <t>Platby za ÚPS- poplatok 2€,10€</t>
  </si>
  <si>
    <t>602.514600000</t>
  </si>
  <si>
    <t>Platby za Nadštandar izbu</t>
  </si>
  <si>
    <t>602.515100000</t>
  </si>
  <si>
    <t>Ost.Plat od PO-Plat.ZV bez DPH</t>
  </si>
  <si>
    <t>602.515200000</t>
  </si>
  <si>
    <t>Ost. Platby od PO - Admin.popl</t>
  </si>
  <si>
    <t>602.515300000</t>
  </si>
  <si>
    <t>Ost. Platby od PO - Klinické s</t>
  </si>
  <si>
    <t>602.515400000</t>
  </si>
  <si>
    <t>Ost. Platby od PO-Prisp na VaV</t>
  </si>
  <si>
    <t>602.515510000</t>
  </si>
  <si>
    <t>Sociálna poisťovňa za body</t>
  </si>
  <si>
    <t>602.515600000</t>
  </si>
  <si>
    <t>602.515700000</t>
  </si>
  <si>
    <t>ZS - Migranti</t>
  </si>
  <si>
    <t>602.611000000</t>
  </si>
  <si>
    <t>Stravné  zamestnanci</t>
  </si>
  <si>
    <t>602.911100000</t>
  </si>
  <si>
    <t>PČ-prenájom nehnuteľností</t>
  </si>
  <si>
    <t>602.911200000</t>
  </si>
  <si>
    <t>Pč - prenájom park. priestorov</t>
  </si>
  <si>
    <t>602.912000000</t>
  </si>
  <si>
    <t>PČ - prenájom hnuteľ. majetku</t>
  </si>
  <si>
    <t>602.913000000</t>
  </si>
  <si>
    <t>PČ- prenájom reklamných plôch</t>
  </si>
  <si>
    <t>602.915100000</t>
  </si>
  <si>
    <t>PČ za stravovanie</t>
  </si>
  <si>
    <t>602.915200000</t>
  </si>
  <si>
    <t>PČ  telef.-poplatok služby</t>
  </si>
  <si>
    <t>602.915400000</t>
  </si>
  <si>
    <t>PČ za parkovanie</t>
  </si>
  <si>
    <t>602.915500000</t>
  </si>
  <si>
    <t>PČ-údržb.práce a opravy</t>
  </si>
  <si>
    <t>602.915600000</t>
  </si>
  <si>
    <t>PČ ostat.tržby z prevádzky</t>
  </si>
  <si>
    <t>602.915700000</t>
  </si>
  <si>
    <t>PČ - pracovná zdravot. služba</t>
  </si>
  <si>
    <t>604.911000000</t>
  </si>
  <si>
    <t>Tržby za lieky  Verej. lek SNP</t>
  </si>
  <si>
    <t>604.912000000</t>
  </si>
  <si>
    <t>Tržby za zdr.p  Verej. lek SNP</t>
  </si>
  <si>
    <t>604.913000000</t>
  </si>
  <si>
    <t>Tržby za dopln. sort. VL SNP</t>
  </si>
  <si>
    <t>604.921110000</t>
  </si>
  <si>
    <t>Tržby VšZP za lieky</t>
  </si>
  <si>
    <t>604.921120000</t>
  </si>
  <si>
    <t>Tržby VšZP  za ŠZM</t>
  </si>
  <si>
    <t>604.921210000</t>
  </si>
  <si>
    <t>Tržby Dôvera za lieky</t>
  </si>
  <si>
    <t>604.921220000</t>
  </si>
  <si>
    <t>Tržby Dôvera za ŠZM</t>
  </si>
  <si>
    <t>604.921310000</t>
  </si>
  <si>
    <t>Tržby UNION za lieky</t>
  </si>
  <si>
    <t>604.921320000</t>
  </si>
  <si>
    <t>TRžby UNION za ŠZM</t>
  </si>
  <si>
    <t>604</t>
  </si>
  <si>
    <t>Skupina 60</t>
  </si>
  <si>
    <t>622.100000000</t>
  </si>
  <si>
    <t xml:space="preserve">Aktivácia vnútroorganizačných </t>
  </si>
  <si>
    <t>Skupina 62</t>
  </si>
  <si>
    <t>641.100000000</t>
  </si>
  <si>
    <t>Tržby z predaja dlh. NM a dlh.</t>
  </si>
  <si>
    <t>644.110000000</t>
  </si>
  <si>
    <t>Zmluvné pokuty, penále a úroky</t>
  </si>
  <si>
    <t>644.910000000</t>
  </si>
  <si>
    <t>PČ zmluv. pokuty, penále,úroky</t>
  </si>
  <si>
    <t>648.120000000</t>
  </si>
  <si>
    <t>Nárok na úhradu  škody od  poi</t>
  </si>
  <si>
    <t>648.131000000</t>
  </si>
  <si>
    <t xml:space="preserve">Nárok na úhradu manka a škody </t>
  </si>
  <si>
    <t>648.132000000</t>
  </si>
  <si>
    <t>Nárok na úhradu škody od FO</t>
  </si>
  <si>
    <t>648.140000000</t>
  </si>
  <si>
    <t>Inventarizačné prebytky</t>
  </si>
  <si>
    <t>648.160000000</t>
  </si>
  <si>
    <t xml:space="preserve">Prijaté dary vecné </t>
  </si>
  <si>
    <t>648.171100000</t>
  </si>
  <si>
    <t>Za xerox</t>
  </si>
  <si>
    <t>648.171200000</t>
  </si>
  <si>
    <t>Tržby za druhotné suroviny</t>
  </si>
  <si>
    <t>648.171400000</t>
  </si>
  <si>
    <t>Zúčt. prev. výnosov - zaokrúhl</t>
  </si>
  <si>
    <t>648.171900000</t>
  </si>
  <si>
    <t>Ostatné  výnosy</t>
  </si>
  <si>
    <t>648.182000000</t>
  </si>
  <si>
    <t>DoN - Odpustené prísl.</t>
  </si>
  <si>
    <t>648.184000000</t>
  </si>
  <si>
    <t>DoODlhu - Odpustená istina</t>
  </si>
  <si>
    <t>648.910000000</t>
  </si>
  <si>
    <t>PČ ostatné výnosy z PČ</t>
  </si>
  <si>
    <t>648.920000000</t>
  </si>
  <si>
    <t>PČ kurzy,prieskum,porad.činn.</t>
  </si>
  <si>
    <t>648.930000000</t>
  </si>
  <si>
    <t>Pč- Ost.výnosy - Rabat VL SNP</t>
  </si>
  <si>
    <t>Skupina 64</t>
  </si>
  <si>
    <t>652.110000000</t>
  </si>
  <si>
    <t>Zúčt. zákon. rezerv - na mzdy</t>
  </si>
  <si>
    <t>652.120000000</t>
  </si>
  <si>
    <t>Zúčt.zákon.rezerv-sociál.odvod</t>
  </si>
  <si>
    <t>653.130000000</t>
  </si>
  <si>
    <t>Zúčt. ost. rezerv-súdne sp.</t>
  </si>
  <si>
    <t>653.190000000</t>
  </si>
  <si>
    <t>Rezervy ostatné</t>
  </si>
  <si>
    <t>658.100000000</t>
  </si>
  <si>
    <t>Zúčtovanie ostatných opravných</t>
  </si>
  <si>
    <t>Skupina 65</t>
  </si>
  <si>
    <t>662.120000000</t>
  </si>
  <si>
    <t>Úroky - štátna pokladnica</t>
  </si>
  <si>
    <t>663.110000000</t>
  </si>
  <si>
    <t>Kurzové zisky realizované</t>
  </si>
  <si>
    <t>663.120000000</t>
  </si>
  <si>
    <t>KURZOVÉ ROZDIELY k 31.12.</t>
  </si>
  <si>
    <t>668.110000000</t>
  </si>
  <si>
    <t>668.190000000</t>
  </si>
  <si>
    <t>Ostatné finančné výnosy-zaok.</t>
  </si>
  <si>
    <t>Skupina 66</t>
  </si>
  <si>
    <t>679.100000000</t>
  </si>
  <si>
    <t>Skupina 67</t>
  </si>
  <si>
    <t>681.110000000</t>
  </si>
  <si>
    <t>Výnosy z bež. transferov zo ŠR</t>
  </si>
  <si>
    <t>681.120000000</t>
  </si>
  <si>
    <t>Výnosy z bež.transf. zo ŠR- HM</t>
  </si>
  <si>
    <t>681.130000000</t>
  </si>
  <si>
    <t>Výnosy COVID z bež.trans zo ŠR</t>
  </si>
  <si>
    <t>682.110000000</t>
  </si>
  <si>
    <t>Výnosy z kapitál. transfer ŠR</t>
  </si>
  <si>
    <t>682.121000000</t>
  </si>
  <si>
    <t>Výnosy kap.tranf.ŠR- Ambul.</t>
  </si>
  <si>
    <t>682.122000000</t>
  </si>
  <si>
    <t>Výnosy kap.tranf.-EU- Ambul.</t>
  </si>
  <si>
    <t>682.131000000</t>
  </si>
  <si>
    <t>Výnosy z kap.transf. ŠR-URGENT</t>
  </si>
  <si>
    <t>682.132000000</t>
  </si>
  <si>
    <t>Výnosy z kap.transf. EU-URGENT</t>
  </si>
  <si>
    <t>683.110000000</t>
  </si>
  <si>
    <t>Výnosy z bežných transferov</t>
  </si>
  <si>
    <t>683.130000000</t>
  </si>
  <si>
    <t>Výnosy z transferov ŠZM</t>
  </si>
  <si>
    <t>687.100000000</t>
  </si>
  <si>
    <t>Výnosy z bež.transf.ostat. sub</t>
  </si>
  <si>
    <t>688.100000000</t>
  </si>
  <si>
    <t>Výnosy kapit. transf.iných sub</t>
  </si>
  <si>
    <t>Skupina 68</t>
  </si>
  <si>
    <t>Trieda 6</t>
  </si>
  <si>
    <t>752.211000000</t>
  </si>
  <si>
    <t>Urgent MZSR - finančná oprava</t>
  </si>
  <si>
    <t>752.212000000</t>
  </si>
  <si>
    <t>Urgent MFSR - finančná oprava</t>
  </si>
  <si>
    <t>752</t>
  </si>
  <si>
    <t>754.100000000</t>
  </si>
  <si>
    <t>Zásoby prijaté do úschovy kniž</t>
  </si>
  <si>
    <t>754</t>
  </si>
  <si>
    <t>757.100000000</t>
  </si>
  <si>
    <t>Materiál v sklade CO  RA.</t>
  </si>
  <si>
    <t>757.600000000</t>
  </si>
  <si>
    <t>Drobný  dlhod.HM - OKRZ SNP</t>
  </si>
  <si>
    <t>757.700000000</t>
  </si>
  <si>
    <t>Drob.dlh.HM- Utv.kríz.riad RA</t>
  </si>
  <si>
    <t>757.800000000</t>
  </si>
  <si>
    <t>Dlh.drob.HM -Út.kríz.riad.SNP</t>
  </si>
  <si>
    <t>757</t>
  </si>
  <si>
    <t>758.100000000</t>
  </si>
  <si>
    <t>Drobný hmotný majetok (1700,-€</t>
  </si>
  <si>
    <t>758.200000000</t>
  </si>
  <si>
    <t>Drobný nehmotný maj.(2400,-€)</t>
  </si>
  <si>
    <t>758.400000000</t>
  </si>
  <si>
    <t>OOPP-ochranné prac.prostriedky</t>
  </si>
  <si>
    <t>758.500000000</t>
  </si>
  <si>
    <t>Zapožičaný majetok</t>
  </si>
  <si>
    <t>758</t>
  </si>
  <si>
    <t>759.300000000</t>
  </si>
  <si>
    <t>Podsúvahový účet - ŠZM</t>
  </si>
  <si>
    <t>759</t>
  </si>
  <si>
    <t>Skupina 75</t>
  </si>
  <si>
    <t>760.100000000</t>
  </si>
  <si>
    <t>NKP OBSTARANIA</t>
  </si>
  <si>
    <t>760.200000000</t>
  </si>
  <si>
    <t>NKP OPRÁVKY</t>
  </si>
  <si>
    <t>772.100000000</t>
  </si>
  <si>
    <t>Odpísané pohľadávky   RAS.</t>
  </si>
  <si>
    <t>772</t>
  </si>
  <si>
    <t>Skupina 77</t>
  </si>
  <si>
    <t>785.200000000</t>
  </si>
  <si>
    <t>Ocenené stravné lístky  RAS.</t>
  </si>
  <si>
    <t>785.400000000</t>
  </si>
  <si>
    <t>Ocenené stravné lístky SNP</t>
  </si>
  <si>
    <t>785</t>
  </si>
  <si>
    <t>Skupina 78</t>
  </si>
  <si>
    <t>799.300000000</t>
  </si>
  <si>
    <t>Vyrovnávací účet k podsúvah.ú.</t>
  </si>
  <si>
    <t>799</t>
  </si>
  <si>
    <t>Skupina 79</t>
  </si>
  <si>
    <t>Trieda 7</t>
  </si>
  <si>
    <t>NCZI-111 VŠZP DL</t>
  </si>
  <si>
    <t>VŠZP ZP - v lehote 336.11</t>
  </si>
  <si>
    <t>NCZI-121 DÔVERA DL</t>
  </si>
  <si>
    <t>Dôvera ZP - v lehote 336.12</t>
  </si>
  <si>
    <t>NCZI-131 UNION DL</t>
  </si>
  <si>
    <t>Union ZP - v lehote 336.13</t>
  </si>
  <si>
    <t>NCZI-211 SP DL</t>
  </si>
  <si>
    <t>SP - v lehote 336.2</t>
  </si>
  <si>
    <t>NCZI-212 SP PL2016</t>
  </si>
  <si>
    <t>SP - po lehote 336.2 - 2016</t>
  </si>
  <si>
    <t>NCZI-213 SP PL2017</t>
  </si>
  <si>
    <t>SP - po lehote 336.2 - 2017</t>
  </si>
  <si>
    <t>NCZI-214 SP PL2018</t>
  </si>
  <si>
    <t>SP - po lehote 336.2 - 2018</t>
  </si>
  <si>
    <t>NCZI-215 SP PL2019</t>
  </si>
  <si>
    <t>SP - po lehote 336.2 - 2019</t>
  </si>
  <si>
    <t>NCZI-216 SP PL2020</t>
  </si>
  <si>
    <t>SP - po lehote 336.2 - 2020</t>
  </si>
  <si>
    <t>NCZI - ÚROK NFV 2011</t>
  </si>
  <si>
    <t>273.121 Návratná fin. výpomoc</t>
  </si>
  <si>
    <t>NCZI VYROVN.ÚČET</t>
  </si>
  <si>
    <t>NCZI - Vyrovnávací účet</t>
  </si>
  <si>
    <t>NCZ</t>
  </si>
  <si>
    <t>Skupina NC</t>
  </si>
  <si>
    <t>Trieda N</t>
  </si>
  <si>
    <t>POST-FV_OST 212</t>
  </si>
  <si>
    <t>POST-FV_OST istina 379.21</t>
  </si>
  <si>
    <t>POST-FV_OST 222 PEN</t>
  </si>
  <si>
    <t>POST-FV_OST penále 379.22</t>
  </si>
  <si>
    <t>POST VYROVN.ÚČET</t>
  </si>
  <si>
    <t>POST Vyrovnávací účet</t>
  </si>
  <si>
    <t>POS</t>
  </si>
  <si>
    <t>Skupina PO</t>
  </si>
  <si>
    <t>Trieda P</t>
  </si>
  <si>
    <t>042.410000000</t>
  </si>
  <si>
    <t xml:space="preserve">Obstaranie dlh.HM -iné </t>
  </si>
  <si>
    <t>112.133000000</t>
  </si>
  <si>
    <t>Auroza</t>
  </si>
  <si>
    <t>112.137000000</t>
  </si>
  <si>
    <t>zhotovené výrobky z DDK</t>
  </si>
  <si>
    <t>321.141000000</t>
  </si>
  <si>
    <t>MZSR - DoN nový záväzok</t>
  </si>
  <si>
    <t>321.144000000</t>
  </si>
  <si>
    <t>DOD - DoN odpustené príslušens</t>
  </si>
  <si>
    <t>372.130000000</t>
  </si>
  <si>
    <t>Transfery- Kooper. zmluva</t>
  </si>
  <si>
    <t>383.100000000</t>
  </si>
  <si>
    <t xml:space="preserve">Výdavky budúcich období </t>
  </si>
  <si>
    <t>383</t>
  </si>
  <si>
    <t>501.112300000</t>
  </si>
  <si>
    <t xml:space="preserve">Dezinfekcia </t>
  </si>
  <si>
    <t>501.918000000</t>
  </si>
  <si>
    <t>PČ - pohonné hmoty</t>
  </si>
  <si>
    <t>504.910000001</t>
  </si>
  <si>
    <t>Predaný tov Ver. lek. NEPOUŽÍV</t>
  </si>
  <si>
    <t>511.912000000</t>
  </si>
  <si>
    <t>PČ -ostatná údržba nezdr.tech.</t>
  </si>
  <si>
    <t>511.914000000</t>
  </si>
  <si>
    <t>PČ- Opravy a údržba voz. parku</t>
  </si>
  <si>
    <t>512.121000000</t>
  </si>
  <si>
    <t>512.122000000</t>
  </si>
  <si>
    <t>518.116000000</t>
  </si>
  <si>
    <t>Doprava zdravotnícka</t>
  </si>
  <si>
    <t>518.135000000</t>
  </si>
  <si>
    <t>Služby súvisiace s verej. obst</t>
  </si>
  <si>
    <t>518.912000000</t>
  </si>
  <si>
    <t>PČ - pranie prádla</t>
  </si>
  <si>
    <t>518.913200000</t>
  </si>
  <si>
    <t>Pč  - marketing a inzercia</t>
  </si>
  <si>
    <t>527.144200000</t>
  </si>
  <si>
    <t>Odchodné /OŠP-prak.sestry</t>
  </si>
  <si>
    <t>544.110000000</t>
  </si>
  <si>
    <t>563.120000000</t>
  </si>
  <si>
    <t>591.100000000</t>
  </si>
  <si>
    <t>602.410000001</t>
  </si>
  <si>
    <t>EU - poistenci VšZP-NEPOUŽÍVAŤ</t>
  </si>
  <si>
    <t>602.420000001</t>
  </si>
  <si>
    <t>EU - poist Dôvera-NEPOUŽÍVAŤ</t>
  </si>
  <si>
    <t>602.430000001</t>
  </si>
  <si>
    <t>EU - poisti Union-NEPOUŽÍVAŤ</t>
  </si>
  <si>
    <t>604.910000001</t>
  </si>
  <si>
    <t>Tržby za tovar VL NEPOUŽÍVAŤ</t>
  </si>
  <si>
    <t>645.100000000</t>
  </si>
  <si>
    <t>Ostatné pokuty, penále a úroky</t>
  </si>
  <si>
    <t>648.181000000</t>
  </si>
  <si>
    <t>DoN - diskont DOD</t>
  </si>
  <si>
    <t>648.183000000</t>
  </si>
  <si>
    <t>DoN - úhrada istiny MZSR</t>
  </si>
  <si>
    <t>759.200000000</t>
  </si>
  <si>
    <t>POST-NFV_VS 211</t>
  </si>
  <si>
    <t>POST-NFV_VS istina 379.21</t>
  </si>
  <si>
    <t>321.214000000</t>
  </si>
  <si>
    <t>Neinvest. dod. zahranič. - Krv</t>
  </si>
  <si>
    <t>324.140000000</t>
  </si>
  <si>
    <t>DPH zo zálohy</t>
  </si>
  <si>
    <t>324.200000000</t>
  </si>
  <si>
    <t xml:space="preserve">Preddavky od ostatné  </t>
  </si>
  <si>
    <t>325.120000000</t>
  </si>
  <si>
    <t>Ost. záväzky-zál. na zub.práce</t>
  </si>
  <si>
    <t>501.130400000</t>
  </si>
  <si>
    <t>501.130700000</t>
  </si>
  <si>
    <t>511.133000000</t>
  </si>
  <si>
    <t>ostatná údržba-oprava rozvodov</t>
  </si>
  <si>
    <t>518.113000000</t>
  </si>
  <si>
    <t>Transplantácie a odbery orgáno</t>
  </si>
  <si>
    <t>602.112000000</t>
  </si>
  <si>
    <t>VšZP - OHV</t>
  </si>
  <si>
    <t>602.113000000</t>
  </si>
  <si>
    <t>VšZP - MFNZS</t>
  </si>
  <si>
    <t>602.135000000</t>
  </si>
  <si>
    <t>VšZP - LSPP</t>
  </si>
  <si>
    <t>602.136000000</t>
  </si>
  <si>
    <t>VšZP - expektačné lôžko</t>
  </si>
  <si>
    <t>602.212000000</t>
  </si>
  <si>
    <t>Dôvera - OHV</t>
  </si>
  <si>
    <t>602.235000000</t>
  </si>
  <si>
    <t>Dôvera-amb. pohot. sl. paušál</t>
  </si>
  <si>
    <t>602.236000000</t>
  </si>
  <si>
    <t>Dôvera - ambulancie - expektač</t>
  </si>
  <si>
    <t>602.312000000</t>
  </si>
  <si>
    <t>Union - OHV</t>
  </si>
  <si>
    <t>602.335000000</t>
  </si>
  <si>
    <t>Union-amb. pohot. sl. paušál</t>
  </si>
  <si>
    <t>602.336000000</t>
  </si>
  <si>
    <t>Union - expektačné lôžko</t>
  </si>
  <si>
    <t>678.100000000</t>
  </si>
  <si>
    <t>325.130000000</t>
  </si>
  <si>
    <t>Ostatné záväzky</t>
  </si>
  <si>
    <t>372.140000000</t>
  </si>
  <si>
    <t>Transfery-SAV-projekt Variabil</t>
  </si>
  <si>
    <t>378.110000000</t>
  </si>
  <si>
    <t>Pohľadávky-zábezpeka-poskytnut</t>
  </si>
  <si>
    <t>548.140000000</t>
  </si>
  <si>
    <t>Zmarené investície</t>
  </si>
  <si>
    <t>551.900000000</t>
  </si>
  <si>
    <t>PČ - Odpisy dlhodob. NM a HM</t>
  </si>
  <si>
    <t>602.118000000</t>
  </si>
  <si>
    <t xml:space="preserve">VšZP - transplantácie a odber </t>
  </si>
  <si>
    <t>602.152000000</t>
  </si>
  <si>
    <t>VšZP - krv - OHV</t>
  </si>
  <si>
    <t>602.172000000</t>
  </si>
  <si>
    <t>VšZP - ZM - OHV</t>
  </si>
  <si>
    <t>602.218000000</t>
  </si>
  <si>
    <t>Dôvera - transplantácie a odbe</t>
  </si>
  <si>
    <t>602.252000000</t>
  </si>
  <si>
    <t>Dôvera - krv- OHV</t>
  </si>
  <si>
    <t>602.272000000</t>
  </si>
  <si>
    <t>Dôvera - ZM - OHV</t>
  </si>
  <si>
    <t>602.313000000</t>
  </si>
  <si>
    <t>Union - MFNZS</t>
  </si>
  <si>
    <t>602.318000000</t>
  </si>
  <si>
    <t>Union - transplantácie a odber</t>
  </si>
  <si>
    <t>602.352000000</t>
  </si>
  <si>
    <t>Union - krv - OHV</t>
  </si>
  <si>
    <t>602.363000000</t>
  </si>
  <si>
    <t>Union - lieky - JZS</t>
  </si>
  <si>
    <t>602.372000000</t>
  </si>
  <si>
    <t>Union - ZM - OHV</t>
  </si>
  <si>
    <t>760</t>
  </si>
  <si>
    <t>Skupina 76</t>
  </si>
  <si>
    <t>211.090000000</t>
  </si>
  <si>
    <t>Pokladnica VOM Ipeľská</t>
  </si>
  <si>
    <t>211.100000000</t>
  </si>
  <si>
    <t>Pokladnica MOM RA</t>
  </si>
  <si>
    <t>221.390000000</t>
  </si>
  <si>
    <t>VUB</t>
  </si>
  <si>
    <t>261.150000000</t>
  </si>
  <si>
    <t>Peniaze na ceste VOM, MOM</t>
  </si>
  <si>
    <t>261.194000000</t>
  </si>
  <si>
    <t>Peniaze na ceste pokl.-pokl.</t>
  </si>
  <si>
    <t>315.110000000</t>
  </si>
  <si>
    <t>Pohľadávky platby PT</t>
  </si>
  <si>
    <t>321.211000000</t>
  </si>
  <si>
    <t>Neinvest. dod.  zahraniční lie</t>
  </si>
  <si>
    <t>343.123100000</t>
  </si>
  <si>
    <t>DPH odpočet 20% EU</t>
  </si>
  <si>
    <t>381.110000000</t>
  </si>
  <si>
    <t>384.150000000</t>
  </si>
  <si>
    <t>Výnosy budúcich období ŠZM</t>
  </si>
  <si>
    <t>384.160000000</t>
  </si>
  <si>
    <t>Výnosy bud. období Lieky a D</t>
  </si>
  <si>
    <t>518.122000000</t>
  </si>
  <si>
    <t>Pranie</t>
  </si>
  <si>
    <t>521.124100000</t>
  </si>
  <si>
    <t>OON/ošetr.pers.-sestry, pôr.as</t>
  </si>
  <si>
    <t>521.124200000</t>
  </si>
  <si>
    <t>OON/ošetr.pers.prek.s. zdr.asl</t>
  </si>
  <si>
    <t>527.185000000</t>
  </si>
  <si>
    <t>Povinné očkovanie</t>
  </si>
  <si>
    <t>544.140000000</t>
  </si>
  <si>
    <t>Zmluvné pokuty UNION</t>
  </si>
  <si>
    <t>545.140000000</t>
  </si>
  <si>
    <t>Neuznané výdavky - BT HM</t>
  </si>
  <si>
    <t>548.515300000</t>
  </si>
  <si>
    <t>Ostatné prev.náklady - klin.št</t>
  </si>
  <si>
    <t>602.220000000</t>
  </si>
  <si>
    <t>Dôvera - JZS</t>
  </si>
  <si>
    <t>602.273000000</t>
  </si>
  <si>
    <t>Dôvera - ZM - JZS</t>
  </si>
  <si>
    <t>604.914000000</t>
  </si>
  <si>
    <t>Tržby VL - predaj ostat. odber</t>
  </si>
  <si>
    <t>621.910000000</t>
  </si>
  <si>
    <t>Pč- aktivácia materiálu - VL</t>
  </si>
  <si>
    <t>648.171500000</t>
  </si>
  <si>
    <t>Ost.prev.výnosy - fin.bonus</t>
  </si>
  <si>
    <t>662.110000000</t>
  </si>
  <si>
    <t>681.140000000</t>
  </si>
  <si>
    <t>Výnosy z BT na prevádzku</t>
  </si>
  <si>
    <t>683.140000000</t>
  </si>
  <si>
    <t>výnosy z transferov Lieky a D</t>
  </si>
  <si>
    <t>NCZI-217 SP PL2021</t>
  </si>
  <si>
    <t>SP - po lehote 336.2 - 2021</t>
  </si>
  <si>
    <t>,</t>
  </si>
  <si>
    <t>2020</t>
  </si>
  <si>
    <t>1-10 2021</t>
  </si>
  <si>
    <t>OHV/JZS</t>
  </si>
  <si>
    <t>ambulancie</t>
  </si>
  <si>
    <t>kapitácie</t>
  </si>
  <si>
    <t>stomatologia</t>
  </si>
  <si>
    <t xml:space="preserve">SVaLZ </t>
  </si>
  <si>
    <t>prenájom</t>
  </si>
  <si>
    <t>parkovanie</t>
  </si>
  <si>
    <t>stravovanie</t>
  </si>
  <si>
    <t>Podnikatelska činnosť</t>
  </si>
  <si>
    <t>ZP ostatné</t>
  </si>
  <si>
    <t>Poistenci EU, liecenie cudzincov</t>
  </si>
  <si>
    <t>príplatkové služby</t>
  </si>
  <si>
    <t>Platby od PO</t>
  </si>
  <si>
    <t>Stravné zamestnanci</t>
  </si>
  <si>
    <t>Zdravotne poistovne Celkom</t>
  </si>
  <si>
    <t xml:space="preserve">Tržby za zdravotnícke výkony </t>
  </si>
  <si>
    <t>hospitalizacie vr. Exp. Lozka)</t>
  </si>
  <si>
    <t>SZM SValZ</t>
  </si>
  <si>
    <t>Tržby nezdravotnícke služby</t>
  </si>
  <si>
    <t>Tržby za lieky - od ZP (lekáreň?)</t>
  </si>
  <si>
    <t>Ostatné Výnosy</t>
  </si>
  <si>
    <t>výnosy z kapitálových transferov</t>
  </si>
  <si>
    <t>Tržby cšetky ZP z HK</t>
  </si>
  <si>
    <t>092.200000000</t>
  </si>
  <si>
    <t>Opravná položka k obs dl.HM042</t>
  </si>
  <si>
    <t>092</t>
  </si>
  <si>
    <t>Skupina 09</t>
  </si>
  <si>
    <t>111.150000000</t>
  </si>
  <si>
    <t>Obstaranie materiálu - ZMX</t>
  </si>
  <si>
    <t>112.174000000</t>
  </si>
  <si>
    <t>Osobitne hradený ZMX</t>
  </si>
  <si>
    <t>112.175000000</t>
  </si>
  <si>
    <t>Materiál na sklade VAKCINY</t>
  </si>
  <si>
    <t>112.181100000</t>
  </si>
  <si>
    <t>Sklad stanič. sestier - lieky</t>
  </si>
  <si>
    <t>112.182100000</t>
  </si>
  <si>
    <t>Sklad stan. sestier - ZM</t>
  </si>
  <si>
    <t>132.192000000</t>
  </si>
  <si>
    <t>Tovar na sklade Verej.lek. RA</t>
  </si>
  <si>
    <t>Daň z motorových vozidiel súčt</t>
  </si>
  <si>
    <t>384.170000000</t>
  </si>
  <si>
    <t>Výnosy bud. období Vakcíny</t>
  </si>
  <si>
    <t>391.230000000</t>
  </si>
  <si>
    <t>Oprav. pol. k 378 ost. poh.</t>
  </si>
  <si>
    <t>395.141000000</t>
  </si>
  <si>
    <t>Vnútorné zúčtovanie SVS-SSS ZM</t>
  </si>
  <si>
    <t>395.170000000</t>
  </si>
  <si>
    <t>Vnútorné zúčtovanie - ZMX</t>
  </si>
  <si>
    <t>648.150000000</t>
  </si>
  <si>
    <t>Refundácie, vratky</t>
  </si>
  <si>
    <t>653.110000000</t>
  </si>
  <si>
    <t>Zúčt. ostat. rezerv na  mzdy</t>
  </si>
  <si>
    <t>653.120000000</t>
  </si>
  <si>
    <t>Zúčt. ost.rezerv-sociál.odvod</t>
  </si>
  <si>
    <t>683.150000000</t>
  </si>
  <si>
    <t>výnosy z transferov Vakcíny</t>
  </si>
  <si>
    <t>2021</t>
  </si>
  <si>
    <t>DoN . Odpustene prisl, istina, uhrada od MZSR…</t>
  </si>
  <si>
    <t xml:space="preserve">Rozpustenie Rezerv </t>
  </si>
  <si>
    <t>Výnosy z transferov SZM a Lieky</t>
  </si>
  <si>
    <t>Areál</t>
  </si>
  <si>
    <t>Objekt</t>
  </si>
  <si>
    <t>Popis investície</t>
  </si>
  <si>
    <t>Etapa</t>
  </si>
  <si>
    <t>Od</t>
  </si>
  <si>
    <t>Do</t>
  </si>
  <si>
    <t>Demolácia</t>
  </si>
  <si>
    <t>Etapa 1</t>
  </si>
  <si>
    <t>Výstavba</t>
  </si>
  <si>
    <t>Rekonštrukcia</t>
  </si>
  <si>
    <t>Etapa 2</t>
  </si>
  <si>
    <t>Podzemné parkovisko</t>
  </si>
  <si>
    <t>Rondel</t>
  </si>
  <si>
    <t>Objekt "Hot Floor"</t>
  </si>
  <si>
    <t>Parkovací dom - zamestnanci</t>
  </si>
  <si>
    <t>Pasáž</t>
  </si>
  <si>
    <t>CPI</t>
  </si>
  <si>
    <t>Nominal</t>
  </si>
  <si>
    <t>Indexovane</t>
  </si>
  <si>
    <t>Operating Data</t>
  </si>
  <si>
    <t>Pocet Lozok</t>
  </si>
  <si>
    <t>Pocet vykonov SVaLZ</t>
  </si>
  <si>
    <t>pocet ambulantnych pacientov</t>
  </si>
  <si>
    <t>Pocet vykonov JZS</t>
  </si>
  <si>
    <t>pocet Lozkodni</t>
  </si>
  <si>
    <t>Obloznost</t>
  </si>
  <si>
    <t>Amb.Vykony / Hospitalizacia</t>
  </si>
  <si>
    <t>Hospit+JZS</t>
  </si>
  <si>
    <t>JZS Share</t>
  </si>
  <si>
    <t>modelovany rast HP</t>
  </si>
  <si>
    <t>modelovany rast HP+JZS vykonov</t>
  </si>
  <si>
    <t>SVaLZ / Hospitalizacia</t>
  </si>
  <si>
    <t>JZS Revenues per hospit (all)</t>
  </si>
  <si>
    <t>Hospit Growth</t>
  </si>
  <si>
    <t>JZS Growth</t>
  </si>
  <si>
    <t>SVaLZ grovth</t>
  </si>
  <si>
    <t>Amb. Growth</t>
  </si>
  <si>
    <t>Hospit Revenues per case (all)</t>
  </si>
  <si>
    <t>SVaLZ Revenues per case (all)</t>
  </si>
  <si>
    <t>Ambulancie Revenues per case (all)</t>
  </si>
  <si>
    <t>Pricing, Growths</t>
  </si>
  <si>
    <t>EU revenues</t>
  </si>
  <si>
    <t>Priplatky/Zdravotnicke trzby</t>
  </si>
  <si>
    <t>Stomatologia</t>
  </si>
  <si>
    <t>Kapitacie</t>
  </si>
  <si>
    <t>ZP ostatne / Hospit.Revenues</t>
  </si>
  <si>
    <t>Stravné zamestnanci / Personal Costs</t>
  </si>
  <si>
    <t>PČ - prenajom</t>
  </si>
  <si>
    <t>PČ - parkovanie</t>
  </si>
  <si>
    <t>PČ - stravovanie</t>
  </si>
  <si>
    <t>PČ - ostatné</t>
  </si>
  <si>
    <t>Tržby  - Lekáreň</t>
  </si>
  <si>
    <t>Lieky / Hospitalizacie?</t>
  </si>
  <si>
    <t>Krv / Hospitalizacie?</t>
  </si>
  <si>
    <t>SZM / Hospitalizacie?</t>
  </si>
  <si>
    <t>SZM-svalz / SVaLZ</t>
  </si>
  <si>
    <t>Kapitalizácia</t>
  </si>
  <si>
    <t>Počet hospitalizačných prípadov</t>
  </si>
  <si>
    <t>Počet hospitalizovaných pacientov (Hpa)</t>
  </si>
  <si>
    <t>Počet lôžok v prevádzke</t>
  </si>
  <si>
    <t>Obložnosť v %</t>
  </si>
  <si>
    <t>váha - vážený priemer - na základe počtu lôžok</t>
  </si>
  <si>
    <t>váha - vážený priemer - na základe počtu Hpa</t>
  </si>
  <si>
    <t>Klinika</t>
  </si>
  <si>
    <t>areal</t>
  </si>
  <si>
    <t>klinika</t>
  </si>
  <si>
    <t>nazov</t>
  </si>
  <si>
    <t>Ortopédia</t>
  </si>
  <si>
    <t>K18</t>
  </si>
  <si>
    <t>Amb.ortop. protetiky - ortop. amb. č. 1  RA</t>
  </si>
  <si>
    <t>K20</t>
  </si>
  <si>
    <t>Ústav patológie  RA</t>
  </si>
  <si>
    <t>K21</t>
  </si>
  <si>
    <t>Oddelenie patológie  RA</t>
  </si>
  <si>
    <t>K22</t>
  </si>
  <si>
    <t>ZTB - gyn. amb. č.7 reprod. medicína RA</t>
  </si>
  <si>
    <t>K23</t>
  </si>
  <si>
    <t>Centr.oper. trakt          SNP</t>
  </si>
  <si>
    <t>K26</t>
  </si>
  <si>
    <t>Krvná banka    RA + SNP</t>
  </si>
  <si>
    <t>Rádiológia</t>
  </si>
  <si>
    <t>K54</t>
  </si>
  <si>
    <t>ORaZM - rádiológia 2 RA</t>
  </si>
  <si>
    <t>K55</t>
  </si>
  <si>
    <t>KRaZM rádiológia 1 SNP</t>
  </si>
  <si>
    <t>Mikrobiológia</t>
  </si>
  <si>
    <t>K56</t>
  </si>
  <si>
    <t>Ústav lekárskej a klin. mikrobiológie RA</t>
  </si>
  <si>
    <t>K60</t>
  </si>
  <si>
    <t>OUP - rádiológia 2 SNP USG</t>
  </si>
  <si>
    <t>K62</t>
  </si>
  <si>
    <t>OLM - hemat. a transf. amb. č. 5 SNP</t>
  </si>
  <si>
    <t>KXX</t>
  </si>
  <si>
    <t>naviac</t>
  </si>
  <si>
    <t>Počet HP</t>
  </si>
  <si>
    <t>Počet HPA</t>
  </si>
  <si>
    <t>Počet Ložok</t>
  </si>
  <si>
    <t>Počet ložkodni</t>
  </si>
  <si>
    <t>ložkodni</t>
  </si>
  <si>
    <t>ave HPA/HP</t>
  </si>
  <si>
    <t>HPA/HP ratio</t>
  </si>
  <si>
    <t xml:space="preserve">HP  </t>
  </si>
  <si>
    <t>StomatologiaCPI/Rast financovania od ZP</t>
  </si>
  <si>
    <t>Náklady na Tovar (lekaren)</t>
  </si>
  <si>
    <t>Energie celkom</t>
  </si>
  <si>
    <t>EE</t>
  </si>
  <si>
    <t>para</t>
  </si>
  <si>
    <t>Materiál Nezdravotnícky Celkom</t>
  </si>
  <si>
    <t>Materiál Zdravotnícky Celkom</t>
  </si>
  <si>
    <t>Materiál a Energie</t>
  </si>
  <si>
    <t>Služby</t>
  </si>
  <si>
    <t>SZM  - Implantaty</t>
  </si>
  <si>
    <t>SZM  - osobitne hradeny material</t>
  </si>
  <si>
    <t xml:space="preserve">SVaLZ  - RTG </t>
  </si>
  <si>
    <t>SVaLZ  - Kontrastné látky</t>
  </si>
  <si>
    <t>Lieky - Antineoplastiká (onko)</t>
  </si>
  <si>
    <t>Lieky - Antiinfektíva</t>
  </si>
  <si>
    <t>Lieky - Krv a krvotvor. org.- okrem PP</t>
  </si>
  <si>
    <t>Lieky  - ostatné</t>
  </si>
  <si>
    <t>SVaLZ - Diagnostiká, + Diag. pomôcky+ lb.material</t>
  </si>
  <si>
    <t>Osobitne nehradený materiál</t>
  </si>
  <si>
    <t>Ostatný základný zdrav. Materiál</t>
  </si>
  <si>
    <t>Potraviny Pacienti</t>
  </si>
  <si>
    <t>Režijný materiál  - zdrvotnícky</t>
  </si>
  <si>
    <t>Potraviny zamestnanci a ostatné</t>
  </si>
  <si>
    <t>Podnikateľská činnosť   - materiál celkom</t>
  </si>
  <si>
    <t xml:space="preserve">Zdrav.Technika  +  ND na zdrav.techniku </t>
  </si>
  <si>
    <t>Prevádzkovo-tech.materiál + nábytok + DHM</t>
  </si>
  <si>
    <t>Ostatný prevádzkový materiál</t>
  </si>
  <si>
    <t>Materiál SVaLZ</t>
  </si>
  <si>
    <t>Materiál SZM</t>
  </si>
  <si>
    <t>ostatné náklady</t>
  </si>
  <si>
    <t>Opravy a údržba  - Zdrav.T</t>
  </si>
  <si>
    <t>Opravy a údržba  - ostatné</t>
  </si>
  <si>
    <t>Odpad + Stočné</t>
  </si>
  <si>
    <t>IT služby</t>
  </si>
  <si>
    <t>Nájomné (?)</t>
  </si>
  <si>
    <t>Dane</t>
  </si>
  <si>
    <t>Neuplatnene DPH (cez Koeff.)</t>
  </si>
  <si>
    <t>Odpisy  - budovy</t>
  </si>
  <si>
    <t>odpisy - zariadenia</t>
  </si>
  <si>
    <t>Tvorba ost. Rezerv</t>
  </si>
  <si>
    <t>Tverba rezerv a OP  - bežná</t>
  </si>
  <si>
    <t>ostatné sluzby bezné</t>
  </si>
  <si>
    <t>Ostatné fin.náklady (hlavne poistenie</t>
  </si>
  <si>
    <t>?? Bezodplatný prevod zásob</t>
  </si>
  <si>
    <t>Pokuty a penále, manka a škody, súd.spory</t>
  </si>
  <si>
    <t>penále a úr. Z omeškania</t>
  </si>
  <si>
    <t>pasívne súdne spory</t>
  </si>
  <si>
    <t>ostatné bežné</t>
  </si>
  <si>
    <t>CPI/Rast financovania od ZP</t>
  </si>
  <si>
    <t>Growths and parameters</t>
  </si>
  <si>
    <t>Potraviny Pacienti / na lozkoden</t>
  </si>
  <si>
    <t>Potraviny zamestnanci a ostatné/ Mzdy</t>
  </si>
  <si>
    <t xml:space="preserve">Materiál SZM / revenues SZM </t>
  </si>
  <si>
    <t>Materiál SVaLZ / revenues SVaLZall</t>
  </si>
  <si>
    <t>Lieky / Hospi+JZS+Lieky)</t>
  </si>
  <si>
    <t>Marza lekaren  (GP/trzby)</t>
  </si>
  <si>
    <t>Krv a krvne vyrobky/HPA</t>
  </si>
  <si>
    <t xml:space="preserve">Pocet HPA - Model </t>
  </si>
  <si>
    <t>Osobitne nehradený materiál / Zdrav.trzby</t>
  </si>
  <si>
    <t>Neuplatnene DPH (cez Koeff.) / Naklady s DPH</t>
  </si>
  <si>
    <t>Tverba rezerv a OP  - bežná - % z Pers.Costs</t>
  </si>
  <si>
    <t>Other Margins</t>
  </si>
  <si>
    <t>Added value</t>
  </si>
  <si>
    <t>Direct Value (AV-Pers.Costs)</t>
  </si>
  <si>
    <t>EBITDA w/o One-offs</t>
  </si>
  <si>
    <t>One-Offs (netto revenue)</t>
  </si>
  <si>
    <t>Odpisy - budovy</t>
  </si>
  <si>
    <t>HIM  - vybavenie</t>
  </si>
  <si>
    <t>HIM - budovy</t>
  </si>
  <si>
    <t>Total Fixed assets - Depr.</t>
  </si>
  <si>
    <t>CAPEX - Standard</t>
  </si>
  <si>
    <t>CAPEX - New</t>
  </si>
  <si>
    <t>Odpisy  - Standard</t>
  </si>
  <si>
    <t>Odpisy New</t>
  </si>
  <si>
    <t>doodpisovane  - povdne podla stavu 2021</t>
  </si>
  <si>
    <t>Odpisuje sa podla stavu 2021</t>
  </si>
  <si>
    <t>Total Fixed assets - Depr. - Standard</t>
  </si>
  <si>
    <t>Total Fixed assets - Depr. - New</t>
  </si>
  <si>
    <t>Odpisy  - Old</t>
  </si>
  <si>
    <t>RV</t>
  </si>
  <si>
    <t>FTE Utilization</t>
  </si>
  <si>
    <t>Hospit/Doktor</t>
  </si>
  <si>
    <t>SVaLZ vysetreni</t>
  </si>
  <si>
    <t>Sestra/Doktor</t>
  </si>
  <si>
    <t>SVaLZ vysetreni/laborant</t>
  </si>
  <si>
    <t>2022-24  - fixed</t>
  </si>
  <si>
    <t>In that OSN HPA</t>
  </si>
  <si>
    <t>Prirodzený nárast JZS</t>
  </si>
  <si>
    <t>prirodzený úbytok HPA</t>
  </si>
  <si>
    <t>Úspory z OSN</t>
  </si>
  <si>
    <t>Úspory z JZS</t>
  </si>
  <si>
    <t>Úspory z opakovanej hospitalizácie</t>
  </si>
  <si>
    <t>úbytok opakovaných hospitalizácií</t>
  </si>
  <si>
    <t>vs 2019</t>
  </si>
  <si>
    <t>Budovy</t>
  </si>
  <si>
    <t>zariadenia</t>
  </si>
  <si>
    <t>Scenar "0"</t>
  </si>
  <si>
    <t>Scenar "A"</t>
  </si>
  <si>
    <t>DCFE</t>
  </si>
  <si>
    <t>DCFF</t>
  </si>
  <si>
    <t>prirodzený úbytok HPA (zo scenaru"0")</t>
  </si>
  <si>
    <t>In that OSN HPA yearly</t>
  </si>
  <si>
    <t>In that OSN HPA Increase</t>
  </si>
  <si>
    <t>real cost saving for HIC</t>
  </si>
  <si>
    <t>Nárast JZS Increase</t>
  </si>
  <si>
    <t>Nárast JZS yearly</t>
  </si>
  <si>
    <t>ALOS JZS</t>
  </si>
  <si>
    <t>Počet ložkodni JZS</t>
  </si>
  <si>
    <t>Počet ložkodni HP</t>
  </si>
  <si>
    <t>(1) Náklady na údržbu a bežnú rekonštrukciu (podľa dodaných info</t>
  </si>
  <si>
    <t>(2) žiadne dodatočné úspory v efektivite zamestnancov</t>
  </si>
  <si>
    <t>(3) žiadne dodatočné úspory v efektivite prevádzky</t>
  </si>
  <si>
    <t>(4) vývoj počtu hospitalizácií len s vývojom trhu (prirodzený pokles)</t>
  </si>
  <si>
    <t>(5) podiel JZS sa nezvyšuje</t>
  </si>
  <si>
    <t>(1) Náklady rekonštrukciu a výstavbu podľa dodaných podkladov</t>
  </si>
  <si>
    <t>(2) zvýšenie efektivity kvôli novým procesom v zrekonštruovanej a vystavanej budove (približenie sa bmk)</t>
  </si>
  <si>
    <t>(3) zníženie ALOS (dopad nových procesov a efektivity)</t>
  </si>
  <si>
    <t>(4) vývoj počtu hospitalizácií s dopadom OSN</t>
  </si>
  <si>
    <t>(5) podiel JZS sa ýraznejšie zvyšuje äaj tak ale pod cieľovým bmk)</t>
  </si>
  <si>
    <t>(6) vývojFTE detto s dopadom efektívnosti procesov</t>
  </si>
  <si>
    <t>(7) náklady na údržbu  - zníženie</t>
  </si>
  <si>
    <t>CoE</t>
  </si>
  <si>
    <t>(6) do 2022  - samostatne nastavené rasty aj miezd aj nákladov - bez plného krytia od ZP</t>
  </si>
  <si>
    <t>(7)  Limity od ZPs predpoklad plného krytia počtov s efektívnou cenou 2021</t>
  </si>
  <si>
    <t>(8) do 2022  - samostatne nastavené rasty aj miezd aj nákladov - bez plného krytia od ZP</t>
  </si>
  <si>
    <t>(9)  Limity od ZPs predpoklad plného krytia počtov s efektívnou cenou 2021</t>
  </si>
  <si>
    <t>OPERATIONAL RESULTS</t>
  </si>
  <si>
    <t>Depreciation and non-cash trans.</t>
  </si>
  <si>
    <t>Other changes</t>
  </si>
  <si>
    <t>Net Income w/o Transfers and state relations</t>
  </si>
  <si>
    <t>Transfers, reserves and state relations</t>
  </si>
  <si>
    <t>FCF  - BEZ dodatočného financovania</t>
  </si>
  <si>
    <t>Tržby Zdravotnícke a bežné služby</t>
  </si>
  <si>
    <t>Adde vaue</t>
  </si>
  <si>
    <t>Direct Margin (Added value-personal Costs)</t>
  </si>
  <si>
    <t>EBITDA - One-Offs</t>
  </si>
  <si>
    <t>One-Offs</t>
  </si>
  <si>
    <t>EBITDA Accounting</t>
  </si>
  <si>
    <t>"A" vs "0"</t>
  </si>
  <si>
    <t>Capex 2022-42</t>
  </si>
  <si>
    <t>Chýbajúce financovanie (vr.capex)</t>
  </si>
  <si>
    <t>Súčasná hodnota chýbajúceho Financovania</t>
  </si>
  <si>
    <t>Effectivity savings</t>
  </si>
  <si>
    <t>Saving from 2030</t>
  </si>
  <si>
    <t>Scenar "Z"</t>
  </si>
  <si>
    <t>"Z" vs "0"</t>
  </si>
  <si>
    <t>"A"</t>
  </si>
  <si>
    <t>"Z"</t>
  </si>
  <si>
    <t>Komplexná rekonštrukcia</t>
  </si>
  <si>
    <t>Energocentrum</t>
  </si>
  <si>
    <t>Number of HP + JZS (30% narocnost)</t>
  </si>
  <si>
    <t>Lieky / Hospi+Lieky)</t>
  </si>
  <si>
    <t>Extra rast HP</t>
  </si>
  <si>
    <t>Úspory ostatný.Zdrav materiál 2030</t>
  </si>
  <si>
    <t>Capex</t>
  </si>
  <si>
    <t>Traget 2034</t>
  </si>
  <si>
    <t xml:space="preserve">Trzby </t>
  </si>
  <si>
    <t>Key parameters</t>
  </si>
  <si>
    <t>Medical FTE  - zvysenie efektivity</t>
  </si>
  <si>
    <t>náklady na opravy udrzba</t>
  </si>
  <si>
    <t>Náklady na energie Celkom</t>
  </si>
  <si>
    <t>Priplatkove tržby - zvýšenie podielu</t>
  </si>
  <si>
    <t>podiel JZS k poctu HPA</t>
  </si>
  <si>
    <t>HPA extra growth</t>
  </si>
  <si>
    <t>Dok, setra, lab  - dosledok optimalizacie procesov a Investicie</t>
  </si>
  <si>
    <t>štadard pri rekonštruovanej Hosp 2-5% (súč. 0,27% z tržieb.Zdrav)</t>
  </si>
  <si>
    <t>nevyhnutnosť stiahnuť z trhu ďalšie JZS</t>
  </si>
  <si>
    <t>dodatočné akvirovanie HPA z trhu</t>
  </si>
  <si>
    <t>FTE THP+Admin  Savings</t>
  </si>
  <si>
    <t>Capex na rokonštrukciu</t>
  </si>
  <si>
    <t>Med. FTE</t>
  </si>
  <si>
    <t>Príplatky</t>
  </si>
  <si>
    <t>HPA</t>
  </si>
  <si>
    <t>Added vaue</t>
  </si>
  <si>
    <t>v podstate efektívne zníženie spotreby</t>
  </si>
  <si>
    <t>efektívnejšie procesy</t>
  </si>
  <si>
    <t>riziko</t>
  </si>
  <si>
    <t>CAPEX 2026-42</t>
  </si>
  <si>
    <t>CAPEX 2022-26 - Indexované</t>
  </si>
  <si>
    <t>CAPEX 2022-26 - Nominále</t>
  </si>
  <si>
    <t>relative</t>
  </si>
  <si>
    <t>zniženie dlhodobého Capex</t>
  </si>
  <si>
    <t>HPA+JZS spolu</t>
  </si>
  <si>
    <t>Počet lôžok</t>
  </si>
  <si>
    <t>ok text</t>
  </si>
  <si>
    <t>v texte 17% ??</t>
  </si>
  <si>
    <t>IRR - vnútorná miera návratnosti</t>
  </si>
  <si>
    <t>Doba návratnosti (r.)</t>
  </si>
  <si>
    <t>CAPEX 2027-42</t>
  </si>
  <si>
    <t>Scenar bez rekonštrukcie</t>
  </si>
  <si>
    <t>Scenar s rekonštrukciu</t>
  </si>
  <si>
    <t>Dopad Rekonštrukcie</t>
  </si>
  <si>
    <t>HPA extra</t>
  </si>
  <si>
    <t>vr.proj.management</t>
  </si>
  <si>
    <t>P.č.</t>
  </si>
  <si>
    <t>Úžitková plocha podlaží</t>
  </si>
  <si>
    <t>Plocha fasád</t>
  </si>
  <si>
    <t>Obost. priestor</t>
  </si>
  <si>
    <t>JC m2 - Obst.ploch</t>
  </si>
  <si>
    <t>JC m2 - Fasada</t>
  </si>
  <si>
    <t>JC m3 - Obst.priestor</t>
  </si>
  <si>
    <t>Naklady bez infrastruktury</t>
  </si>
  <si>
    <t>Hrube stavebne naklady (HRN)</t>
  </si>
  <si>
    <t>Projektova priprava %</t>
  </si>
  <si>
    <t>Projektova priprava  - naklady</t>
  </si>
  <si>
    <t>Zriadenie staveniska %</t>
  </si>
  <si>
    <t>Zriadenie staveniska  - naklady</t>
  </si>
  <si>
    <t>Stavebny Capx CELKOM</t>
  </si>
  <si>
    <t>Mobiliar %</t>
  </si>
  <si>
    <t>Mobiliar naklady</t>
  </si>
  <si>
    <t>Med.technologia %</t>
  </si>
  <si>
    <t>Med. Technologia</t>
  </si>
  <si>
    <t>Naklady celkom</t>
  </si>
  <si>
    <t>1.</t>
  </si>
  <si>
    <t xml:space="preserve"> - zabezpečenie stavebnej jamy (paženie-m2 )+ výkopy (m3)</t>
  </si>
  <si>
    <t xml:space="preserve"> - heliport</t>
  </si>
  <si>
    <r>
      <t xml:space="preserve"> - stav.úpravy pre "napojenie" obj."Hot Floor"</t>
    </r>
    <r>
      <rPr>
        <i/>
        <sz val="8"/>
        <rFont val="Arial"/>
        <family val="2"/>
        <charset val="238"/>
      </rPr>
      <t xml:space="preserve"> (PO fasáda A-F/1.PP-2NP +NK)</t>
    </r>
  </si>
  <si>
    <t xml:space="preserve"> - stav.úpravy vnútri Polikliniky na komunikačnej trase ( úpravy na 3 podlažiach )</t>
  </si>
  <si>
    <t>Pavilón XVIII. (neuro)</t>
  </si>
  <si>
    <t xml:space="preserve">Centrum duševného zdravia, </t>
  </si>
  <si>
    <t xml:space="preserve"> - podzemné parkovisko</t>
  </si>
  <si>
    <t xml:space="preserve"> - zemné práce (m3) + zabezp.stavebnej jamy (m2-najv.výška steny = 11 m )</t>
  </si>
  <si>
    <t>Blok interná a pneumológia,</t>
  </si>
  <si>
    <t>Etapa 3</t>
  </si>
  <si>
    <t>ODCH, OCHRIS, hyperbaroxia</t>
  </si>
  <si>
    <t>Vstup do areálu + Pasáž</t>
  </si>
  <si>
    <t>Monoblok (epc)</t>
  </si>
  <si>
    <t>Etapa 4</t>
  </si>
  <si>
    <t>Poliklinika vysoká časť (epc)</t>
  </si>
  <si>
    <t>Podnož monobloku (epc)</t>
  </si>
  <si>
    <t>Etapa 5</t>
  </si>
  <si>
    <t>Poliklinika nízka časť (epc)</t>
  </si>
  <si>
    <t>Pavilón XIX.(monoblok) (epc)</t>
  </si>
  <si>
    <t>Etapa 6</t>
  </si>
  <si>
    <t>Monoblok (modernizácia)</t>
  </si>
  <si>
    <t>Etapa 7</t>
  </si>
  <si>
    <t>25.</t>
  </si>
  <si>
    <t>Podnož monobloku (modernizácia)</t>
  </si>
  <si>
    <t>26.</t>
  </si>
  <si>
    <t>Urgentný príjem (modernizácia)</t>
  </si>
  <si>
    <t>27.</t>
  </si>
  <si>
    <t>Pavilón XIX.(monoblok) (modernizácia)</t>
  </si>
  <si>
    <t>28.</t>
  </si>
  <si>
    <t>Pavilón XXVIII.(rehab)</t>
  </si>
  <si>
    <t>29.</t>
  </si>
  <si>
    <t>Poliklinika vysoká časť (modernizácia)</t>
  </si>
  <si>
    <t>30.</t>
  </si>
  <si>
    <t>Poliklinika nízka časť (modernizácia)</t>
  </si>
  <si>
    <t>31.</t>
  </si>
  <si>
    <t>Etapa 8</t>
  </si>
  <si>
    <t>Komplet</t>
  </si>
  <si>
    <t>Technologie</t>
  </si>
  <si>
    <t>komplet</t>
  </si>
  <si>
    <t>technologie</t>
  </si>
  <si>
    <t>stavba</t>
  </si>
  <si>
    <t>Soc. Benefits</t>
  </si>
  <si>
    <t>Socioekonomicke benefity</t>
  </si>
  <si>
    <t>DPH</t>
  </si>
  <si>
    <t>Capex sensitivita</t>
  </si>
  <si>
    <t>lozkodni old</t>
  </si>
  <si>
    <t>lozkodni new</t>
  </si>
  <si>
    <t>davka</t>
  </si>
  <si>
    <t>senzitivita na capex</t>
  </si>
  <si>
    <t xml:space="preserve">DPH podla koeficientu </t>
  </si>
  <si>
    <t>z toho prekolepene JZS z UH</t>
  </si>
  <si>
    <t>Odvody SP</t>
  </si>
  <si>
    <t>Zahrnut Odvody</t>
  </si>
  <si>
    <t>Zahrnut DPH</t>
  </si>
  <si>
    <t>Z toho Odvody SP</t>
  </si>
  <si>
    <t>odpocitat:</t>
  </si>
  <si>
    <t>Úspory z JZS - transformovanych z UH</t>
  </si>
  <si>
    <t>Úspory z úbytku opakovaných hospitalizácií</t>
  </si>
  <si>
    <t>Opakované hospitalizácie</t>
  </si>
  <si>
    <t>Opakované hospitalizácie - znizenie</t>
  </si>
  <si>
    <t>Úspory zo zníženia nemocenských dávok - priame</t>
  </si>
  <si>
    <t>Vyclenenie DPH a odvodov z CBA (1= zahrnute v modeli):</t>
  </si>
  <si>
    <t>Potrebné náklady na investície</t>
  </si>
  <si>
    <t xml:space="preserve">CAPEX 2022-26 </t>
  </si>
  <si>
    <t>Bez renoštrukcie</t>
  </si>
  <si>
    <t>Dopad rekonštrukcie</t>
  </si>
  <si>
    <t>Účtovná Pridaná hodnota</t>
  </si>
  <si>
    <t>Prevádzková pridaná hodnta</t>
  </si>
  <si>
    <t>Pidaná hodnota - Osobné náklady</t>
  </si>
  <si>
    <t xml:space="preserve">EBITDA </t>
  </si>
  <si>
    <t>Počet HPA/dokor</t>
  </si>
  <si>
    <t>Sestra / Doktor</t>
  </si>
  <si>
    <t>SVALZ vyšetrení / laborant</t>
  </si>
  <si>
    <t>Benchmark efektívnej modernej nemocnice</t>
  </si>
  <si>
    <t>Cieľový rok 2034 - finančné parametre</t>
  </si>
  <si>
    <t>Cieľový rok 2034 - prevádzkové parametre</t>
  </si>
  <si>
    <t>novopostavená nemocnica podla efektívnych štandardov</t>
  </si>
  <si>
    <t>počet HPA</t>
  </si>
  <si>
    <t>v tom prirodzený úbytok</t>
  </si>
  <si>
    <t>v tom nárast  (OSN + kvalitatívne atrahovanie)</t>
  </si>
  <si>
    <t>počet výkonov JZS</t>
  </si>
  <si>
    <t>Údržbové nevyhnutné investície</t>
  </si>
  <si>
    <t>Údržbové nevyhnutné investície = nemajú zásadný vplyv na zvýšenie efektivity, tým na kvalitu služby pre pacienta</t>
  </si>
  <si>
    <t>v tom Chirurgická klinika</t>
  </si>
  <si>
    <t>v tom Traumatologické centrum</t>
  </si>
  <si>
    <t>v tom Centrum Matka a dieťa (vr. Neonatologie)</t>
  </si>
  <si>
    <t>v tom Centrum Interné kliniky</t>
  </si>
  <si>
    <t>v tom ostatné špecializácie</t>
  </si>
  <si>
    <t>v tom Neurológia a neurochirurgia</t>
  </si>
  <si>
    <t>v tom Psychiatria</t>
  </si>
  <si>
    <t>v tom ODCH</t>
  </si>
  <si>
    <t>v tom Pneumologia</t>
  </si>
  <si>
    <t>v tom ORL</t>
  </si>
  <si>
    <t>v tom OAIM</t>
  </si>
  <si>
    <t>Tržby Zdravotné výkony</t>
  </si>
  <si>
    <t xml:space="preserve">Tržby ostatné </t>
  </si>
  <si>
    <t>th.EUR</t>
  </si>
  <si>
    <t>spotreba materiál a energie</t>
  </si>
  <si>
    <t>osobné náklady</t>
  </si>
  <si>
    <t>pridaná hodnota</t>
  </si>
  <si>
    <t>ostané náklady a výnosy</t>
  </si>
  <si>
    <t>Odpisy</t>
  </si>
  <si>
    <t>HV pred zdanením</t>
  </si>
  <si>
    <t>Aktíva celkom</t>
  </si>
  <si>
    <t>fixné aktíva</t>
  </si>
  <si>
    <t>obežné aktíva</t>
  </si>
  <si>
    <t>ostatné aktíva</t>
  </si>
  <si>
    <t>Pasíva celkom</t>
  </si>
  <si>
    <t>Vlastné imanie</t>
  </si>
  <si>
    <t>dlhodobé záväzky</t>
  </si>
  <si>
    <t>krátkodobé záväzky</t>
  </si>
  <si>
    <t>ostatné pasíva</t>
  </si>
  <si>
    <t>Rezervy</t>
  </si>
  <si>
    <t>v tom Equity financovanie</t>
  </si>
  <si>
    <t xml:space="preserve">HV  </t>
  </si>
  <si>
    <t>odpisy a finančné náklady</t>
  </si>
  <si>
    <t>zmena pracovného kapitáli</t>
  </si>
  <si>
    <t>finančné náklady</t>
  </si>
  <si>
    <t>CF prevádzkové a finančné</t>
  </si>
  <si>
    <t>Investície</t>
  </si>
  <si>
    <t>SE benefity</t>
  </si>
  <si>
    <t>bez SE benefitov</t>
  </si>
  <si>
    <t>dopad benefitov</t>
  </si>
  <si>
    <t>Investícia celkom</t>
  </si>
  <si>
    <t>thEUR</t>
  </si>
  <si>
    <t>rekonštrukcie ambulantnj starostlivosti</t>
  </si>
  <si>
    <t>technické zázemie, obslužné priestory vr, parkovania</t>
  </si>
  <si>
    <t>výstavba nových nemocničných priestorov</t>
  </si>
  <si>
    <t>Modernizácia  zostávajúcich nemocničných priestorov</t>
  </si>
  <si>
    <t>aj ZP</t>
  </si>
  <si>
    <t>Nozokomialne infekcie</t>
  </si>
  <si>
    <t>SE beneffity</t>
  </si>
  <si>
    <t>počet nozokomialnych infekcii</t>
  </si>
  <si>
    <t>uspora nozokomialnych infekcii</t>
  </si>
  <si>
    <t>naklady na nozokomialne infekcie</t>
  </si>
  <si>
    <t>Úspory z úbytku nozokomialnych infekcii</t>
  </si>
  <si>
    <t>doctores</t>
  </si>
  <si>
    <t>Nurses</t>
  </si>
  <si>
    <t>Labs FTE</t>
  </si>
  <si>
    <t>Nozokomial infections savings</t>
  </si>
  <si>
    <t>OSN Savings for System</t>
  </si>
  <si>
    <t>JZS savings for system</t>
  </si>
  <si>
    <t>Re-HPA savings on system</t>
  </si>
  <si>
    <t>Reconstruction Effectivty Savings</t>
  </si>
  <si>
    <t>Social-economy savings</t>
  </si>
  <si>
    <t>Saving Assumtions</t>
  </si>
  <si>
    <t>% zvýšenia počtu HPA/doktor</t>
  </si>
  <si>
    <t>% zniženia podielu setra/doktor</t>
  </si>
  <si>
    <t>% zvýšenia počtu vyšetrení/laboratnt</t>
  </si>
  <si>
    <t>% zníženia nákladov</t>
  </si>
  <si>
    <t>% zefektívnenie zmeny fasáda a (epc)</t>
  </si>
  <si>
    <t>úspora náakldov ktré systém vynakladá v iných nemocnciach</t>
  </si>
  <si>
    <t>úspora z rozielu medzi cenou HPA a JAS (mala y byt minimálne 50-80%)</t>
  </si>
  <si>
    <t>Dlhodobé rasty</t>
  </si>
  <si>
    <t>platby od ZP</t>
  </si>
  <si>
    <t>plyn</t>
  </si>
  <si>
    <t>opravy a udrzba</t>
  </si>
  <si>
    <t>prev.materiál a mat. Podnikatelska cinnost</t>
  </si>
  <si>
    <t>Fin.Etapa</t>
  </si>
  <si>
    <t>Dopravná infarštruktúra</t>
  </si>
  <si>
    <t>epc  - zamysliet sa v ktorej faze</t>
  </si>
  <si>
    <t>úspora oproti UNLP vstupom</t>
  </si>
  <si>
    <t>REKONŠTRKCIA</t>
  </si>
  <si>
    <t>Faza 1+2+3</t>
  </si>
  <si>
    <t>Faza 1</t>
  </si>
  <si>
    <t>Faza 2</t>
  </si>
  <si>
    <t>Faza 3</t>
  </si>
  <si>
    <t>Vybrana faza pre model</t>
  </si>
  <si>
    <r>
      <t xml:space="preserve">Len faza 1 </t>
    </r>
    <r>
      <rPr>
        <b/>
        <sz val="11"/>
        <color rgb="FFFF0000"/>
        <rFont val="Calibri"/>
        <family val="2"/>
      </rPr>
      <t>BEZ DPH</t>
    </r>
  </si>
  <si>
    <r>
      <t xml:space="preserve">Faza 1+2+3 </t>
    </r>
    <r>
      <rPr>
        <b/>
        <sz val="11"/>
        <color rgb="FFFF0000"/>
        <rFont val="Calibri"/>
        <family val="2"/>
      </rPr>
      <t>BEZ DPH</t>
    </r>
  </si>
  <si>
    <r>
      <t>Len faza 1+2</t>
    </r>
    <r>
      <rPr>
        <b/>
        <sz val="11"/>
        <color rgb="FFFF0000"/>
        <rFont val="Calibri"/>
        <family val="2"/>
      </rPr>
      <t xml:space="preserve">  BEZ DPH</t>
    </r>
  </si>
  <si>
    <t>Faza</t>
  </si>
  <si>
    <t>capex/reveues</t>
  </si>
  <si>
    <t>do modelu s DPH</t>
  </si>
  <si>
    <t>LTCapex/Revenues</t>
  </si>
  <si>
    <t>Faza 1+2</t>
  </si>
  <si>
    <t>Vyber fazy</t>
  </si>
  <si>
    <t>FAZA 1</t>
  </si>
  <si>
    <t>FAZA 1+2</t>
  </si>
  <si>
    <t>FAZA 1+2+3</t>
  </si>
  <si>
    <t>Rekonštrukčný capex: NOMINAL, bez DPH</t>
  </si>
  <si>
    <t>CAPEX 2022-28 - Indexované</t>
  </si>
  <si>
    <t>CAPEX 2022-28 - Nominále</t>
  </si>
  <si>
    <t>CAPEX 2029-42</t>
  </si>
  <si>
    <t>Dlhodobý Capex (% tržieb) po ukončení</t>
  </si>
  <si>
    <t>Dopad do NPV(CFS2022+)</t>
  </si>
  <si>
    <t>dopad</t>
  </si>
  <si>
    <t>Fáza 1 - technológie</t>
  </si>
  <si>
    <t>Fáza 1 - stavebné náklady</t>
  </si>
  <si>
    <t>Fáza 2 - technológie</t>
  </si>
  <si>
    <t>Fáza 2 - stavebné náklady</t>
  </si>
  <si>
    <t>Fáza 3 - technológie</t>
  </si>
  <si>
    <t>Fáza 3 - stavebné náklady</t>
  </si>
  <si>
    <t>Fazy</t>
  </si>
  <si>
    <t>Atrahovanie HPA z OSN (% z cieľu)</t>
  </si>
  <si>
    <t>prirodzený úbytok</t>
  </si>
  <si>
    <t>vypadok OSN</t>
  </si>
  <si>
    <t>Diskontna sadzbe pri SE benefitoch</t>
  </si>
  <si>
    <t>Diskontna sadzbe pre Ekonomicku analyzu (SE benefitmi)</t>
  </si>
  <si>
    <t>bez benefitov</t>
  </si>
  <si>
    <t>s benefitmi</t>
  </si>
  <si>
    <t>Zahrnut SE benefity</t>
  </si>
  <si>
    <t>DS pre RV</t>
  </si>
  <si>
    <t>Zahrnut odvody</t>
  </si>
  <si>
    <t>NEMAZAT!!</t>
  </si>
  <si>
    <t>Extra rast 2022 vybraných nákladov</t>
  </si>
  <si>
    <t>zníženie počtu nozokom.infekcií</t>
  </si>
  <si>
    <t>Nominal profit 2022-42</t>
  </si>
  <si>
    <t>nominal profit 2022-42</t>
  </si>
  <si>
    <t>Nominal pofit 2022-42</t>
  </si>
  <si>
    <t>fazy 1+2+3</t>
  </si>
  <si>
    <t>fazy 1+2</t>
  </si>
  <si>
    <t>fazy 1</t>
  </si>
  <si>
    <t>Opravy a údržba NAD CPI</t>
  </si>
  <si>
    <t>Energie NAD CPI</t>
  </si>
  <si>
    <t xml:space="preserve">benefity nominalne </t>
  </si>
  <si>
    <t>Benefity PV</t>
  </si>
  <si>
    <t>Doktori  - zvysenie efektivity</t>
  </si>
  <si>
    <t>Labs FTE  - zvysenie efektivity</t>
  </si>
  <si>
    <t>Sestry  - zvysenie efektivity</t>
  </si>
  <si>
    <t>HPA extra rast</t>
  </si>
  <si>
    <t>JZS   - úspory do systému</t>
  </si>
  <si>
    <t>Vplyv OSN  - úspory do systému</t>
  </si>
  <si>
    <t>Re-HPA   - úspory do systému</t>
  </si>
  <si>
    <t>rast nákladov Capex</t>
  </si>
  <si>
    <t>nárast</t>
  </si>
  <si>
    <t>x</t>
  </si>
  <si>
    <t>celkom</t>
  </si>
  <si>
    <t>celospoločenské prínosy</t>
  </si>
  <si>
    <t>komfort pacienta/zamestnancov</t>
  </si>
  <si>
    <t>medicínska starostlivosť</t>
  </si>
  <si>
    <t>Vybudovanie parkovacieho domu bude mať pozitívny vplyv na obyvateľov v okolí nemocnice, keď návštevy pacientov, ako aj samotní pacienti, ktorí sú z celého východoslovenského regiónu nebudú musieť parkovať v okolitých uliciach a zahusťovať tak statickú dopravu v najbližšom okolí,</t>
  </si>
  <si>
    <t>možnosti parkovania</t>
  </si>
  <si>
    <t>Slovenská republika zaznamenáva vysoký odliv študentov do zahraničia, ktorí tam po ukončení štúdia aj zostávajú pracovať v nemocnicach. Modernizácia nemocnice môže spôsobiť zníženie odlivu študentov do zahraničia, čím sa zvýši šanca na ich zotrvanie v slovenskom zdravotníctve.</t>
  </si>
  <si>
    <t>odliv medicínskych pracovníkov do zahraničia</t>
  </si>
  <si>
    <t>UNLP je univerzitnou nemocnicou, ktorá poskytuje vzdelávanie najmä študentom lekárskej fakulty UPJŠ. Modernizáciou nemocnice sa výrazne zvýši kvalita praktického vzdelávania medicínskych pracovníkov</t>
  </si>
  <si>
    <t>vzdelávanie lekárov a sestier</t>
  </si>
  <si>
    <t>Modernizáciou nemocnie a zlepšením poskytovania zdravotnej starostlivosti sa zvýši motivácia zamestnancov, tým, že uvidia, že ich práca má zmysel.</t>
  </si>
  <si>
    <t>motivácia personálu</t>
  </si>
  <si>
    <t>Modernizácia nemocnice prinesie viaceré doplnkové služby (kvalitný bufet, možnosti drobných nákupov), ktoré zvýšia komfort pre personál, pacientov a návštevníkov nenocnice.</t>
  </si>
  <si>
    <t>doplnkové služby</t>
  </si>
  <si>
    <t>Modernizáciou nemoncice sa zvýši aj dôvera pacinetov v poskytovanú liečbu a tým aj úspešnosť samotnej liečby.</t>
  </si>
  <si>
    <t>prostredie pre pacientov</t>
  </si>
  <si>
    <t>Modernizáciou nemoncice sa zlepší pracovné prostredie, čo bude mať pozitívny vplyv na bezpečnosť pacientov zníženie stretu pri výkone povolania a tým aj zníženie chybovosti pri poskytovaní liečby, prípadne zníženie mortality.</t>
  </si>
  <si>
    <t>bezpečnosť pacienta</t>
  </si>
  <si>
    <t>Vybudovanie parkovacieho domu bude mať pozitívny vplyv na pohodlie zamoestnancov a pacientov, čím sa zníži stres pri príchode do nemocnice, či už do zamestnania, na vyšetrenie, zákrok, alebo hospitalizáciu</t>
  </si>
  <si>
    <t>Modernizácia nemocnice prinesie možnosť zlepšenia procesov a tým aj plánovanie pacientov na diagnostiku, vyšetrenie, zákroky, prípadne hospitalizácie. Týmto sa urýchly proces liečby a zvýši sa jej kvalita.</t>
  </si>
  <si>
    <t>plánovanie výkonov</t>
  </si>
  <si>
    <t>Komplexná monernizácia prinesie zvýšenie produktivity a tým aj zvýšenie kapacity nemocnice. To prinesie zníženie čakacích lehôt na lekársku starostlivosť. MZ SR plánuje vyhláškou zaveisť maximálne čakacie lehoty. Modernizácia nemocnice prispeje k zníženiu čakacích lehôt.</t>
  </si>
  <si>
    <t>čakacie lehoty</t>
  </si>
  <si>
    <t>Modernizácia nemocnice zlepší logistický a procesný model nemocnice, ako aj informačný systém. Zefektívni to manažment pacienta, čo mu prináša vyšší komfort, ako aj vyššiu kvalitu zdravotnej starostlivosti.</t>
  </si>
  <si>
    <t>management pacienta</t>
  </si>
  <si>
    <t>budúci stav</t>
  </si>
  <si>
    <t>súasný stav</t>
  </si>
  <si>
    <t>váha kritéria</t>
  </si>
  <si>
    <t>plná úspora zo zbyočných reoperácií  - prepočet z bmk nemocníc</t>
  </si>
  <si>
    <t>1-2 HRN ok</t>
  </si>
  <si>
    <t>Súčasný stav</t>
  </si>
  <si>
    <t>(UNLP, 2019)</t>
  </si>
  <si>
    <t>(UNLP + OSN, 2019)</t>
  </si>
  <si>
    <t>Predpokladaný rozvoj</t>
  </si>
  <si>
    <t>(UNLP, 2035)</t>
  </si>
  <si>
    <t>(OSN + UNLP, 2035)</t>
  </si>
  <si>
    <t>Chirurgická klinika</t>
  </si>
  <si>
    <t>Hpa</t>
  </si>
  <si>
    <r>
      <t> </t>
    </r>
    <r>
      <rPr>
        <i/>
        <sz val="12"/>
        <color rgb="FFFFFFFF"/>
        <rFont val="Arial Narrow"/>
        <family val="2"/>
      </rPr>
      <t>HPa</t>
    </r>
  </si>
  <si>
    <t>(OSŇ + UNLP, 2035)</t>
  </si>
  <si>
    <t>IV. interná klinika</t>
  </si>
  <si>
    <t>bez extra g</t>
  </si>
  <si>
    <t>Interna I</t>
  </si>
  <si>
    <t>Interna II</t>
  </si>
  <si>
    <t>hematologia</t>
  </si>
  <si>
    <t>pneumologia</t>
  </si>
  <si>
    <t>pracovne lekarstvo</t>
  </si>
  <si>
    <t>plasticka chirurgia</t>
  </si>
  <si>
    <t>Infektologia</t>
  </si>
  <si>
    <t>lôžkodni</t>
  </si>
  <si>
    <t>dermatologia</t>
  </si>
  <si>
    <t>FBaLR SNP</t>
  </si>
  <si>
    <t>FBaLR RV</t>
  </si>
  <si>
    <t>transplantacne oddelenie</t>
  </si>
  <si>
    <t>NPV 2022+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</si>
</sst>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164" formatCode="_-* #,##0_-;\-* #,##0_-;_-* &quot;-&quot;_-;_-@_-"/>
    <numFmt numFmtId="165" formatCode="_-* #,##0.00_-;\-* #,##0.00_-;_-* &quot;-&quot;??_-;_-@_-"/>
    <numFmt numFmtId="166" formatCode="\ \ #,##0.00_);\(\ \ #,##0.00\)"/>
    <numFmt numFmtId="167" formatCode="_-* #,##0.00\ &quot;DM&quot;_-;\-* #,##0.00\ &quot;DM&quot;_-;_-* &quot;-&quot;??\ &quot;DM&quot;_-;_-@_-"/>
    <numFmt numFmtId="168" formatCode="#,##0._);\(#,##0.\);&quot;-&quot;_)"/>
    <numFmt numFmtId="169" formatCode="_(* #,##0.00_);_(* \(#,##0.00\);_(* &quot;-&quot;??_);_(@_)"/>
    <numFmt numFmtId="170" formatCode="_(&quot;$&quot;* #,##0_);_(&quot;$&quot;* \(#,##0\);_(&quot;$&quot;* &quot;-&quot;_);_(@_)"/>
    <numFmt numFmtId="171" formatCode="_ * #,##0.00_ ;_ * \-#,##0.00_ ;_ * &quot;-&quot;??_ ;_ @_ "/>
    <numFmt numFmtId="172" formatCode="&quot;$&quot;#,##0_);[Red]&quot;($&quot;#,##0\)"/>
    <numFmt numFmtId="173" formatCode="#&quot; YRS&quot;"/>
    <numFmt numFmtId="174" formatCode="_-* #,##0\ &quot;DM&quot;_-;\-* #,##0\ &quot;DM&quot;_-;_-* &quot;-&quot;\ &quot;DM&quot;_-;_-@_-"/>
    <numFmt numFmtId="175" formatCode="_-* #,##0.0_-;\-* #,##0.0_-;_-* &quot;-&quot;_-;_-@_-"/>
    <numFmt numFmtId="176" formatCode="_(* #,##0_);_(* \(#,##0\);_(* &quot;-&quot;_);_(@_)"/>
    <numFmt numFmtId="177" formatCode="#,##0.00;[Red]\(#,##0.00\)"/>
    <numFmt numFmtId="178" formatCode="&quot;$&quot;#,##0_);\(&quot;$&quot;#,##0\)"/>
    <numFmt numFmtId="179" formatCode="yyyy&quot; f&quot;"/>
    <numFmt numFmtId="180" formatCode="[$EUR]\ * _(#,##0.00_);[Red][$EUR]\ * \(#,##0.00\);[$EUR]\ * _(&quot;-&quot;?_);@_)"/>
    <numFmt numFmtId="181" formatCode="&quot;£&quot;_(#,##0.00_);&quot;£&quot;\(#,##0.00\)"/>
    <numFmt numFmtId="182" formatCode="0.0%"/>
    <numFmt numFmtId="183" formatCode="0.00_)"/>
    <numFmt numFmtId="184" formatCode="_-* #,##0.00\ _K_č_-;\-* #,##0.00\ _K_č_-;_-* &quot;-&quot;??\ _K_č_-;_-@_-"/>
    <numFmt numFmtId="185" formatCode="#,##0.0\ ;\(#,##0.0\)"/>
    <numFmt numFmtId="186" formatCode="_(* #,##0_);_(* \(#,##0\);_(* &quot; - &quot;_);_(@_)"/>
    <numFmt numFmtId="187" formatCode="&quot;€&quot;\ * _(#,##0.00_);[Red]&quot;€&quot;\ * \(#,##0.00\);&quot;€&quot;\ * _(&quot;-&quot;?_);@_)"/>
    <numFmt numFmtId="188" formatCode="#,##0.00\ ;\(#,##0.00\)"/>
    <numFmt numFmtId="189" formatCode="&quot;$&quot;#,##0.00_);[Red]&quot;($&quot;#,##0.00\)"/>
    <numFmt numFmtId="190" formatCode="&quot;$&quot;#,##0..;\(&quot;$&quot;#,##0..\)"/>
    <numFmt numFmtId="191" formatCode="_(* #,##0.0_);_(* \(#,##0.0\);_(* &quot;-&quot;?_);_(@_)"/>
    <numFmt numFmtId="192" formatCode="&quot;$&quot;\ * _(#,##0_);[Red]&quot;$&quot;\ * \(#,##0\);&quot;$&quot;\ * _(&quot;-&quot;?_);@_)"/>
    <numFmt numFmtId="193" formatCode="#,##0.0000"/>
    <numFmt numFmtId="194" formatCode=";;;"/>
    <numFmt numFmtId="195" formatCode="[$GBP]\ * _(#,##0.00_);[Red][$GBP]\ * \(#,##0.00\);[$GBP]\ * _(&quot;-&quot;?_);@_)"/>
    <numFmt numFmtId="196" formatCode="dd\ mmm\ yy"/>
    <numFmt numFmtId="197" formatCode="[$USD]\ * _(#,##0.00_);[Red][$USD]\ * \(#,##0.00\);[$USD]\ * _(&quot;-&quot;?_);@_)"/>
    <numFmt numFmtId="198" formatCode="0.0_)\%;\(0.0\)\%"/>
    <numFmt numFmtId="199" formatCode="#,##0.0;\-#,##0.0;\-"/>
    <numFmt numFmtId="200" formatCode="&quot;£&quot;\ * _(#,##0.00_);[Red]&quot;£&quot;\ * \(#,##0.00\);&quot;£&quot;\ * _(&quot;-&quot;?_);@_)"/>
    <numFmt numFmtId="201" formatCode="_-* #,##0.00\ _S_k_-;\-* #,##0.00\ _S_k_-;_-* &quot;-&quot;??\ _S_k_-;_-@_-"/>
    <numFmt numFmtId="202" formatCode="_-* #,##0.00_р_._-;\-* #,##0.00_р_._-;_-* &quot;-&quot;??_р_._-;_-@_-"/>
    <numFmt numFmtId="203" formatCode="#,##0\ ;\(#,##0\)"/>
    <numFmt numFmtId="204" formatCode="#,##0.0_)\x;\(#,##0.0\)\x"/>
    <numFmt numFmtId="205" formatCode="#\ ??/??"/>
    <numFmt numFmtId="206" formatCode="&quot;$&quot;#.#"/>
    <numFmt numFmtId="207" formatCode="[$EUR]\ * _(#,##0_);[Red][$EUR]\ * \(#,##0\);[$EUR]\ * _(&quot;-&quot;?_);@_)"/>
    <numFmt numFmtId="208" formatCode="_(&quot;$&quot;* #,##0.00_);_(&quot;$&quot;* \(#,##0.00\);_(&quot;$&quot;* &quot;-&quot;??_);_(@_)"/>
    <numFmt numFmtId="209" formatCode="&quot;$&quot;#,##0_);[Red]\(&quot;$&quot;#,##0\)"/>
    <numFmt numFmtId="210" formatCode="&quot;$&quot;#,##0.00_);[Red]\(&quot;$&quot;#,##0.00\)"/>
    <numFmt numFmtId="211" formatCode="#,##0.0"/>
    <numFmt numFmtId="212" formatCode="&quot;$&quot;\ * _(#,##0.00_);[Red]&quot;$&quot;\ * \(#,##0.00\);&quot;$&quot;\ * _(&quot;-&quot;?_);@_)"/>
    <numFmt numFmtId="213" formatCode="#,##0.0_)_%;\(#,##0.0\)_%"/>
    <numFmt numFmtId="214" formatCode="#,##0.0_)_x;\(#,##0.0\)_x"/>
    <numFmt numFmtId="215" formatCode="#,##0.0_);\(#,##0.0\)"/>
    <numFmt numFmtId="216" formatCode="#,##0.0000_);[Red]\(#,##0.0000\)"/>
    <numFmt numFmtId="217" formatCode="0;;&quot;&quot;"/>
    <numFmt numFmtId="218" formatCode="_(* #,##0_);_(* \(#,##0\);_(* &quot;&quot;\ \-\ &quot;&quot;_);_(@_)"/>
    <numFmt numFmtId="219" formatCode="#,##0.0_);[Red]\(#,##0.0\)"/>
    <numFmt numFmtId="220" formatCode="_-* #,##0.00._z_ł_-;\-* #,##0.00._z_ł_-;_-* \-??\ _z_ł_-;_-@_-"/>
    <numFmt numFmtId="221" formatCode="_-* #,##0.00\ [$€-1]_-;\-* #,##0.00\ [$€-1]_-;_-* &quot;-&quot;??\ [$€-1]_-"/>
    <numFmt numFmtId="222" formatCode="#,##0.00_);[Red]\-#,##0.00_);0.00_);@_)"/>
    <numFmt numFmtId="223" formatCode="_(&quot;$&quot;* #,##0_);_(&quot;$&quot;* \(#,##0\);_(&quot;$&quot;* \-_);_(@_)"/>
    <numFmt numFmtId="224" formatCode="_-* #,##0.00_K_č_-;\-* #,##0.00_K_č_-;_-* &quot;-&quot;??_K_č_-;_-@_-"/>
    <numFmt numFmtId="225" formatCode="_-* #,##0.0.._-;\(#,##0.0..\);_-* &quot;-&quot;?_-;_-@_-"/>
    <numFmt numFmtId="226" formatCode="General_)"/>
    <numFmt numFmtId="227" formatCode="&quot;£&quot;\ * _(#,##0_);[Red]&quot;£&quot;\ * \(#,##0\);&quot;£&quot;\ * _(&quot;-&quot;?_);@_)"/>
    <numFmt numFmtId="228" formatCode="_-* #,##0.000_-;\-* #,##0.000_-;_-* &quot;-&quot;??_-;_-@_-"/>
    <numFmt numFmtId="229" formatCode="_-* #,##0.00\ &quot;Sk&quot;_-;\-* #,##0.00\ &quot;Sk&quot;_-;_-* &quot;-&quot;??\ &quot;Sk&quot;_-;_-@_-"/>
    <numFmt numFmtId="230" formatCode="_(* #,##0_);_(* \(#,##0\);_(* \-_);_(@_)"/>
    <numFmt numFmtId="231" formatCode="_(* #,##0.00_);_(* \(#,##0.00\);_(* \-??_);_(@_)"/>
    <numFmt numFmtId="232" formatCode="&quot;Yes&quot;;;&quot;No&quot;"/>
    <numFmt numFmtId="233" formatCode="###\ ###\ ##0;[Red]\-###\ ###\ ##0"/>
    <numFmt numFmtId="234" formatCode="0.0000"/>
    <numFmt numFmtId="235" formatCode="#,##0.0.._);\(#,##0.0..\);&quot;-&quot;_)"/>
    <numFmt numFmtId="236" formatCode="#,##0_);[Red]\-#,##0_);0_);@_)"/>
    <numFmt numFmtId="237" formatCode="&quot;$&quot;#,##0.0_);&quot;$&quot;\(#,##0.0\)"/>
    <numFmt numFmtId="238" formatCode="_(* #,##0.0_);_(* \(#,##0.0\);_(* &quot;-&quot;??_);_(@_)"/>
    <numFmt numFmtId="239" formatCode="#,##0.0\x_)_);\(#,##0.0\x\)_);#,##0.0\x_)_);@_%_)"/>
    <numFmt numFmtId="240" formatCode="0.0%;\-0.0%;\-"/>
    <numFmt numFmtId="241" formatCode="&quot;per &quot;0"/>
    <numFmt numFmtId="242" formatCode="0.000_)"/>
    <numFmt numFmtId="243" formatCode="0.0_)"/>
    <numFmt numFmtId="244" formatCode="_-* #,##0.00\ _z_ł_-;\-* #,##0.00\ _z_ł_-;_-* &quot;-&quot;??\ _z_ł_-;_-@_-"/>
    <numFmt numFmtId="245" formatCode="mm/dd/yy"/>
    <numFmt numFmtId="246" formatCode="_-* #,##0_-;\-* #,##0_-;_-* &quot;-&quot;??_-;_-@_-"/>
    <numFmt numFmtId="247" formatCode="* _(#,##0.00_);[Red]* \(#,##0.00\);* _(&quot;-&quot;?_);@_)"/>
    <numFmt numFmtId="248" formatCode="&quot;$&quot;#,##0.00_);\(&quot;$&quot;#,##0.00\)"/>
    <numFmt numFmtId="249" formatCode="0.00%;[Red]\-0.00%"/>
    <numFmt numFmtId="250" formatCode="0.00&quot;  &quot;"/>
    <numFmt numFmtId="251" formatCode="0.0"/>
    <numFmt numFmtId="252" formatCode="_-* #,##0.00_-;\-* #,##0.00_-;_-* &quot;-&quot;_-;_-@_-"/>
    <numFmt numFmtId="253" formatCode="0.0\ \ "/>
    <numFmt numFmtId="254" formatCode="_-* #,##0.000_-;\-* #,##0.000_-;_-* &quot;-&quot;_-;_-@_-"/>
    <numFmt numFmtId="255" formatCode="_-* #,##0.0_-;\-* #,##0.0_-;_-* &quot;-&quot;??_-;_-@_-"/>
    <numFmt numFmtId="256" formatCode="0.00;[Red]0.00"/>
    <numFmt numFmtId="257" formatCode="[$GBP]\ * _(#,##0_);[Red][$GBP]\ * \(#,##0\);[$GBP]\ * _(&quot;-&quot;?_);@_)"/>
    <numFmt numFmtId="258" formatCode="yyyy_)"/>
    <numFmt numFmtId="259" formatCode="&quot;$&quot;#,##0.0_);\(&quot;$&quot;#,##0.0\)"/>
    <numFmt numFmtId="260" formatCode="_(* #,##0.0_);_(* \(#,##0.0\);_(* \-?_);_(@_)"/>
    <numFmt numFmtId="261" formatCode="mmm\ yy_)"/>
    <numFmt numFmtId="262" formatCode="#,###.;\(#,###.\);&quot;-&quot;"/>
    <numFmt numFmtId="263" formatCode="_-* #,##0.00\ &quot;Kč&quot;_-;\-* #,##0.00\ &quot;Kč&quot;_-;_-* &quot;-&quot;??\ &quot;Kč&quot;_-;_-@_-"/>
    <numFmt numFmtId="264" formatCode="_-* #,##0.00_-;\(#,##0.00\);_-* &quot;-&quot;_-;_-@_-"/>
    <numFmt numFmtId="265" formatCode="&quot;«&quot;#,##0;_(* #,##0;_(* \-??_);_(@_)"/>
    <numFmt numFmtId="266" formatCode="_-* #,##0.00\ _F_t_-;\-* #,##0.00\ _F_t_-;_-* &quot;-&quot;??\ _F_t_-;_-@_-"/>
    <numFmt numFmtId="267" formatCode="0.0\ &quot;x&quot;"/>
    <numFmt numFmtId="268" formatCode="#,##0.0_ ;\(#,##0.0\)"/>
    <numFmt numFmtId="269" formatCode="_(&quot;$&quot;* #,##0.00_);_(&quot;$&quot;* \(#,##0.00\);_(&quot;$&quot;* \-??_);_(@_)"/>
    <numFmt numFmtId="270" formatCode="#,##0.000\ ;\(#,##0.000\)"/>
    <numFmt numFmtId="271" formatCode="#,##0;[Red]\(#,##0\)"/>
    <numFmt numFmtId="272" formatCode="[$USD]\ * _(#,##0_);[Red][$USD]\ * \(#,##0\);[$USD]\ * _(&quot;-&quot;?_);@_)"/>
    <numFmt numFmtId="273" formatCode="_#\,##0___);\(#,##0\)"/>
    <numFmt numFmtId="274" formatCode="&quot;$&quot;#,##0.00"/>
    <numFmt numFmtId="275" formatCode="&quot;€&quot;\ * _(#,##0_);[Red]&quot;€&quot;\ * \(#,##0\);&quot;€&quot;\ * _(&quot;-&quot;?_);@_)"/>
    <numFmt numFmtId="276" formatCode="_-* #,##0\ _D_M_-;\-* #,##0\ _D_M_-;_-* &quot;-&quot;\ _D_M_-;_-@_-"/>
    <numFmt numFmtId="277" formatCode="&quot;$&quot;\ #,##0_);\(&quot;$&quot;\ #,##0\)"/>
    <numFmt numFmtId="278" formatCode="00000000"/>
    <numFmt numFmtId="279" formatCode="_-* #,##0.0_-;\-* #,##0.0_-;_-* \-??_-;_-@_-"/>
    <numFmt numFmtId="280" formatCode="#,##0.0\%_);\(#,##0.0\%\);#,##0.0\%_);@_%_)"/>
    <numFmt numFmtId="281" formatCode="#,##0.00%;[Red]\-#,##0.00%;0.00%;@_)"/>
    <numFmt numFmtId="282" formatCode="0%;[Red]\-0%"/>
    <numFmt numFmtId="283" formatCode="#,##0\ \ ;\(#,##0\)"/>
    <numFmt numFmtId="284" formatCode="#,##0.00\ ;[Red]\(#,##0.00\)"/>
    <numFmt numFmtId="285" formatCode="yyyy\ &quot;e&quot;"/>
    <numFmt numFmtId="286" formatCode="yyyy"/>
    <numFmt numFmtId="287" formatCode="#,##0.0&quot; x&quot;"/>
    <numFmt numFmtId="288" formatCode="yyyy&quot; a&quot;"/>
    <numFmt numFmtId="289" formatCode="#,##0.0000;\-#,##0.0000"/>
    <numFmt numFmtId="290" formatCode="0.000"/>
    <numFmt numFmtId="291" formatCode="#,##0.000"/>
    <numFmt numFmtId="292" formatCode="#,##0.0&quot; rokov&quot;"/>
    <numFmt numFmtId="293" formatCode="#,##0.00\ &quot;€&quot;"/>
  </numFmts>
  <fonts count="400">
    <font>
      <sz val="11"/>
      <color indexed="8"/>
      <name val="Calibri"/>
      <charset val="238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9"/>
      <color indexed="8"/>
      <name val="Arial"/>
      <family val="2"/>
    </font>
    <font>
      <u/>
      <sz val="9"/>
      <color indexed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i/>
      <sz val="9"/>
      <color theme="0"/>
      <name val="Arial"/>
      <family val="2"/>
    </font>
    <font>
      <i/>
      <sz val="9"/>
      <color theme="1"/>
      <name val="Arial"/>
      <family val="2"/>
    </font>
    <font>
      <sz val="9"/>
      <color rgb="FFFF0000"/>
      <name val="Arial"/>
      <family val="2"/>
    </font>
    <font>
      <u/>
      <sz val="9"/>
      <name val="Arial"/>
      <family val="2"/>
    </font>
    <font>
      <i/>
      <sz val="9"/>
      <color indexed="8"/>
      <name val="Arial"/>
      <family val="2"/>
    </font>
    <font>
      <sz val="9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rgb="FFFF000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charset val="238"/>
    </font>
    <font>
      <sz val="11"/>
      <color theme="1"/>
      <name val="Calibri"/>
      <family val="2"/>
      <scheme val="minor"/>
    </font>
    <font>
      <sz val="1"/>
      <color indexed="8"/>
      <name val="Courier"/>
      <family val="1"/>
    </font>
    <font>
      <b/>
      <sz val="12"/>
      <name val="Times New Roman"/>
      <family val="1"/>
    </font>
    <font>
      <sz val="10"/>
      <name val="Courier"/>
      <family val="1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Courier"/>
      <family val="1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8"/>
      <name val="Arial"/>
      <family val="2"/>
    </font>
    <font>
      <sz val="8"/>
      <color indexed="8"/>
      <name val="Arial"/>
      <family val="2"/>
    </font>
    <font>
      <sz val="12"/>
      <name val="Letter Gothic 12"/>
      <charset val="134"/>
    </font>
    <font>
      <sz val="8"/>
      <name val="Courier New"/>
      <family val="3"/>
    </font>
    <font>
      <sz val="10"/>
      <name val="Geneva"/>
      <family val="2"/>
    </font>
    <font>
      <sz val="10"/>
      <name val="Arial"/>
      <family val="2"/>
    </font>
    <font>
      <b/>
      <u/>
      <sz val="8"/>
      <name val="Letter Gothic 12"/>
      <charset val="134"/>
    </font>
    <font>
      <sz val="11"/>
      <color indexed="8"/>
      <name val="Calibri"/>
      <family val="2"/>
    </font>
    <font>
      <sz val="10"/>
      <name val="Helv"/>
      <charset val="134"/>
    </font>
    <font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color indexed="8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sz val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sz val="10"/>
      <name val="Arial CE"/>
      <family val="2"/>
      <charset val="238"/>
    </font>
    <font>
      <sz val="10"/>
      <name val="Helv"/>
      <charset val="204"/>
    </font>
    <font>
      <sz val="8"/>
      <color indexed="8"/>
      <name val="Arial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1"/>
      <scheme val="major"/>
    </font>
    <font>
      <sz val="10"/>
      <name val="MS Sans Serif"/>
      <charset val="238"/>
    </font>
    <font>
      <i/>
      <sz val="10"/>
      <color indexed="45"/>
      <name val="Arial"/>
      <family val="2"/>
    </font>
    <font>
      <i/>
      <sz val="9"/>
      <color indexed="45"/>
      <name val="Arial"/>
      <family val="2"/>
    </font>
    <font>
      <sz val="10"/>
      <color indexed="52"/>
      <name val="Arial"/>
      <family val="2"/>
    </font>
    <font>
      <b/>
      <sz val="8"/>
      <name val="Letter Gothic 12"/>
      <charset val="134"/>
    </font>
    <font>
      <sz val="11"/>
      <color theme="1"/>
      <name val="Calibri"/>
      <family val="2"/>
      <scheme val="minor"/>
    </font>
    <font>
      <sz val="9"/>
      <color indexed="12"/>
      <name val="Times New Roman"/>
      <family val="1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b/>
      <sz val="9"/>
      <color indexed="9"/>
      <name val="Arial"/>
      <family val="2"/>
    </font>
    <font>
      <b/>
      <sz val="10"/>
      <color indexed="39"/>
      <name val="Arial"/>
      <family val="2"/>
    </font>
    <font>
      <sz val="10"/>
      <name val="Arial Cyr"/>
      <charset val="204"/>
    </font>
    <font>
      <sz val="8"/>
      <color indexed="12"/>
      <name val="Arial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sz val="10"/>
      <color indexed="9"/>
      <name val="Arial"/>
      <family val="2"/>
    </font>
    <font>
      <b/>
      <sz val="11"/>
      <color rgb="FFFA7D00"/>
      <name val="Calibri"/>
      <family val="2"/>
      <scheme val="minor"/>
    </font>
    <font>
      <sz val="10"/>
      <color indexed="8"/>
      <name val="Tms Rmn"/>
      <charset val="134"/>
    </font>
    <font>
      <sz val="6"/>
      <name val="Arial"/>
      <family val="2"/>
    </font>
    <font>
      <sz val="10"/>
      <color indexed="62"/>
      <name val="Arial"/>
      <family val="2"/>
    </font>
    <font>
      <b/>
      <sz val="8"/>
      <name val="Book Antiqua"/>
      <family val="1"/>
    </font>
    <font>
      <b/>
      <sz val="10.5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u/>
      <sz val="10"/>
      <color indexed="12"/>
      <name val="Arial CE"/>
      <family val="2"/>
      <charset val="238"/>
    </font>
    <font>
      <sz val="8"/>
      <color indexed="10"/>
      <name val="Arial"/>
      <family val="2"/>
    </font>
    <font>
      <sz val="8"/>
      <name val="Times New Roman"/>
      <family val="1"/>
    </font>
    <font>
      <b/>
      <sz val="8"/>
      <color indexed="9"/>
      <name val="Arial"/>
      <family val="2"/>
    </font>
    <font>
      <sz val="10"/>
      <color indexed="10"/>
      <name val="Times New Roman"/>
      <family val="1"/>
    </font>
    <font>
      <b/>
      <sz val="12"/>
      <name val="Arial"/>
      <family val="2"/>
    </font>
    <font>
      <sz val="12"/>
      <color indexed="17"/>
      <name val="Arial"/>
      <family val="2"/>
    </font>
    <font>
      <b/>
      <sz val="13"/>
      <name val="Times New Roman"/>
      <family val="1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8"/>
      <name val="Tms Rmn"/>
      <charset val="134"/>
    </font>
    <font>
      <sz val="10"/>
      <name val="Courier New"/>
      <family val="3"/>
    </font>
    <font>
      <sz val="8"/>
      <name val="Times"/>
      <family val="1"/>
    </font>
    <font>
      <i/>
      <sz val="9"/>
      <color indexed="55"/>
      <name val="Arial"/>
      <family val="2"/>
    </font>
    <font>
      <sz val="11"/>
      <color rgb="FF3F3F76"/>
      <name val="Calibri"/>
      <family val="2"/>
      <scheme val="minor"/>
    </font>
    <font>
      <b/>
      <sz val="14"/>
      <color indexed="9"/>
      <name val="Arial"/>
      <family val="2"/>
    </font>
    <font>
      <b/>
      <sz val="10"/>
      <color indexed="12"/>
      <name val="Arial"/>
      <family val="2"/>
    </font>
    <font>
      <b/>
      <sz val="12"/>
      <color indexed="9"/>
      <name val="Arial"/>
      <family val="2"/>
    </font>
    <font>
      <sz val="8"/>
      <color indexed="12"/>
      <name val="Arial"/>
      <family val="2"/>
    </font>
    <font>
      <b/>
      <i/>
      <sz val="12"/>
      <name val="Arial"/>
      <family val="2"/>
    </font>
    <font>
      <b/>
      <u/>
      <sz val="8"/>
      <name val="Times New Roman"/>
      <family val="1"/>
    </font>
    <font>
      <u/>
      <sz val="10"/>
      <name val="Arial"/>
      <family val="2"/>
    </font>
    <font>
      <b/>
      <sz val="11"/>
      <color indexed="52"/>
      <name val="Calibri"/>
      <family val="2"/>
    </font>
    <font>
      <sz val="10"/>
      <name val="Times New Roman CE"/>
      <charset val="238"/>
    </font>
    <font>
      <b/>
      <sz val="8"/>
      <name val="Arial"/>
      <family val="2"/>
    </font>
    <font>
      <u/>
      <sz val="8"/>
      <name val="Letter Gothic 12"/>
      <charset val="134"/>
    </font>
    <font>
      <b/>
      <i/>
      <sz val="12"/>
      <name val="Times New Roman"/>
      <family val="1"/>
    </font>
    <font>
      <sz val="8"/>
      <color indexed="12"/>
      <name val="Verdana"/>
      <family val="2"/>
    </font>
    <font>
      <b/>
      <sz val="12"/>
      <name val="Arial"/>
      <family val="2"/>
    </font>
    <font>
      <sz val="18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indexed="20"/>
      <name val="Calibri"/>
      <family val="2"/>
    </font>
    <font>
      <b/>
      <sz val="16"/>
      <color indexed="9"/>
      <name val="Arial"/>
      <family val="2"/>
    </font>
    <font>
      <b/>
      <sz val="11"/>
      <color rgb="FF3F3F3F"/>
      <name val="Calibri"/>
      <family val="2"/>
      <scheme val="minor"/>
    </font>
    <font>
      <b/>
      <i/>
      <sz val="20"/>
      <name val="Arial"/>
      <family val="2"/>
    </font>
    <font>
      <b/>
      <u val="singleAccounting"/>
      <sz val="9"/>
      <color indexed="9"/>
      <name val="Arial"/>
      <family val="2"/>
    </font>
    <font>
      <sz val="10"/>
      <color indexed="20"/>
      <name val="Arial"/>
      <family val="2"/>
    </font>
    <font>
      <strike/>
      <sz val="12"/>
      <color indexed="46"/>
      <name val="Arial"/>
      <family val="2"/>
    </font>
    <font>
      <b/>
      <i/>
      <sz val="22"/>
      <name val="Arial"/>
      <family val="2"/>
    </font>
    <font>
      <b/>
      <sz val="10"/>
      <color indexed="45"/>
      <name val="Arial"/>
      <family val="2"/>
    </font>
    <font>
      <sz val="10"/>
      <color indexed="12"/>
      <name val="Times New Roman"/>
      <family val="1"/>
    </font>
    <font>
      <sz val="8"/>
      <color indexed="12"/>
      <name val="Times New Roman"/>
      <family val="1"/>
    </font>
    <font>
      <sz val="11"/>
      <color indexed="10"/>
      <name val="Calibri"/>
      <family val="2"/>
    </font>
    <font>
      <b/>
      <i/>
      <sz val="14"/>
      <name val="Arial"/>
      <family val="2"/>
    </font>
    <font>
      <i/>
      <strike/>
      <sz val="12"/>
      <color indexed="48"/>
      <name val="Arial"/>
      <family val="2"/>
    </font>
    <font>
      <b/>
      <sz val="18"/>
      <color indexed="56"/>
      <name val="Cambria"/>
      <family val="1"/>
    </font>
    <font>
      <b/>
      <sz val="11"/>
      <color indexed="9"/>
      <name val="Calibri"/>
      <family val="2"/>
    </font>
    <font>
      <b/>
      <u val="doubleAccounting"/>
      <sz val="10"/>
      <color indexed="18"/>
      <name val="Arial"/>
      <family val="2"/>
    </font>
    <font>
      <u val="singleAccounting"/>
      <sz val="10"/>
      <name val="Arial"/>
      <family val="2"/>
    </font>
    <font>
      <u/>
      <sz val="12"/>
      <name val="Letter Gothic 12"/>
      <charset val="134"/>
    </font>
    <font>
      <b/>
      <sz val="9"/>
      <name val="Arial"/>
      <family val="2"/>
    </font>
    <font>
      <u/>
      <sz val="9.5"/>
      <color indexed="36"/>
      <name val="Arial"/>
      <family val="2"/>
    </font>
    <font>
      <sz val="10"/>
      <name val="Arial Narrow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i/>
      <sz val="8"/>
      <color indexed="12"/>
      <name val="Times New Roman"/>
      <family val="1"/>
    </font>
    <font>
      <b/>
      <sz val="8"/>
      <name val="Helv"/>
      <charset val="134"/>
    </font>
    <font>
      <sz val="9"/>
      <name val="Times New Roman CE"/>
      <charset val="238"/>
    </font>
    <font>
      <sz val="12"/>
      <name val="Arial"/>
      <family val="2"/>
    </font>
    <font>
      <u/>
      <sz val="8"/>
      <color indexed="12"/>
      <name val="Times New Roman"/>
      <family val="1"/>
    </font>
    <font>
      <b/>
      <sz val="15"/>
      <color theme="3"/>
      <name val="Calibri"/>
      <family val="2"/>
      <scheme val="minor"/>
    </font>
    <font>
      <u val="singleAccounting"/>
      <sz val="10"/>
      <color indexed="45"/>
      <name val="Arial"/>
      <family val="2"/>
    </font>
    <font>
      <sz val="8"/>
      <color indexed="9"/>
      <name val="Arial"/>
      <family val="2"/>
    </font>
    <font>
      <b/>
      <sz val="8"/>
      <color indexed="8"/>
      <name val="Courier New"/>
      <family val="3"/>
    </font>
    <font>
      <u/>
      <sz val="8"/>
      <name val="Times New Roman"/>
      <family val="1"/>
    </font>
    <font>
      <b/>
      <sz val="10"/>
      <color indexed="9"/>
      <name val="Arial"/>
      <family val="2"/>
    </font>
    <font>
      <sz val="8"/>
      <color indexed="12"/>
      <name val="Times New Roman"/>
      <family val="1"/>
    </font>
    <font>
      <sz val="11"/>
      <color indexed="62"/>
      <name val="Calibri"/>
      <family val="2"/>
    </font>
    <font>
      <sz val="10"/>
      <color indexed="45"/>
      <name val="Arial"/>
      <family val="2"/>
    </font>
    <font>
      <sz val="11"/>
      <name val="Tms Rmn"/>
      <charset val="134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b/>
      <i/>
      <sz val="10"/>
      <name val="Times New Roman"/>
      <family val="1"/>
    </font>
    <font>
      <sz val="10"/>
      <name val="Tms Rmn"/>
      <charset val="134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i/>
      <sz val="8"/>
      <name val="Tms Rmn"/>
      <charset val="134"/>
    </font>
    <font>
      <b/>
      <sz val="10"/>
      <name val="Tms Rmn PL"/>
      <charset val="134"/>
    </font>
    <font>
      <sz val="10"/>
      <name val="Courier New"/>
      <family val="3"/>
    </font>
    <font>
      <b/>
      <sz val="11"/>
      <color indexed="63"/>
      <name val="Calibri"/>
      <family val="2"/>
    </font>
    <font>
      <sz val="10"/>
      <color indexed="12"/>
      <name val="Times New Roman"/>
      <family val="1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i/>
      <sz val="10"/>
      <color indexed="9"/>
      <name val="Arial"/>
      <family val="2"/>
    </font>
    <font>
      <sz val="8"/>
      <name val="Arial CE"/>
      <family val="2"/>
      <charset val="238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8"/>
      <name val="Arial"/>
      <family val="2"/>
    </font>
    <font>
      <b/>
      <u val="singleAccounting"/>
      <sz val="8"/>
      <color indexed="8"/>
      <name val="Arial"/>
      <family val="2"/>
    </font>
    <font>
      <b/>
      <sz val="12"/>
      <color indexed="12"/>
      <name val="Arial Narrow"/>
      <family val="2"/>
    </font>
    <font>
      <sz val="10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i/>
      <sz val="10"/>
      <color indexed="23"/>
      <name val="Arial"/>
      <family val="2"/>
    </font>
    <font>
      <b/>
      <sz val="11"/>
      <color indexed="63"/>
      <name val="Calibri"/>
      <family val="2"/>
    </font>
    <font>
      <b/>
      <i/>
      <strike/>
      <sz val="12"/>
      <color indexed="48"/>
      <name val="Arial"/>
      <family val="2"/>
    </font>
    <font>
      <u/>
      <sz val="10"/>
      <color indexed="36"/>
      <name val="MS Sans Serif"/>
      <charset val="134"/>
    </font>
    <font>
      <sz val="10"/>
      <color indexed="17"/>
      <name val="Arial"/>
      <family val="2"/>
    </font>
    <font>
      <b/>
      <sz val="12"/>
      <name val="Tms Rmn"/>
      <charset val="134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sz val="13"/>
      <color indexed="62"/>
      <name val="Calibri"/>
      <family val="2"/>
    </font>
    <font>
      <b/>
      <sz val="11"/>
      <color indexed="9"/>
      <name val="Calibri"/>
      <family val="2"/>
    </font>
    <font>
      <i/>
      <strike/>
      <sz val="12"/>
      <color indexed="40"/>
      <name val="Arial"/>
      <family val="2"/>
    </font>
    <font>
      <i/>
      <sz val="11"/>
      <color indexed="23"/>
      <name val="Calibri"/>
      <family val="2"/>
    </font>
    <font>
      <i/>
      <sz val="10"/>
      <color indexed="10"/>
      <name val="Times New Roman"/>
      <family val="1"/>
    </font>
    <font>
      <sz val="10"/>
      <color indexed="10"/>
      <name val="Arial"/>
      <family val="2"/>
    </font>
    <font>
      <sz val="10"/>
      <color indexed="17"/>
      <name val="Times New Roman"/>
      <family val="1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sz val="10.5"/>
      <name val="Times New Roman"/>
      <family val="1"/>
    </font>
    <font>
      <b/>
      <sz val="10"/>
      <color indexed="18"/>
      <name val="Arial"/>
      <family val="2"/>
    </font>
    <font>
      <b/>
      <sz val="16"/>
      <name val="Times New Roman"/>
      <family val="1"/>
    </font>
    <font>
      <b/>
      <sz val="1"/>
      <color indexed="8"/>
      <name val="Courier"/>
      <family val="1"/>
    </font>
    <font>
      <strike/>
      <sz val="10"/>
      <name val="Arial"/>
      <family val="2"/>
    </font>
    <font>
      <b/>
      <sz val="12"/>
      <name val="Helv"/>
      <charset val="134"/>
    </font>
    <font>
      <b/>
      <i/>
      <sz val="22"/>
      <name val="Times New Roman"/>
      <family val="1"/>
    </font>
    <font>
      <sz val="10"/>
      <color indexed="9"/>
      <name val="Times New Roman"/>
      <family val="1"/>
    </font>
    <font>
      <u/>
      <sz val="10"/>
      <color indexed="12"/>
      <name val="MS Sans Serif"/>
      <charset val="134"/>
    </font>
    <font>
      <u/>
      <sz val="10"/>
      <color indexed="20"/>
      <name val="Arial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i/>
      <sz val="10"/>
      <color indexed="20"/>
      <name val="Arial Narrow"/>
      <family val="2"/>
    </font>
    <font>
      <sz val="10"/>
      <color indexed="50"/>
      <name val="Times New Roman"/>
      <family val="1"/>
    </font>
    <font>
      <sz val="10"/>
      <color indexed="12"/>
      <name val="Arial"/>
      <family val="2"/>
    </font>
    <font>
      <sz val="9"/>
      <color indexed="8"/>
      <name val="AvantGardeGothicE"/>
      <charset val="238"/>
    </font>
    <font>
      <sz val="10"/>
      <color indexed="12"/>
      <name val="Arial"/>
      <family val="2"/>
    </font>
    <font>
      <i/>
      <sz val="9"/>
      <color indexed="62"/>
      <name val="Arial"/>
      <family val="2"/>
    </font>
    <font>
      <b/>
      <sz val="14"/>
      <name val="Arial CE"/>
      <family val="2"/>
      <charset val="238"/>
    </font>
    <font>
      <b/>
      <sz val="11"/>
      <color theme="0"/>
      <name val="Calibri"/>
      <family val="2"/>
      <scheme val="minor"/>
    </font>
    <font>
      <b/>
      <sz val="18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color indexed="9"/>
      <name val="Arial"/>
      <family val="2"/>
    </font>
    <font>
      <i/>
      <sz val="11"/>
      <color indexed="23"/>
      <name val="Calibri"/>
      <family val="2"/>
    </font>
    <font>
      <sz val="8"/>
      <color indexed="18"/>
      <name val="Arial"/>
      <family val="2"/>
    </font>
    <font>
      <b/>
      <sz val="11"/>
      <name val="Helv"/>
      <charset val="134"/>
    </font>
    <font>
      <sz val="8"/>
      <name val="Palatino"/>
      <family val="1"/>
    </font>
    <font>
      <sz val="10"/>
      <name val="Palatino"/>
      <family val="1"/>
    </font>
    <font>
      <b/>
      <sz val="13"/>
      <color theme="3"/>
      <name val="Calibri"/>
      <family val="2"/>
      <scheme val="minor"/>
    </font>
    <font>
      <sz val="11"/>
      <color indexed="8"/>
      <name val="Times New Roman"/>
      <family val="1"/>
    </font>
    <font>
      <b/>
      <sz val="11"/>
      <color theme="3"/>
      <name val="Calibri"/>
      <family val="2"/>
      <scheme val="minor"/>
    </font>
    <font>
      <i/>
      <sz val="9"/>
      <color indexed="16"/>
      <name val="Arial"/>
      <family val="2"/>
    </font>
    <font>
      <b/>
      <i/>
      <sz val="20"/>
      <name val="Arial"/>
      <family val="2"/>
    </font>
    <font>
      <b/>
      <sz val="12"/>
      <name val="Arial CE"/>
      <family val="2"/>
      <charset val="238"/>
    </font>
    <font>
      <sz val="10"/>
      <color indexed="12"/>
      <name val="AvantGardeGothicE"/>
      <charset val="238"/>
    </font>
    <font>
      <sz val="10"/>
      <color indexed="60"/>
      <name val="Arial"/>
      <family val="2"/>
    </font>
    <font>
      <sz val="11"/>
      <color rgb="FF9C6500"/>
      <name val="Calibri"/>
      <family val="2"/>
      <scheme val="minor"/>
    </font>
    <font>
      <sz val="7"/>
      <name val="Small Fonts"/>
      <charset val="238"/>
    </font>
    <font>
      <sz val="9"/>
      <color theme="1"/>
      <name val="Times New Roman"/>
      <family val="1"/>
    </font>
    <font>
      <b/>
      <sz val="8"/>
      <name val="Times New Roman"/>
      <family val="1"/>
    </font>
    <font>
      <sz val="11"/>
      <color rgb="FFFF0000"/>
      <name val="Calibri"/>
      <family val="2"/>
      <scheme val="minor"/>
    </font>
    <font>
      <sz val="10"/>
      <name val="Verdana"/>
      <family val="2"/>
    </font>
    <font>
      <i/>
      <sz val="10"/>
      <name val="Times New Roman"/>
      <family val="1"/>
    </font>
    <font>
      <sz val="8"/>
      <name val="Arial CE"/>
      <family val="2"/>
      <charset val="238"/>
    </font>
    <font>
      <b/>
      <sz val="11"/>
      <color indexed="52"/>
      <name val="Calibri"/>
      <family val="2"/>
    </font>
    <font>
      <i/>
      <strike/>
      <sz val="12"/>
      <color indexed="10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i/>
      <sz val="8"/>
      <name val="Times New Roman"/>
      <family val="1"/>
    </font>
    <font>
      <sz val="9"/>
      <name val="Geneva"/>
      <family val="2"/>
    </font>
    <font>
      <sz val="8"/>
      <color indexed="62"/>
      <name val="Courier New"/>
      <family val="3"/>
    </font>
    <font>
      <sz val="11"/>
      <color rgb="FF9C0006"/>
      <name val="Calibri"/>
      <family val="2"/>
      <scheme val="minor"/>
    </font>
    <font>
      <sz val="11"/>
      <name val="Arial"/>
      <family val="2"/>
    </font>
    <font>
      <b/>
      <i/>
      <u/>
      <sz val="24"/>
      <name val="Times New Roman CE"/>
      <charset val="238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0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i/>
      <sz val="10"/>
      <name val="Arial Narrow"/>
      <family val="2"/>
    </font>
    <font>
      <b/>
      <sz val="18"/>
      <color indexed="62"/>
      <name val="Cambria"/>
      <family val="1"/>
    </font>
    <font>
      <b/>
      <sz val="11"/>
      <color indexed="62"/>
      <name val="Arial"/>
      <family val="2"/>
    </font>
    <font>
      <sz val="11"/>
      <color indexed="20"/>
      <name val="Calibri"/>
      <family val="2"/>
    </font>
    <font>
      <sz val="10"/>
      <color indexed="18"/>
      <name val="Arial"/>
      <family val="2"/>
    </font>
    <font>
      <u/>
      <sz val="11"/>
      <name val="Arial"/>
      <family val="2"/>
    </font>
    <font>
      <b/>
      <sz val="8"/>
      <name val="Tms Rmn"/>
      <charset val="134"/>
    </font>
    <font>
      <sz val="9"/>
      <name val="Helvetica-Black"/>
      <charset val="134"/>
    </font>
    <font>
      <sz val="7"/>
      <name val="Times New Roman"/>
      <family val="1"/>
    </font>
    <font>
      <b/>
      <sz val="8"/>
      <name val="Arial"/>
      <family val="2"/>
    </font>
    <font>
      <sz val="10"/>
      <color indexed="10"/>
      <name val="Arial"/>
      <family val="2"/>
    </font>
    <font>
      <sz val="9"/>
      <color indexed="8"/>
      <name val="Times New Roman"/>
      <family val="1"/>
    </font>
    <font>
      <b/>
      <i/>
      <sz val="24"/>
      <name val="Arial"/>
      <family val="2"/>
    </font>
    <font>
      <b/>
      <sz val="15"/>
      <color indexed="62"/>
      <name val="Calibri"/>
      <family val="2"/>
    </font>
    <font>
      <b/>
      <sz val="18"/>
      <color indexed="56"/>
      <name val="Cambria"/>
      <family val="1"/>
    </font>
    <font>
      <sz val="10"/>
      <color indexed="21"/>
      <name val="Arial"/>
      <family val="2"/>
    </font>
    <font>
      <sz val="10"/>
      <color indexed="12"/>
      <name val="Arial Narrow"/>
      <family val="2"/>
    </font>
    <font>
      <sz val="8"/>
      <color indexed="8"/>
      <name val="Wingdings"/>
      <charset val="2"/>
    </font>
    <font>
      <sz val="11"/>
      <color indexed="8"/>
      <name val="Calibri"/>
      <family val="2"/>
    </font>
    <font>
      <b/>
      <sz val="9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FF000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rgb="FF002060"/>
      <name val="Arial"/>
      <family val="2"/>
    </font>
    <font>
      <b/>
      <sz val="9"/>
      <color rgb="FF002060"/>
      <name val="Arial"/>
      <family val="2"/>
    </font>
    <font>
      <i/>
      <sz val="9"/>
      <color rgb="FF002060"/>
      <name val="Arial"/>
      <family val="2"/>
    </font>
    <font>
      <b/>
      <sz val="9"/>
      <color theme="1"/>
      <name val="Arial"/>
      <family val="2"/>
    </font>
    <font>
      <sz val="9"/>
      <color rgb="FF000099"/>
      <name val="Arial"/>
      <family val="2"/>
    </font>
    <font>
      <b/>
      <sz val="9"/>
      <color rgb="FF000099"/>
      <name val="Arial"/>
      <family val="2"/>
    </font>
    <font>
      <sz val="11"/>
      <color rgb="FF000099"/>
      <name val="Calibri"/>
      <family val="2"/>
    </font>
    <font>
      <sz val="11"/>
      <name val="Calibri"/>
      <family val="2"/>
    </font>
    <font>
      <sz val="9"/>
      <color theme="1"/>
      <name val="Arial"/>
      <family val="2"/>
    </font>
    <font>
      <i/>
      <sz val="9"/>
      <color rgb="FFFF0000"/>
      <name val="Arial"/>
      <family val="2"/>
    </font>
    <font>
      <i/>
      <sz val="9"/>
      <color theme="1"/>
      <name val="Arial"/>
      <family val="2"/>
    </font>
    <font>
      <i/>
      <sz val="9"/>
      <color rgb="FF000099"/>
      <name val="Arial"/>
      <family val="2"/>
    </font>
    <font>
      <u/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9"/>
      <color rgb="FF0000FF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sz val="11"/>
      <color indexed="8"/>
      <name val="Arial"/>
      <family val="2"/>
    </font>
    <font>
      <b/>
      <sz val="11"/>
      <name val="Calibri"/>
      <family val="2"/>
      <scheme val="minor"/>
    </font>
    <font>
      <sz val="9"/>
      <color rgb="FFFF3300"/>
      <name val="Arial"/>
      <family val="2"/>
    </font>
    <font>
      <b/>
      <i/>
      <sz val="9"/>
      <color theme="1"/>
      <name val="Arial"/>
      <family val="2"/>
    </font>
    <font>
      <sz val="9"/>
      <color theme="0" tint="-0.499984740745262"/>
      <name val="Arial"/>
      <family val="2"/>
    </font>
    <font>
      <i/>
      <sz val="9"/>
      <color theme="1" tint="0.34998626667073579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  <charset val="1"/>
    </font>
    <font>
      <b/>
      <i/>
      <sz val="8"/>
      <color indexed="8"/>
      <name val="Arial"/>
      <family val="2"/>
    </font>
    <font>
      <sz val="11"/>
      <color rgb="FF0000FF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1"/>
      <color rgb="FF000099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  <charset val="238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rgb="FFFF3300"/>
      <name val="Calibri"/>
      <family val="2"/>
    </font>
    <font>
      <i/>
      <sz val="11"/>
      <color rgb="FFFF3300"/>
      <name val="Calibri"/>
      <family val="2"/>
    </font>
    <font>
      <sz val="11"/>
      <color theme="3" tint="0.39997558519241921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color indexed="8"/>
      <name val="Calibri"/>
      <family val="2"/>
    </font>
    <font>
      <i/>
      <sz val="10"/>
      <color rgb="FF000099"/>
      <name val="Calibri"/>
      <family val="2"/>
    </font>
    <font>
      <i/>
      <sz val="11"/>
      <color rgb="FFFF0000"/>
      <name val="Calibri"/>
      <family val="2"/>
    </font>
    <font>
      <i/>
      <sz val="11"/>
      <color rgb="FF0000FF"/>
      <name val="Calibri"/>
      <family val="2"/>
    </font>
    <font>
      <b/>
      <sz val="11"/>
      <color rgb="FF0000FF"/>
      <name val="Calibri"/>
      <family val="2"/>
    </font>
    <font>
      <i/>
      <sz val="11"/>
      <color theme="0" tint="-0.499984740745262"/>
      <name val="Calibri"/>
      <family val="2"/>
    </font>
    <font>
      <b/>
      <sz val="11"/>
      <color rgb="FFFF0000"/>
      <name val="Calibri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indexed="8"/>
      <name val="Calibri"/>
      <family val="2"/>
    </font>
    <font>
      <b/>
      <sz val="10"/>
      <color rgb="FFFF0000"/>
      <name val="Arial"/>
      <family val="2"/>
    </font>
    <font>
      <sz val="11"/>
      <color theme="0" tint="-0.249977111117893"/>
      <name val="Calibri"/>
      <family val="2"/>
    </font>
    <font>
      <i/>
      <sz val="11"/>
      <color theme="1" tint="0.499984740745262"/>
      <name val="Calibri"/>
      <family val="2"/>
    </font>
    <font>
      <sz val="11"/>
      <color theme="1" tint="0.499984740745262"/>
      <name val="Calibri"/>
      <family val="2"/>
    </font>
    <font>
      <b/>
      <sz val="11"/>
      <color theme="1" tint="0.499984740745262"/>
      <name val="Calibri"/>
      <family val="2"/>
    </font>
    <font>
      <b/>
      <sz val="9"/>
      <color theme="1" tint="0.499984740745262"/>
      <name val="Arial"/>
      <family val="2"/>
    </font>
    <font>
      <b/>
      <sz val="11"/>
      <color theme="0" tint="-0.499984740745262"/>
      <name val="Calibri"/>
      <family val="2"/>
    </font>
    <font>
      <i/>
      <sz val="10"/>
      <color theme="0" tint="-0.499984740745262"/>
      <name val="Calibri"/>
      <family val="2"/>
    </font>
    <font>
      <i/>
      <sz val="11"/>
      <name val="Calibri"/>
      <family val="2"/>
    </font>
    <font>
      <sz val="9"/>
      <color theme="1" tint="0.499984740745262"/>
      <name val="Arial"/>
      <family val="2"/>
    </font>
    <font>
      <sz val="10"/>
      <color rgb="FFFF0000"/>
      <name val="Arial"/>
      <family val="2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i/>
      <sz val="11"/>
      <color rgb="FF000099"/>
      <name val="Calibri"/>
      <family val="2"/>
    </font>
    <font>
      <b/>
      <i/>
      <sz val="11"/>
      <color indexed="8"/>
      <name val="Calibri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i/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sz val="10"/>
      <color rgb="FF00B050"/>
      <name val="Arial"/>
      <family val="2"/>
      <charset val="238"/>
    </font>
    <font>
      <b/>
      <sz val="10"/>
      <color rgb="FF00B050"/>
      <name val="Arial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sz val="11"/>
      <color theme="9" tint="-0.499984740745262"/>
      <name val="Calibri"/>
      <family val="2"/>
    </font>
    <font>
      <sz val="9"/>
      <color rgb="FF0000FF"/>
      <name val="Arial"/>
      <family val="2"/>
    </font>
    <font>
      <b/>
      <sz val="11"/>
      <color theme="0"/>
      <name val="Calibri"/>
      <family val="2"/>
    </font>
    <font>
      <i/>
      <sz val="11"/>
      <color theme="0"/>
      <name val="Calibri"/>
      <family val="2"/>
    </font>
    <font>
      <sz val="11"/>
      <color theme="0"/>
      <name val="Calibri"/>
      <family val="2"/>
    </font>
    <font>
      <sz val="11"/>
      <color theme="0"/>
      <name val="Calibri"/>
      <family val="2"/>
      <charset val="238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9"/>
      <color rgb="FF000000"/>
      <name val="Arial"/>
      <family val="2"/>
    </font>
    <font>
      <sz val="10"/>
      <color rgb="FF0000FF"/>
      <name val="Arial"/>
      <family val="2"/>
      <charset val="238"/>
    </font>
    <font>
      <sz val="8"/>
      <color rgb="FF0000FF"/>
      <name val="Arial"/>
      <family val="2"/>
      <charset val="238"/>
    </font>
    <font>
      <sz val="18"/>
      <name val="Arial"/>
      <family val="2"/>
    </font>
    <font>
      <i/>
      <sz val="12"/>
      <color rgb="FFFFFFFF"/>
      <name val="Arial Narrow"/>
      <family val="2"/>
    </font>
    <font>
      <sz val="12"/>
      <color rgb="FFFFFFFF"/>
      <name val="Arial Narrow"/>
      <family val="2"/>
    </font>
    <font>
      <sz val="12"/>
      <color rgb="FF000000"/>
      <name val="Arial Narrow"/>
      <family val="2"/>
    </font>
    <font>
      <b/>
      <sz val="12"/>
      <color rgb="FF000000"/>
      <name val="Arial Narrow"/>
      <family val="2"/>
    </font>
    <font>
      <b/>
      <i/>
      <sz val="12"/>
      <color rgb="FF000000"/>
      <name val="Arial Narrow"/>
      <family val="2"/>
    </font>
    <font>
      <b/>
      <sz val="12"/>
      <color rgb="FFFFFFFF"/>
      <name val="Arial Narrow"/>
      <family val="2"/>
    </font>
  </fonts>
  <fills count="11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 tint="-0.24994659260841701"/>
      </patternFill>
    </fill>
    <fill>
      <patternFill patternType="solid">
        <fgColor rgb="FFFFFFCC"/>
        <bgColor theme="0" tint="-0.24994659260841701"/>
      </patternFill>
    </fill>
    <fill>
      <patternFill patternType="solid">
        <fgColor indexed="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theme="5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theme="7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rgb="FFFFEB9C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CC99"/>
        <bgColor indexed="64"/>
      </patternFill>
    </fill>
    <fill>
      <patternFill patternType="lightGray">
        <fgColor indexed="15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1"/>
        <bgColor indexed="38"/>
      </patternFill>
    </fill>
    <fill>
      <patternFill patternType="solid">
        <fgColor indexed="22"/>
        <bgColor indexed="22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54"/>
      </patternFill>
    </fill>
    <fill>
      <patternFill patternType="lightUp">
        <fgColor indexed="9"/>
        <bgColor indexed="29"/>
      </patternFill>
    </fill>
    <fill>
      <patternFill patternType="solid">
        <fgColor indexed="24"/>
        <bgColor indexed="24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4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7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13"/>
        <bgColor indexed="15"/>
      </patternFill>
    </fill>
    <fill>
      <patternFill patternType="solid">
        <fgColor indexed="18"/>
        <bgColor indexed="32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5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5F8B8C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lightGray">
        <bgColor theme="0" tint="-0.14996795556505021"/>
      </patternFill>
    </fill>
    <fill>
      <patternFill patternType="lightGray"/>
    </fill>
    <fill>
      <patternFill patternType="solid">
        <fgColor theme="7" tint="0.599963377788628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lightGray">
        <bgColor theme="7" tint="0.59996337778862885"/>
      </patternFill>
    </fill>
    <fill>
      <patternFill patternType="solid">
        <fgColor rgb="FFCCFFCC"/>
        <bgColor indexed="64"/>
      </patternFill>
    </fill>
    <fill>
      <patternFill patternType="solid">
        <fgColor rgb="FF4F2D7F"/>
        <bgColor indexed="64"/>
      </patternFill>
    </fill>
    <fill>
      <patternFill patternType="solid">
        <fgColor rgb="FFA98AD6"/>
        <bgColor indexed="64"/>
      </patternFill>
    </fill>
    <fill>
      <patternFill patternType="solid">
        <fgColor rgb="FFD6C7EB"/>
        <bgColor indexed="64"/>
      </patternFill>
    </fill>
    <fill>
      <patternFill patternType="solid">
        <fgColor theme="7"/>
        <bgColor theme="4"/>
      </patternFill>
    </fill>
    <fill>
      <patternFill patternType="solid">
        <fgColor theme="7" tint="-0.249977111117893"/>
        <bgColor theme="4" tint="0.59999389629810485"/>
      </patternFill>
    </fill>
    <fill>
      <patternFill patternType="solid">
        <fgColor theme="7" tint="0.39997558519241921"/>
        <bgColor theme="4" tint="0.79998168889431442"/>
      </patternFill>
    </fill>
    <fill>
      <patternFill patternType="solid">
        <fgColor theme="7" tint="0.59999389629810485"/>
        <bgColor theme="4" tint="0.59999389629810485"/>
      </patternFill>
    </fill>
    <fill>
      <patternFill patternType="solid">
        <fgColor rgb="FF59595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5E0B4"/>
        <bgColor indexed="64"/>
      </patternFill>
    </fill>
  </fills>
  <borders count="19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5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4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medium">
        <color auto="1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 style="medium">
        <color indexed="4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18"/>
      </top>
      <bottom style="thin">
        <color indexed="1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auto="1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/>
      <right/>
      <top/>
      <bottom style="thick">
        <color indexed="49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</borders>
  <cellStyleXfs count="1462">
    <xf numFmtId="0" fontId="0" fillId="0" borderId="0"/>
    <xf numFmtId="0" fontId="283" fillId="24" borderId="0" applyNumberFormat="0" applyBorder="0" applyAlignment="0" applyProtection="0"/>
    <xf numFmtId="0" fontId="55" fillId="0" borderId="23" applyNumberFormat="0" applyFill="0" applyBorder="0" applyAlignment="0"/>
    <xf numFmtId="192" fontId="52" fillId="0" borderId="0" applyFont="0" applyFill="0" applyBorder="0" applyAlignment="0" applyProtection="0">
      <alignment vertical="center"/>
    </xf>
    <xf numFmtId="185" fontId="42" fillId="0" borderId="0"/>
    <xf numFmtId="0" fontId="28" fillId="9" borderId="0" applyNumberFormat="0" applyBorder="0" applyAlignment="0" applyProtection="0"/>
    <xf numFmtId="0" fontId="283" fillId="27" borderId="0" applyNumberFormat="0" applyBorder="0" applyAlignment="0" applyProtection="0"/>
    <xf numFmtId="9" fontId="57" fillId="22" borderId="48"/>
    <xf numFmtId="0" fontId="31" fillId="0" borderId="0">
      <protection locked="0"/>
    </xf>
    <xf numFmtId="0" fontId="45" fillId="0" borderId="0"/>
    <xf numFmtId="0" fontId="35" fillId="0" borderId="0" applyNumberFormat="0" applyFill="0" applyBorder="0" applyAlignment="0" applyProtection="0"/>
    <xf numFmtId="0" fontId="51" fillId="9" borderId="55" applyNumberFormat="0" applyProtection="0">
      <alignment horizontal="left" vertical="top" indent="1"/>
    </xf>
    <xf numFmtId="208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194" fontId="88" fillId="0" borderId="0" applyFont="0" applyFill="0" applyBorder="0" applyAlignment="0"/>
    <xf numFmtId="49" fontId="75" fillId="32" borderId="0">
      <alignment vertical="center"/>
    </xf>
    <xf numFmtId="0" fontId="283" fillId="20" borderId="0" applyNumberFormat="0" applyBorder="0" applyAlignment="0" applyProtection="0"/>
    <xf numFmtId="203" fontId="56" fillId="0" borderId="0" applyFill="0" applyBorder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23" borderId="0" applyNumberFormat="0" applyBorder="0" applyAlignment="0" applyProtection="0"/>
    <xf numFmtId="0" fontId="64" fillId="28" borderId="0" applyNumberFormat="0" applyBorder="0" applyAlignment="0" applyProtection="0"/>
    <xf numFmtId="9" fontId="283" fillId="0" borderId="0" applyFont="0" applyFill="0" applyBorder="0" applyAlignment="0" applyProtection="0"/>
    <xf numFmtId="0" fontId="283" fillId="0" borderId="0"/>
    <xf numFmtId="0" fontId="283" fillId="0" borderId="0"/>
    <xf numFmtId="188" fontId="40" fillId="0" borderId="0"/>
    <xf numFmtId="187" fontId="52" fillId="0" borderId="0" applyFont="0" applyFill="0" applyBorder="0" applyAlignment="0" applyProtection="0">
      <alignment vertical="center"/>
    </xf>
    <xf numFmtId="0" fontId="39" fillId="13" borderId="0" applyNumberFormat="0" applyBorder="0" applyAlignment="0" applyProtection="0"/>
    <xf numFmtId="0" fontId="34" fillId="0" borderId="51" applyNumberFormat="0" applyFill="0" applyAlignment="0" applyProtection="0"/>
    <xf numFmtId="0" fontId="64" fillId="22" borderId="0" applyNumberFormat="0" applyBorder="0" applyAlignment="0" applyProtection="0"/>
    <xf numFmtId="0" fontId="80" fillId="0" borderId="58" applyNumberFormat="0" applyFill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57" fillId="0" borderId="0"/>
    <xf numFmtId="181" fontId="45" fillId="0" borderId="0" applyFont="0" applyFill="0" applyBorder="0" applyAlignment="0" applyProtection="0"/>
    <xf numFmtId="0" fontId="47" fillId="17" borderId="0" applyNumberFormat="0" applyBorder="0" applyAlignment="0" applyProtection="0"/>
    <xf numFmtId="209" fontId="66" fillId="0" borderId="0" applyFont="0" applyFill="0" applyBorder="0" applyAlignment="0" applyProtection="0"/>
    <xf numFmtId="10" fontId="85" fillId="14" borderId="48"/>
    <xf numFmtId="195" fontId="52" fillId="0" borderId="0" applyFont="0" applyFill="0" applyBorder="0" applyAlignment="0" applyProtection="0">
      <alignment vertical="center"/>
    </xf>
    <xf numFmtId="202" fontId="77" fillId="0" borderId="0" applyFont="0" applyFill="0" applyBorder="0" applyAlignment="0" applyProtection="0"/>
    <xf numFmtId="0" fontId="283" fillId="14" borderId="52" applyNumberFormat="0" applyFont="0" applyAlignment="0" applyProtection="0"/>
    <xf numFmtId="191" fontId="58" fillId="0" borderId="0" applyFont="0" applyFill="0" applyBorder="0" applyAlignment="0" applyProtection="0"/>
    <xf numFmtId="0" fontId="283" fillId="27" borderId="0" applyNumberFormat="0" applyBorder="0" applyAlignment="0" applyProtection="0"/>
    <xf numFmtId="0" fontId="283" fillId="30" borderId="0" applyNumberFormat="0" applyBorder="0" applyAlignment="0" applyProtection="0"/>
    <xf numFmtId="0" fontId="82" fillId="34" borderId="59" applyNumberFormat="0" applyAlignment="0" applyProtection="0"/>
    <xf numFmtId="0" fontId="55" fillId="0" borderId="0" applyNumberFormat="0" applyFill="0" applyBorder="0" applyAlignment="0"/>
    <xf numFmtId="0" fontId="59" fillId="0" borderId="0"/>
    <xf numFmtId="183" fontId="43" fillId="0" borderId="0"/>
    <xf numFmtId="199" fontId="54" fillId="0" borderId="0"/>
    <xf numFmtId="0" fontId="45" fillId="0" borderId="0"/>
    <xf numFmtId="0" fontId="34" fillId="0" borderId="51" applyNumberFormat="0" applyFill="0" applyAlignment="0" applyProtection="0"/>
    <xf numFmtId="0" fontId="64" fillId="28" borderId="0" applyNumberFormat="0" applyBorder="0" applyAlignment="0" applyProtection="0"/>
    <xf numFmtId="0" fontId="39" fillId="13" borderId="0" applyNumberFormat="0" applyBorder="0" applyAlignment="0" applyProtection="0"/>
    <xf numFmtId="0" fontId="64" fillId="30" borderId="0" applyNumberFormat="0" applyBorder="0" applyAlignment="0" applyProtection="0"/>
    <xf numFmtId="0" fontId="93" fillId="37" borderId="0">
      <alignment horizontal="right"/>
    </xf>
    <xf numFmtId="203" fontId="56" fillId="0" borderId="0" applyFill="0" applyBorder="0" applyAlignment="0" applyProtection="0"/>
    <xf numFmtId="0" fontId="86" fillId="0" borderId="23" applyNumberFormat="0" applyFill="0" applyBorder="0" applyAlignment="0" applyProtection="0">
      <alignment horizontal="center"/>
    </xf>
    <xf numFmtId="0" fontId="81" fillId="33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47" fillId="15" borderId="0" applyNumberFormat="0" applyBorder="0" applyAlignment="0" applyProtection="0"/>
    <xf numFmtId="0" fontId="94" fillId="0" borderId="64" applyNumberFormat="0" applyFill="0" applyAlignment="0" applyProtection="0"/>
    <xf numFmtId="37" fontId="72" fillId="0" borderId="0" applyFont="0" applyFill="0" applyBorder="0" applyAlignment="0" applyProtection="0">
      <alignment horizontal="center"/>
    </xf>
    <xf numFmtId="0" fontId="79" fillId="24" borderId="0" applyNumberFormat="0" applyBorder="0" applyAlignment="0" applyProtection="0"/>
    <xf numFmtId="0" fontId="283" fillId="0" borderId="0"/>
    <xf numFmtId="0" fontId="283" fillId="0" borderId="0"/>
    <xf numFmtId="0" fontId="57" fillId="0" borderId="0" applyNumberFormat="0">
      <alignment horizontal="right"/>
    </xf>
    <xf numFmtId="9" fontId="67" fillId="9" borderId="0"/>
    <xf numFmtId="0" fontId="36" fillId="0" borderId="0">
      <alignment vertical="center"/>
    </xf>
    <xf numFmtId="196" fontId="50" fillId="0" borderId="0" applyFont="0" applyFill="0" applyBorder="0" applyAlignment="0" applyProtection="0"/>
    <xf numFmtId="0" fontId="283" fillId="20" borderId="0" applyNumberFormat="0" applyBorder="0" applyAlignment="0" applyProtection="0"/>
    <xf numFmtId="207" fontId="52" fillId="0" borderId="0" applyFont="0" applyFill="0" applyBorder="0" applyAlignment="0" applyProtection="0">
      <alignment vertical="center"/>
    </xf>
    <xf numFmtId="0" fontId="283" fillId="28" borderId="0" applyNumberFormat="0" applyBorder="0" applyAlignment="0" applyProtection="0"/>
    <xf numFmtId="0" fontId="32" fillId="0" borderId="23" applyNumberFormat="0" applyFont="0" applyFill="0" applyProtection="0">
      <alignment horizontal="centerContinuous" vertical="center"/>
    </xf>
    <xf numFmtId="190" fontId="58" fillId="0" borderId="0"/>
    <xf numFmtId="38" fontId="50" fillId="0" borderId="48"/>
    <xf numFmtId="1" fontId="45" fillId="26" borderId="0"/>
    <xf numFmtId="0" fontId="283" fillId="43" borderId="0" applyNumberFormat="0" applyBorder="0" applyAlignment="0" applyProtection="0"/>
    <xf numFmtId="0" fontId="62" fillId="0" borderId="54" applyNumberFormat="0" applyFill="0" applyAlignment="0" applyProtection="0"/>
    <xf numFmtId="0" fontId="83" fillId="0" borderId="0" applyNumberFormat="0" applyFill="0" applyBorder="0" applyAlignment="0" applyProtection="0"/>
    <xf numFmtId="0" fontId="52" fillId="24" borderId="0" applyNumberFormat="0" applyAlignment="0">
      <alignment vertical="center"/>
    </xf>
    <xf numFmtId="185" fontId="42" fillId="0" borderId="0"/>
    <xf numFmtId="188" fontId="70" fillId="0" borderId="0"/>
    <xf numFmtId="0" fontId="283" fillId="27" borderId="0" applyNumberFormat="0" applyBorder="0" applyAlignment="0" applyProtection="0"/>
    <xf numFmtId="183" fontId="56" fillId="39" borderId="0" applyNumberFormat="0" applyFont="0" applyBorder="0" applyAlignment="0">
      <protection locked="0"/>
    </xf>
    <xf numFmtId="0" fontId="45" fillId="0" borderId="0"/>
    <xf numFmtId="0" fontId="60" fillId="0" borderId="0"/>
    <xf numFmtId="0" fontId="47" fillId="14" borderId="0" applyNumberFormat="0" applyBorder="0" applyAlignment="0" applyProtection="0"/>
    <xf numFmtId="201" fontId="45" fillId="0" borderId="0" applyFont="0" applyFill="0" applyBorder="0" applyAlignment="0" applyProtection="0"/>
    <xf numFmtId="210" fontId="44" fillId="0" borderId="0" applyFont="0" applyFill="0" applyBorder="0" applyAlignment="0" applyProtection="0"/>
    <xf numFmtId="10" fontId="61" fillId="0" borderId="0" applyFill="0" applyBorder="0">
      <alignment horizontal="right"/>
    </xf>
    <xf numFmtId="0" fontId="45" fillId="0" borderId="0"/>
    <xf numFmtId="10" fontId="44" fillId="0" borderId="0" applyFont="0" applyFill="0" applyBorder="0" applyAlignment="0" applyProtection="0"/>
    <xf numFmtId="9" fontId="78" fillId="0" borderId="0">
      <alignment horizontal="right"/>
    </xf>
    <xf numFmtId="0" fontId="45" fillId="0" borderId="0"/>
    <xf numFmtId="0" fontId="283" fillId="14" borderId="52" applyNumberFormat="0" applyFont="0" applyAlignment="0" applyProtection="0"/>
    <xf numFmtId="210" fontId="45" fillId="0" borderId="60">
      <protection locked="0"/>
    </xf>
    <xf numFmtId="0" fontId="36" fillId="0" borderId="0">
      <alignment vertical="center"/>
    </xf>
    <xf numFmtId="178" fontId="44" fillId="0" borderId="0" applyFont="0" applyFill="0" applyBorder="0" applyAlignment="0" applyProtection="0"/>
    <xf numFmtId="203" fontId="56" fillId="0" borderId="0" applyFill="0" applyBorder="0" applyAlignment="0" applyProtection="0"/>
    <xf numFmtId="173" fontId="57" fillId="14" borderId="48"/>
    <xf numFmtId="182" fontId="67" fillId="9" borderId="0"/>
    <xf numFmtId="0" fontId="49" fillId="0" borderId="49" applyNumberFormat="0" applyFill="0" applyAlignment="0" applyProtection="0"/>
    <xf numFmtId="0" fontId="45" fillId="0" borderId="0" applyFill="0" applyBorder="0" applyAlignment="0"/>
    <xf numFmtId="9" fontId="68" fillId="9" borderId="0"/>
    <xf numFmtId="38" fontId="97" fillId="0" borderId="0"/>
    <xf numFmtId="0" fontId="283" fillId="22" borderId="0" applyNumberFormat="0" applyBorder="0" applyAlignment="0" applyProtection="0"/>
    <xf numFmtId="182" fontId="68" fillId="9" borderId="0"/>
    <xf numFmtId="0" fontId="98" fillId="0" borderId="0" applyNumberFormat="0" applyFill="0" applyBorder="0" applyAlignment="0" applyProtection="0"/>
    <xf numFmtId="0" fontId="45" fillId="0" borderId="0"/>
    <xf numFmtId="215" fontId="45" fillId="0" borderId="0" applyFont="0" applyFill="0" applyBorder="0" applyAlignment="0" applyProtection="0"/>
    <xf numFmtId="0" fontId="35" fillId="0" borderId="0" applyNumberFormat="0" applyFill="0" applyBorder="0" applyProtection="0">
      <alignment horizontal="left"/>
    </xf>
    <xf numFmtId="0" fontId="45" fillId="0" borderId="0"/>
    <xf numFmtId="0" fontId="45" fillId="0" borderId="0"/>
    <xf numFmtId="0" fontId="45" fillId="0" borderId="0"/>
    <xf numFmtId="39" fontId="45" fillId="0" borderId="0" applyFont="0" applyFill="0" applyBorder="0" applyAlignment="0" applyProtection="0"/>
    <xf numFmtId="0" fontId="48" fillId="0" borderId="0"/>
    <xf numFmtId="0" fontId="48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45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45" fillId="0" borderId="0"/>
    <xf numFmtId="0" fontId="45" fillId="0" borderId="0"/>
    <xf numFmtId="0" fontId="36" fillId="0" borderId="0">
      <alignment vertical="center"/>
    </xf>
    <xf numFmtId="0" fontId="33" fillId="0" borderId="0">
      <alignment vertical="center"/>
    </xf>
    <xf numFmtId="0" fontId="36" fillId="0" borderId="0">
      <alignment vertical="center"/>
    </xf>
    <xf numFmtId="0" fontId="92" fillId="0" borderId="61" applyNumberFormat="0" applyFont="0" applyFill="0" applyAlignment="0" applyProtection="0"/>
    <xf numFmtId="3" fontId="45" fillId="0" borderId="0" applyFill="0" applyBorder="0" applyAlignment="0" applyProtection="0"/>
    <xf numFmtId="0" fontId="36" fillId="0" borderId="0">
      <alignment vertical="center"/>
    </xf>
    <xf numFmtId="0" fontId="88" fillId="0" borderId="9">
      <alignment horizontal="center"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9" borderId="0" applyNumberFormat="0" applyFont="0" applyBorder="0" applyAlignment="0" applyProtection="0"/>
    <xf numFmtId="0" fontId="283" fillId="43" borderId="0" applyNumberFormat="0" applyBorder="0" applyAlignment="0" applyProtection="0"/>
    <xf numFmtId="0" fontId="36" fillId="0" borderId="0">
      <alignment vertical="center"/>
    </xf>
    <xf numFmtId="169" fontId="45" fillId="0" borderId="0" applyFont="0" applyFill="0" applyBorder="0" applyAlignment="0" applyProtection="0"/>
    <xf numFmtId="0" fontId="36" fillId="0" borderId="0">
      <alignment vertical="center"/>
    </xf>
    <xf numFmtId="0" fontId="99" fillId="43" borderId="55" applyNumberFormat="0" applyProtection="0">
      <alignment horizontal="left" vertical="center" indent="1"/>
    </xf>
    <xf numFmtId="0" fontId="283" fillId="28" borderId="0" applyNumberFormat="0" applyBorder="0" applyAlignment="0" applyProtection="0"/>
    <xf numFmtId="0" fontId="60" fillId="0" borderId="0"/>
    <xf numFmtId="0" fontId="95" fillId="0" borderId="0" applyNumberFormat="0" applyFill="0" applyBorder="0" applyAlignment="0" applyProtection="0"/>
    <xf numFmtId="0" fontId="59" fillId="0" borderId="0"/>
    <xf numFmtId="188" fontId="46" fillId="0" borderId="0"/>
    <xf numFmtId="0" fontId="64" fillId="27" borderId="0" applyNumberFormat="0" applyBorder="0" applyAlignment="0" applyProtection="0"/>
    <xf numFmtId="0" fontId="45" fillId="0" borderId="0" applyFill="0" applyBorder="0" applyAlignment="0"/>
    <xf numFmtId="0" fontId="74" fillId="31" borderId="1" applyNumberFormat="0" applyProtection="0">
      <alignment horizontal="center" vertical="center" wrapText="1"/>
    </xf>
    <xf numFmtId="204" fontId="45" fillId="0" borderId="0" applyFont="0" applyFill="0" applyBorder="0" applyAlignment="0" applyProtection="0"/>
    <xf numFmtId="214" fontId="45" fillId="0" borderId="0" applyFont="0" applyFill="0" applyBorder="0" applyAlignment="0" applyProtection="0"/>
    <xf numFmtId="1" fontId="100" fillId="0" borderId="0"/>
    <xf numFmtId="0" fontId="101" fillId="0" borderId="0" applyNumberFormat="0" applyFill="0" applyBorder="0" applyAlignment="0" applyProtection="0"/>
    <xf numFmtId="198" fontId="45" fillId="0" borderId="0" applyFont="0" applyFill="0" applyBorder="0" applyAlignment="0" applyProtection="0"/>
    <xf numFmtId="213" fontId="45" fillId="0" borderId="0" applyFont="0" applyFill="0" applyBorder="0" applyAlignment="0" applyProtection="0"/>
    <xf numFmtId="0" fontId="102" fillId="0" borderId="0"/>
    <xf numFmtId="203" fontId="106" fillId="0" borderId="66"/>
    <xf numFmtId="0" fontId="45" fillId="0" borderId="0"/>
    <xf numFmtId="0" fontId="45" fillId="0" borderId="0"/>
    <xf numFmtId="0" fontId="33" fillId="0" borderId="0">
      <alignment vertical="center"/>
    </xf>
    <xf numFmtId="0" fontId="79" fillId="46" borderId="0" applyNumberFormat="0" applyBorder="0" applyAlignment="0" applyProtection="0"/>
    <xf numFmtId="0" fontId="45" fillId="0" borderId="0"/>
    <xf numFmtId="0" fontId="37" fillId="47" borderId="0" applyNumberFormat="0" applyBorder="0" applyAlignment="0" applyProtection="0"/>
    <xf numFmtId="176" fontId="113" fillId="0" borderId="0" applyFont="0" applyFill="0" applyBorder="0" applyAlignment="0" applyProtection="0"/>
    <xf numFmtId="0" fontId="45" fillId="0" borderId="0"/>
    <xf numFmtId="0" fontId="283" fillId="28" borderId="0" applyNumberFormat="0" applyBorder="0" applyAlignment="0" applyProtection="0"/>
    <xf numFmtId="20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0" fontId="52" fillId="0" borderId="0" applyFont="0" applyFill="0" applyBorder="0" applyAlignment="0" applyProtection="0">
      <alignment vertical="center"/>
    </xf>
    <xf numFmtId="0" fontId="45" fillId="0" borderId="0"/>
    <xf numFmtId="0" fontId="59" fillId="0" borderId="0"/>
    <xf numFmtId="0" fontId="59" fillId="0" borderId="0"/>
    <xf numFmtId="0" fontId="79" fillId="46" borderId="0" applyNumberFormat="0" applyBorder="0" applyAlignment="0" applyProtection="0"/>
    <xf numFmtId="0" fontId="59" fillId="0" borderId="0"/>
    <xf numFmtId="4" fontId="111" fillId="0" borderId="0" applyFill="0" applyBorder="0" applyAlignment="0" applyProtection="0"/>
    <xf numFmtId="0" fontId="59" fillId="0" borderId="0"/>
    <xf numFmtId="0" fontId="59" fillId="0" borderId="0"/>
    <xf numFmtId="0" fontId="36" fillId="0" borderId="0">
      <alignment vertical="center"/>
    </xf>
    <xf numFmtId="171" fontId="50" fillId="0" borderId="0" applyFont="0" applyFill="0" applyBorder="0" applyAlignment="0" applyProtection="0"/>
    <xf numFmtId="0" fontId="33" fillId="0" borderId="0">
      <alignment vertical="center"/>
    </xf>
    <xf numFmtId="0" fontId="112" fillId="5" borderId="67" applyNumberFormat="0" applyAlignment="0" applyProtection="0"/>
    <xf numFmtId="224" fontId="71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9" fillId="33" borderId="0" applyNumberFormat="0" applyBorder="0" applyAlignment="0" applyProtection="0"/>
    <xf numFmtId="186" fontId="10" fillId="0" borderId="0">
      <alignment horizontal="right" vertical="top"/>
    </xf>
    <xf numFmtId="38" fontId="130" fillId="0" borderId="0" applyNumberFormat="0" applyFill="0" applyBorder="0" applyAlignment="0" applyProtection="0">
      <alignment horizontal="right"/>
      <protection locked="0"/>
    </xf>
    <xf numFmtId="203" fontId="56" fillId="0" borderId="0" applyFill="0" applyBorder="0" applyAlignment="0" applyProtection="0"/>
    <xf numFmtId="0" fontId="283" fillId="45" borderId="0" applyNumberFormat="0" applyBorder="0" applyAlignment="0" applyProtection="0"/>
    <xf numFmtId="188" fontId="115" fillId="0" borderId="0"/>
    <xf numFmtId="4" fontId="51" fillId="9" borderId="55" applyNumberFormat="0" applyProtection="0">
      <alignment horizontal="left" vertical="center" indent="1"/>
    </xf>
    <xf numFmtId="175" fontId="57" fillId="22" borderId="48"/>
    <xf numFmtId="203" fontId="56" fillId="0" borderId="0" applyFill="0" applyBorder="0" applyAlignment="0" applyProtection="0"/>
    <xf numFmtId="203" fontId="56" fillId="0" borderId="0" applyFill="0" applyBorder="0" applyAlignment="0" applyProtection="0"/>
    <xf numFmtId="0" fontId="32" fillId="0" borderId="0" applyNumberFormat="0" applyFill="0" applyBorder="0" applyProtection="0">
      <alignment horizontal="center" vertical="center"/>
    </xf>
    <xf numFmtId="203" fontId="56" fillId="0" borderId="0" applyFill="0" applyBorder="0" applyAlignment="0" applyProtection="0"/>
    <xf numFmtId="0" fontId="37" fillId="50" borderId="0" applyNumberFormat="0" applyBorder="0" applyAlignment="0" applyProtection="0"/>
    <xf numFmtId="203" fontId="56" fillId="0" borderId="0" applyFill="0" applyBorder="0" applyAlignment="0" applyProtection="0"/>
    <xf numFmtId="0" fontId="45" fillId="0" borderId="0"/>
    <xf numFmtId="203" fontId="56" fillId="0" borderId="0" applyFill="0" applyBorder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03" fontId="56" fillId="0" borderId="0" applyFill="0" applyBorder="0" applyAlignment="0" applyProtection="0"/>
    <xf numFmtId="203" fontId="56" fillId="0" borderId="0" applyFill="0" applyBorder="0" applyAlignment="0" applyProtection="0"/>
    <xf numFmtId="0" fontId="283" fillId="49" borderId="0" applyNumberFormat="0" applyBorder="0" applyAlignment="0" applyProtection="0"/>
    <xf numFmtId="188" fontId="40" fillId="0" borderId="0"/>
    <xf numFmtId="227" fontId="52" fillId="0" borderId="0" applyFont="0" applyFill="0" applyBorder="0" applyAlignment="0" applyProtection="0">
      <alignment vertical="center"/>
    </xf>
    <xf numFmtId="188" fontId="40" fillId="0" borderId="0"/>
    <xf numFmtId="0" fontId="283" fillId="28" borderId="0" applyNumberFormat="0" applyBorder="0" applyAlignment="0" applyProtection="0"/>
    <xf numFmtId="188" fontId="40" fillId="0" borderId="0"/>
    <xf numFmtId="188" fontId="40" fillId="0" borderId="0"/>
    <xf numFmtId="0" fontId="33" fillId="0" borderId="0"/>
    <xf numFmtId="230" fontId="61" fillId="0" borderId="0" applyFill="0" applyBorder="0">
      <alignment horizontal="right"/>
    </xf>
    <xf numFmtId="188" fontId="40" fillId="0" borderId="0"/>
    <xf numFmtId="188" fontId="40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06" fontId="45" fillId="0" borderId="0" applyFill="0" applyBorder="0" applyAlignment="0" applyProtection="0"/>
    <xf numFmtId="188" fontId="40" fillId="0" borderId="0"/>
    <xf numFmtId="0" fontId="283" fillId="20" borderId="0" applyNumberFormat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201" fontId="45" fillId="0" borderId="0" applyFont="0" applyFill="0" applyBorder="0" applyAlignment="0" applyProtection="0"/>
    <xf numFmtId="188" fontId="40" fillId="0" borderId="0"/>
    <xf numFmtId="0" fontId="283" fillId="14" borderId="52" applyNumberFormat="0" applyFont="0" applyAlignment="0" applyProtection="0"/>
    <xf numFmtId="188" fontId="40" fillId="0" borderId="0"/>
    <xf numFmtId="188" fontId="40" fillId="0" borderId="0"/>
    <xf numFmtId="4" fontId="63" fillId="14" borderId="55" applyNumberFormat="0" applyProtection="0">
      <alignment horizontal="left" vertical="center" indent="1"/>
    </xf>
    <xf numFmtId="0" fontId="109" fillId="0" borderId="9" applyNumberFormat="0" applyFill="0" applyBorder="0" applyAlignment="0">
      <alignment horizontal="left"/>
    </xf>
    <xf numFmtId="212" fontId="52" fillId="0" borderId="0" applyFont="0" applyFill="0" applyBorder="0" applyAlignment="0" applyProtection="0">
      <alignment vertical="center"/>
    </xf>
    <xf numFmtId="0" fontId="118" fillId="0" borderId="0" applyNumberFormat="0" applyFill="0" applyBorder="0" applyAlignment="0"/>
    <xf numFmtId="0" fontId="107" fillId="0" borderId="9" applyNumberFormat="0" applyFill="0" applyBorder="0" applyAlignment="0">
      <alignment horizontal="left"/>
    </xf>
    <xf numFmtId="0" fontId="105" fillId="0" borderId="0" applyNumberFormat="0" applyFill="0" applyBorder="0" applyAlignment="0"/>
    <xf numFmtId="201" fontId="45" fillId="0" borderId="0" applyFont="0" applyFill="0" applyBorder="0" applyAlignment="0" applyProtection="0"/>
    <xf numFmtId="0" fontId="133" fillId="0" borderId="0" applyNumberFormat="0" applyFill="0" applyBorder="0" applyAlignment="0"/>
    <xf numFmtId="0" fontId="79" fillId="48" borderId="0" applyNumberFormat="0" applyBorder="0" applyAlignment="0" applyProtection="0"/>
    <xf numFmtId="0" fontId="124" fillId="0" borderId="1" applyNumberFormat="0" applyFill="0" applyBorder="0" applyAlignment="0">
      <alignment horizontal="left"/>
    </xf>
    <xf numFmtId="0" fontId="122" fillId="0" borderId="68" applyNumberFormat="0" applyFill="0" applyBorder="0" applyAlignment="0">
      <alignment horizontal="centerContinuous"/>
    </xf>
    <xf numFmtId="199" fontId="108" fillId="45" borderId="0"/>
    <xf numFmtId="0" fontId="45" fillId="0" borderId="0"/>
    <xf numFmtId="0" fontId="55" fillId="0" borderId="0" applyNumberFormat="0" applyFill="0" applyBorder="0" applyAlignment="0"/>
    <xf numFmtId="0" fontId="37" fillId="44" borderId="0" applyNumberFormat="0" applyBorder="0" applyAlignment="0" applyProtection="0"/>
    <xf numFmtId="200" fontId="52" fillId="0" borderId="0" applyFont="0" applyFill="0" applyBorder="0" applyAlignment="0" applyProtection="0">
      <alignment vertical="center"/>
    </xf>
    <xf numFmtId="0" fontId="128" fillId="0" borderId="1" applyNumberFormat="0" applyFill="0" applyBorder="0" applyAlignment="0"/>
    <xf numFmtId="0" fontId="283" fillId="27" borderId="0" applyNumberFormat="0" applyBorder="0" applyAlignment="0" applyProtection="0"/>
    <xf numFmtId="4" fontId="111" fillId="0" borderId="0" applyFill="0" applyBorder="0" applyAlignment="0" applyProtection="0"/>
    <xf numFmtId="49" fontId="125" fillId="32" borderId="0">
      <alignment horizontal="centerContinuous" vertical="center"/>
    </xf>
    <xf numFmtId="0" fontId="64" fillId="43" borderId="0" applyNumberFormat="0" applyBorder="0" applyAlignment="0" applyProtection="0"/>
    <xf numFmtId="0" fontId="283" fillId="45" borderId="0" applyNumberFormat="0" applyBorder="0" applyAlignment="0" applyProtection="0"/>
    <xf numFmtId="164" fontId="57" fillId="22" borderId="48"/>
    <xf numFmtId="188" fontId="70" fillId="0" borderId="0"/>
    <xf numFmtId="188" fontId="70" fillId="0" borderId="0"/>
    <xf numFmtId="0" fontId="283" fillId="0" borderId="0"/>
    <xf numFmtId="0" fontId="283" fillId="0" borderId="0"/>
    <xf numFmtId="4" fontId="111" fillId="0" borderId="0" applyFill="0" applyBorder="0" applyAlignment="0" applyProtection="0"/>
    <xf numFmtId="0" fontId="127" fillId="0" borderId="0"/>
    <xf numFmtId="197" fontId="52" fillId="0" borderId="0" applyFont="0" applyFill="0" applyBorder="0" applyAlignment="0" applyProtection="0">
      <alignment vertical="center"/>
    </xf>
    <xf numFmtId="164" fontId="137" fillId="0" borderId="0"/>
    <xf numFmtId="4" fontId="111" fillId="0" borderId="0" applyFill="0" applyBorder="0" applyAlignment="0" applyProtection="0"/>
    <xf numFmtId="0" fontId="92" fillId="0" borderId="1" applyNumberFormat="0" applyFont="0" applyFill="0" applyAlignment="0" applyProtection="0"/>
    <xf numFmtId="4" fontId="111" fillId="0" borderId="0" applyFill="0" applyBorder="0" applyAlignment="0" applyProtection="0"/>
    <xf numFmtId="4" fontId="111" fillId="0" borderId="0" applyFill="0" applyBorder="0" applyAlignment="0" applyProtection="0"/>
    <xf numFmtId="0" fontId="140" fillId="55" borderId="0" applyNumberFormat="0">
      <alignment horizontal="left" vertical="top" wrapText="1"/>
    </xf>
    <xf numFmtId="0" fontId="71" fillId="0" borderId="0"/>
    <xf numFmtId="4" fontId="111" fillId="0" borderId="0" applyFill="0" applyBorder="0" applyAlignment="0" applyProtection="0"/>
    <xf numFmtId="4" fontId="111" fillId="0" borderId="0" applyFill="0" applyBorder="0" applyAlignment="0" applyProtection="0"/>
    <xf numFmtId="4" fontId="111" fillId="0" borderId="0" applyFill="0" applyBorder="0" applyAlignment="0" applyProtection="0"/>
    <xf numFmtId="0" fontId="79" fillId="33" borderId="0" applyNumberFormat="0" applyBorder="0" applyAlignment="0" applyProtection="0"/>
    <xf numFmtId="4" fontId="111" fillId="0" borderId="0" applyFill="0" applyBorder="0" applyAlignment="0" applyProtection="0"/>
    <xf numFmtId="4" fontId="111" fillId="0" borderId="0" applyFill="0" applyBorder="0" applyAlignment="0" applyProtection="0"/>
    <xf numFmtId="188" fontId="139" fillId="0" borderId="0"/>
    <xf numFmtId="0" fontId="283" fillId="23" borderId="0" applyNumberFormat="0" applyBorder="0" applyAlignment="0" applyProtection="0"/>
    <xf numFmtId="38" fontId="119" fillId="0" borderId="0"/>
    <xf numFmtId="0" fontId="283" fillId="28" borderId="0" applyNumberFormat="0" applyBorder="0" applyAlignment="0" applyProtection="0"/>
    <xf numFmtId="38" fontId="116" fillId="0" borderId="0"/>
    <xf numFmtId="0" fontId="283" fillId="30" borderId="0" applyNumberFormat="0" applyBorder="0" applyAlignment="0" applyProtection="0"/>
    <xf numFmtId="0" fontId="117" fillId="0" borderId="0">
      <protection locked="0"/>
    </xf>
    <xf numFmtId="184" fontId="45" fillId="0" borderId="0" applyFont="0" applyFill="0" applyBorder="0" applyAlignment="0" applyProtection="0"/>
    <xf numFmtId="0" fontId="283" fillId="43" borderId="0" applyNumberFormat="0" applyBorder="0" applyAlignment="0" applyProtection="0"/>
    <xf numFmtId="0" fontId="283" fillId="43" borderId="0" applyNumberFormat="0" applyBorder="0" applyAlignment="0" applyProtection="0"/>
    <xf numFmtId="0" fontId="283" fillId="27" borderId="0" applyNumberFormat="0" applyBorder="0" applyAlignment="0" applyProtection="0"/>
    <xf numFmtId="0" fontId="64" fillId="23" borderId="0" applyNumberFormat="0" applyBorder="0" applyAlignment="0" applyProtection="0"/>
    <xf numFmtId="0" fontId="47" fillId="52" borderId="0" applyNumberFormat="0" applyBorder="0" applyAlignment="0" applyProtection="0"/>
    <xf numFmtId="17" fontId="114" fillId="0" borderId="0" applyFill="0" applyBorder="0">
      <alignment horizontal="right"/>
    </xf>
    <xf numFmtId="0" fontId="283" fillId="23" borderId="0" applyNumberFormat="0" applyBorder="0" applyAlignment="0" applyProtection="0"/>
    <xf numFmtId="0" fontId="64" fillId="24" borderId="0" applyNumberFormat="0" applyBorder="0" applyAlignment="0" applyProtection="0"/>
    <xf numFmtId="0" fontId="283" fillId="23" borderId="0" applyNumberFormat="0" applyBorder="0" applyAlignment="0" applyProtection="0"/>
    <xf numFmtId="0" fontId="283" fillId="0" borderId="0"/>
    <xf numFmtId="0" fontId="283" fillId="0" borderId="0"/>
    <xf numFmtId="0" fontId="283" fillId="28" borderId="0" applyNumberFormat="0" applyBorder="0" applyAlignment="0" applyProtection="0"/>
    <xf numFmtId="0" fontId="283" fillId="22" borderId="0" applyNumberFormat="0" applyBorder="0" applyAlignment="0" applyProtection="0"/>
    <xf numFmtId="0" fontId="283" fillId="0" borderId="0"/>
    <xf numFmtId="0" fontId="283" fillId="0" borderId="0"/>
    <xf numFmtId="0" fontId="283" fillId="28" borderId="0" applyNumberFormat="0" applyBorder="0" applyAlignment="0" applyProtection="0"/>
    <xf numFmtId="0" fontId="283" fillId="30" borderId="0" applyNumberFormat="0" applyBorder="0" applyAlignment="0" applyProtection="0"/>
    <xf numFmtId="232" fontId="145" fillId="0" borderId="0" applyFont="0" applyFill="0" applyBorder="0" applyProtection="0">
      <alignment horizontal="center"/>
    </xf>
    <xf numFmtId="233" fontId="147" fillId="45" borderId="0"/>
    <xf numFmtId="0" fontId="283" fillId="28" borderId="0" applyNumberFormat="0" applyBorder="0" applyAlignment="0" applyProtection="0"/>
    <xf numFmtId="0" fontId="283" fillId="0" borderId="0"/>
    <xf numFmtId="0" fontId="283" fillId="0" borderId="0"/>
    <xf numFmtId="0" fontId="283" fillId="22" borderId="0" applyNumberFormat="0" applyBorder="0" applyAlignment="0" applyProtection="0"/>
    <xf numFmtId="0" fontId="283" fillId="0" borderId="0"/>
    <xf numFmtId="0" fontId="283" fillId="0" borderId="0"/>
    <xf numFmtId="0" fontId="283" fillId="22" borderId="0" applyNumberFormat="0" applyBorder="0" applyAlignment="0" applyProtection="0"/>
    <xf numFmtId="0" fontId="283" fillId="22" borderId="0" applyNumberFormat="0" applyBorder="0" applyAlignment="0" applyProtection="0"/>
    <xf numFmtId="0" fontId="283" fillId="30" borderId="0" applyNumberFormat="0" applyBorder="0" applyAlignment="0" applyProtection="0"/>
    <xf numFmtId="171" fontId="50" fillId="0" borderId="0" applyFont="0" applyFill="0" applyBorder="0" applyAlignment="0" applyProtection="0"/>
    <xf numFmtId="229" fontId="45" fillId="0" borderId="0" applyFill="0" applyBorder="0" applyAlignment="0" applyProtection="0"/>
    <xf numFmtId="0" fontId="283" fillId="43" borderId="0" applyNumberFormat="0" applyBorder="0" applyAlignment="0" applyProtection="0"/>
    <xf numFmtId="0" fontId="283" fillId="27" borderId="0" applyNumberFormat="0" applyBorder="0" applyAlignment="0" applyProtection="0"/>
    <xf numFmtId="0" fontId="47" fillId="17" borderId="0" applyNumberFormat="0" applyBorder="0" applyAlignment="0" applyProtection="0"/>
    <xf numFmtId="222" fontId="103" fillId="0" borderId="0" applyNumberFormat="0" applyAlignment="0">
      <alignment vertical="center"/>
    </xf>
    <xf numFmtId="0" fontId="283" fillId="23" borderId="0" applyNumberFormat="0" applyBorder="0" applyAlignment="0" applyProtection="0"/>
    <xf numFmtId="0" fontId="283" fillId="22" borderId="0" applyNumberFormat="0" applyBorder="0" applyAlignment="0" applyProtection="0"/>
    <xf numFmtId="0" fontId="283" fillId="43" borderId="0" applyNumberFormat="0" applyBorder="0" applyAlignment="0" applyProtection="0"/>
    <xf numFmtId="0" fontId="283" fillId="23" borderId="0" applyNumberFormat="0" applyBorder="0" applyAlignment="0" applyProtection="0"/>
    <xf numFmtId="0" fontId="283" fillId="28" borderId="0" applyNumberFormat="0" applyBorder="0" applyAlignment="0" applyProtection="0"/>
    <xf numFmtId="0" fontId="140" fillId="55" borderId="0" applyNumberFormat="0">
      <alignment horizontal="centerContinuous" vertical="top"/>
    </xf>
    <xf numFmtId="0" fontId="47" fillId="30" borderId="0" applyNumberFormat="0" applyBorder="0" applyAlignment="0" applyProtection="0"/>
    <xf numFmtId="0" fontId="47" fillId="49" borderId="0" applyNumberFormat="0" applyBorder="0" applyAlignment="0" applyProtection="0"/>
    <xf numFmtId="0" fontId="47" fillId="30" borderId="0" applyNumberFormat="0" applyBorder="0" applyAlignment="0" applyProtection="0"/>
    <xf numFmtId="201" fontId="45" fillId="0" borderId="0" applyFont="0" applyFill="0" applyBorder="0" applyAlignment="0" applyProtection="0"/>
    <xf numFmtId="0" fontId="47" fillId="22" borderId="0" applyNumberFormat="0" applyBorder="0" applyAlignment="0" applyProtection="0"/>
    <xf numFmtId="0" fontId="47" fillId="14" borderId="0" applyNumberFormat="0" applyBorder="0" applyAlignment="0" applyProtection="0"/>
    <xf numFmtId="14" fontId="149" fillId="0" borderId="0">
      <alignment horizontal="right"/>
      <protection locked="0"/>
    </xf>
    <xf numFmtId="185" fontId="42" fillId="0" borderId="0"/>
    <xf numFmtId="0" fontId="64" fillId="53" borderId="0" applyNumberFormat="0" applyBorder="0" applyAlignment="0" applyProtection="0"/>
    <xf numFmtId="185" fontId="42" fillId="0" borderId="0"/>
    <xf numFmtId="0" fontId="283" fillId="20" borderId="0" applyNumberFormat="0" applyBorder="0" applyAlignment="0" applyProtection="0"/>
    <xf numFmtId="185" fontId="42" fillId="0" borderId="0"/>
    <xf numFmtId="0" fontId="283" fillId="20" borderId="0" applyNumberFormat="0" applyBorder="0" applyAlignment="0" applyProtection="0"/>
    <xf numFmtId="0" fontId="283" fillId="49" borderId="0" applyNumberFormat="0" applyBorder="0" applyAlignment="0" applyProtection="0"/>
    <xf numFmtId="0" fontId="74" fillId="0" borderId="71" applyFill="0" applyBorder="0" applyProtection="0">
      <alignment horizontal="left"/>
    </xf>
    <xf numFmtId="0" fontId="47" fillId="59" borderId="0" applyNumberFormat="0" applyBorder="0" applyAlignment="0" applyProtection="0"/>
    <xf numFmtId="236" fontId="52" fillId="0" borderId="73" applyNumberFormat="0" applyFont="0" applyFill="0" applyAlignment="0" applyProtection="0">
      <alignment vertical="center"/>
    </xf>
    <xf numFmtId="0" fontId="283" fillId="24" borderId="0" applyNumberFormat="0" applyBorder="0" applyAlignment="0" applyProtection="0"/>
    <xf numFmtId="201" fontId="45" fillId="0" borderId="0" applyFont="0" applyFill="0" applyBorder="0" applyAlignment="0" applyProtection="0"/>
    <xf numFmtId="0" fontId="283" fillId="53" borderId="0" applyNumberFormat="0" applyBorder="0" applyAlignment="0" applyProtection="0"/>
    <xf numFmtId="201" fontId="45" fillId="0" borderId="0" applyFont="0" applyFill="0" applyBorder="0" applyAlignment="0" applyProtection="0"/>
    <xf numFmtId="219" fontId="54" fillId="23" borderId="0" applyNumberFormat="0" applyFont="0" applyBorder="0" applyAlignment="0">
      <protection hidden="1"/>
    </xf>
    <xf numFmtId="0" fontId="64" fillId="20" borderId="0" applyNumberFormat="0" applyBorder="0" applyAlignment="0" applyProtection="0"/>
    <xf numFmtId="0" fontId="283" fillId="20" borderId="0" applyNumberFormat="0" applyBorder="0" applyAlignment="0" applyProtection="0"/>
    <xf numFmtId="49" fontId="143" fillId="5" borderId="0">
      <alignment horizontal="center"/>
    </xf>
    <xf numFmtId="0" fontId="283" fillId="20" borderId="0" applyNumberFormat="0" applyBorder="0" applyAlignment="0" applyProtection="0"/>
    <xf numFmtId="0" fontId="283" fillId="20" borderId="0" applyNumberFormat="0" applyBorder="0" applyAlignment="0" applyProtection="0"/>
    <xf numFmtId="220" fontId="45" fillId="0" borderId="0" applyFill="0" applyBorder="0" applyAlignment="0" applyProtection="0"/>
    <xf numFmtId="0" fontId="64" fillId="49" borderId="0" applyNumberFormat="0" applyBorder="0" applyAlignment="0" applyProtection="0"/>
    <xf numFmtId="0" fontId="283" fillId="49" borderId="0" applyNumberFormat="0" applyBorder="0" applyAlignment="0" applyProtection="0"/>
    <xf numFmtId="0" fontId="283" fillId="49" borderId="0" applyNumberFormat="0" applyBorder="0" applyAlignment="0" applyProtection="0"/>
    <xf numFmtId="0" fontId="45" fillId="0" borderId="0"/>
    <xf numFmtId="0" fontId="283" fillId="24" borderId="0" applyNumberFormat="0" applyBorder="0" applyAlignment="0" applyProtection="0"/>
    <xf numFmtId="171" fontId="50" fillId="0" borderId="0" applyFont="0" applyFill="0" applyBorder="0" applyAlignment="0" applyProtection="0"/>
    <xf numFmtId="0" fontId="283" fillId="24" borderId="0" applyNumberFormat="0" applyBorder="0" applyAlignment="0" applyProtection="0"/>
    <xf numFmtId="0" fontId="79" fillId="33" borderId="0" applyNumberFormat="0" applyBorder="0" applyAlignment="0" applyProtection="0"/>
    <xf numFmtId="171" fontId="50" fillId="0" borderId="0" applyFont="0" applyFill="0" applyBorder="0" applyAlignment="0" applyProtection="0"/>
    <xf numFmtId="0" fontId="283" fillId="24" borderId="0" applyNumberFormat="0" applyBorder="0" applyAlignment="0" applyProtection="0"/>
    <xf numFmtId="38" fontId="66" fillId="0" borderId="75">
      <alignment vertical="center"/>
    </xf>
    <xf numFmtId="0" fontId="283" fillId="28" borderId="0" applyNumberFormat="0" applyBorder="0" applyAlignment="0" applyProtection="0"/>
    <xf numFmtId="0" fontId="283" fillId="28" borderId="0" applyNumberFormat="0" applyBorder="0" applyAlignment="0" applyProtection="0"/>
    <xf numFmtId="240" fontId="54" fillId="0" borderId="0"/>
    <xf numFmtId="0" fontId="64" fillId="20" borderId="0" applyNumberFormat="0" applyBorder="0" applyAlignment="0" applyProtection="0"/>
    <xf numFmtId="0" fontId="283" fillId="20" borderId="0" applyNumberFormat="0" applyBorder="0" applyAlignment="0" applyProtection="0"/>
    <xf numFmtId="0" fontId="283" fillId="20" borderId="0" applyNumberFormat="0" applyBorder="0" applyAlignment="0" applyProtection="0"/>
    <xf numFmtId="0" fontId="44" fillId="0" borderId="13" applyNumberFormat="0" applyFont="0" applyFill="0" applyAlignment="0" applyProtection="0"/>
    <xf numFmtId="0" fontId="283" fillId="53" borderId="0" applyNumberFormat="0" applyBorder="0" applyAlignment="0" applyProtection="0"/>
    <xf numFmtId="0" fontId="283" fillId="53" borderId="0" applyNumberFormat="0" applyBorder="0" applyAlignment="0" applyProtection="0"/>
    <xf numFmtId="0" fontId="283" fillId="53" borderId="0" applyNumberFormat="0" applyBorder="0" applyAlignment="0" applyProtection="0"/>
    <xf numFmtId="0" fontId="81" fillId="33" borderId="0" applyNumberFormat="0" applyBorder="0" applyAlignment="0" applyProtection="0"/>
    <xf numFmtId="0" fontId="52" fillId="55" borderId="0" applyNumberFormat="0">
      <alignment horizontal="center" vertical="top" wrapText="1"/>
    </xf>
    <xf numFmtId="0" fontId="283" fillId="20" borderId="0" applyNumberFormat="0" applyBorder="0" applyAlignment="0" applyProtection="0"/>
    <xf numFmtId="0" fontId="283" fillId="49" borderId="0" applyNumberFormat="0" applyBorder="0" applyAlignment="0" applyProtection="0"/>
    <xf numFmtId="0" fontId="283" fillId="53" borderId="0" applyNumberFormat="0" applyBorder="0" applyAlignment="0" applyProtection="0"/>
    <xf numFmtId="0" fontId="283" fillId="49" borderId="0" applyNumberFormat="0" applyBorder="0" applyAlignment="0" applyProtection="0"/>
    <xf numFmtId="0" fontId="283" fillId="24" borderId="0" applyNumberFormat="0" applyBorder="0" applyAlignment="0" applyProtection="0"/>
    <xf numFmtId="0" fontId="283" fillId="28" borderId="0" applyNumberFormat="0" applyBorder="0" applyAlignment="0" applyProtection="0"/>
    <xf numFmtId="0" fontId="160" fillId="60" borderId="0" applyNumberFormat="0" applyBorder="0" applyAlignment="0" applyProtection="0"/>
    <xf numFmtId="0" fontId="161" fillId="30" borderId="67" applyNumberFormat="0" applyAlignment="0" applyProtection="0"/>
    <xf numFmtId="0" fontId="283" fillId="20" borderId="0" applyNumberFormat="0" applyBorder="0" applyAlignment="0" applyProtection="0"/>
    <xf numFmtId="3" fontId="162" fillId="0" borderId="0"/>
    <xf numFmtId="0" fontId="283" fillId="53" borderId="0" applyNumberFormat="0" applyBorder="0" applyAlignment="0" applyProtection="0"/>
    <xf numFmtId="0" fontId="47" fillId="45" borderId="0" applyNumberFormat="0" applyBorder="0" applyAlignment="0" applyProtection="0"/>
    <xf numFmtId="0" fontId="47" fillId="49" borderId="0" applyNumberFormat="0" applyBorder="0" applyAlignment="0" applyProtection="0"/>
    <xf numFmtId="0" fontId="79" fillId="48" borderId="0" applyNumberFormat="0" applyBorder="0" applyAlignment="0" applyProtection="0"/>
    <xf numFmtId="0" fontId="47" fillId="9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45" borderId="0" applyNumberFormat="0" applyBorder="0" applyAlignment="0" applyProtection="0"/>
    <xf numFmtId="0" fontId="47" fillId="20" borderId="0" applyNumberFormat="0" applyBorder="0" applyAlignment="0" applyProtection="0"/>
    <xf numFmtId="0" fontId="148" fillId="0" borderId="0" applyNumberFormat="0" applyFill="0" applyBorder="0" applyAlignment="0" applyProtection="0"/>
    <xf numFmtId="236" fontId="52" fillId="0" borderId="0" applyFont="0" applyFill="0" applyBorder="0" applyAlignment="0" applyProtection="0">
      <alignment vertical="center"/>
    </xf>
    <xf numFmtId="0" fontId="47" fillId="9" borderId="0" applyNumberFormat="0" applyBorder="0" applyAlignment="0" applyProtection="0"/>
    <xf numFmtId="0" fontId="37" fillId="57" borderId="0" applyNumberFormat="0" applyBorder="0" applyAlignment="0" applyProtection="0"/>
    <xf numFmtId="0" fontId="164" fillId="0" borderId="77" applyNumberFormat="0" applyFill="0" applyAlignment="0" applyProtection="0"/>
    <xf numFmtId="0" fontId="79" fillId="48" borderId="0" applyNumberFormat="0" applyBorder="0" applyAlignment="0" applyProtection="0"/>
    <xf numFmtId="0" fontId="79" fillId="49" borderId="0" applyNumberFormat="0" applyBorder="0" applyAlignment="0" applyProtection="0"/>
    <xf numFmtId="0" fontId="79" fillId="24" borderId="0" applyNumberFormat="0" applyBorder="0" applyAlignment="0" applyProtection="0"/>
    <xf numFmtId="0" fontId="150" fillId="0" borderId="72" applyNumberFormat="0" applyFill="0" applyAlignment="0" applyProtection="0"/>
    <xf numFmtId="0" fontId="152" fillId="0" borderId="0" applyNumberFormat="0" applyAlignment="0"/>
    <xf numFmtId="0" fontId="79" fillId="33" borderId="0" applyNumberFormat="0" applyBorder="0" applyAlignment="0" applyProtection="0"/>
    <xf numFmtId="0" fontId="79" fillId="46" borderId="0" applyNumberFormat="0" applyBorder="0" applyAlignment="0" applyProtection="0"/>
    <xf numFmtId="0" fontId="79" fillId="58" borderId="0" applyNumberFormat="0" applyBorder="0" applyAlignment="0" applyProtection="0"/>
    <xf numFmtId="0" fontId="81" fillId="48" borderId="0" applyNumberFormat="0" applyBorder="0" applyAlignment="0" applyProtection="0"/>
    <xf numFmtId="0" fontId="79" fillId="48" borderId="0" applyNumberFormat="0" applyBorder="0" applyAlignment="0" applyProtection="0"/>
    <xf numFmtId="0" fontId="47" fillId="57" borderId="0" applyNumberFormat="0" applyBorder="0" applyAlignment="0" applyProtection="0"/>
    <xf numFmtId="0" fontId="79" fillId="48" borderId="0" applyNumberFormat="0" applyBorder="0" applyAlignment="0" applyProtection="0"/>
    <xf numFmtId="0" fontId="121" fillId="27" borderId="0" applyNumberFormat="0" applyBorder="0" applyAlignment="0" applyProtection="0"/>
    <xf numFmtId="0" fontId="44" fillId="0" borderId="76" applyNumberFormat="0" applyFont="0" applyFill="0" applyAlignment="0" applyProtection="0"/>
    <xf numFmtId="0" fontId="81" fillId="49" borderId="0" applyNumberFormat="0" applyBorder="0" applyAlignment="0" applyProtection="0"/>
    <xf numFmtId="0" fontId="165" fillId="0" borderId="78" applyNumberFormat="0" applyFill="0" applyAlignment="0" applyProtection="0"/>
    <xf numFmtId="0" fontId="44" fillId="0" borderId="23" applyNumberFormat="0" applyFont="0" applyFill="0" applyAlignment="0" applyProtection="0"/>
    <xf numFmtId="235" fontId="57" fillId="0" borderId="0"/>
    <xf numFmtId="0" fontId="153" fillId="5" borderId="0">
      <alignment horizontal="left"/>
    </xf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238" fontId="156" fillId="0" borderId="0" applyFont="0" applyFill="0" applyBorder="0" applyAlignment="0" applyProtection="0"/>
    <xf numFmtId="229" fontId="45" fillId="0" borderId="0" applyFont="0" applyFill="0" applyBorder="0" applyAlignment="0" applyProtection="0"/>
    <xf numFmtId="0" fontId="79" fillId="49" borderId="0" applyNumberFormat="0" applyBorder="0" applyAlignment="0" applyProtection="0"/>
    <xf numFmtId="0" fontId="81" fillId="24" borderId="0" applyNumberFormat="0" applyBorder="0" applyAlignment="0" applyProtection="0"/>
    <xf numFmtId="0" fontId="79" fillId="24" borderId="0" applyNumberFormat="0" applyBorder="0" applyAlignment="0" applyProtection="0"/>
    <xf numFmtId="0" fontId="37" fillId="57" borderId="0" applyNumberFormat="0" applyBorder="0" applyAlignment="0" applyProtection="0"/>
    <xf numFmtId="0" fontId="79" fillId="24" borderId="0" applyNumberFormat="0" applyBorder="0" applyAlignment="0" applyProtection="0"/>
    <xf numFmtId="10" fontId="45" fillId="0" borderId="0" applyFont="0" applyFill="0" applyBorder="0" applyAlignment="0" applyProtection="0"/>
    <xf numFmtId="0" fontId="45" fillId="0" borderId="0"/>
    <xf numFmtId="0" fontId="79" fillId="33" borderId="0" applyNumberFormat="0" applyBorder="0" applyAlignment="0" applyProtection="0"/>
    <xf numFmtId="0" fontId="283" fillId="0" borderId="0"/>
    <xf numFmtId="0" fontId="79" fillId="33" borderId="0" applyNumberFormat="0" applyBorder="0" applyAlignment="0" applyProtection="0"/>
    <xf numFmtId="0" fontId="81" fillId="46" borderId="0" applyNumberFormat="0" applyBorder="0" applyAlignment="0" applyProtection="0"/>
    <xf numFmtId="0" fontId="79" fillId="46" borderId="0" applyNumberFormat="0" applyBorder="0" applyAlignment="0" applyProtection="0"/>
    <xf numFmtId="184" fontId="45" fillId="0" borderId="0" applyFont="0" applyFill="0" applyBorder="0" applyAlignment="0" applyProtection="0"/>
    <xf numFmtId="0" fontId="79" fillId="46" borderId="0" applyNumberFormat="0" applyBorder="0" applyAlignment="0" applyProtection="0"/>
    <xf numFmtId="0" fontId="155" fillId="37" borderId="0">
      <alignment horizontal="left"/>
    </xf>
    <xf numFmtId="0" fontId="81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14" fontId="163" fillId="0" borderId="0"/>
    <xf numFmtId="0" fontId="79" fillId="58" borderId="0" applyNumberFormat="0" applyBorder="0" applyAlignment="0" applyProtection="0"/>
    <xf numFmtId="0" fontId="157" fillId="9" borderId="67" applyNumberFormat="0" applyAlignment="0" applyProtection="0"/>
    <xf numFmtId="191" fontId="158" fillId="9" borderId="0"/>
    <xf numFmtId="0" fontId="79" fillId="49" borderId="0" applyNumberFormat="0" applyBorder="0" applyAlignment="0" applyProtection="0"/>
    <xf numFmtId="0" fontId="79" fillId="24" borderId="0" applyNumberFormat="0" applyBorder="0" applyAlignment="0" applyProtection="0"/>
    <xf numFmtId="0" fontId="37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58" borderId="0" applyNumberFormat="0" applyBorder="0" applyAlignment="0" applyProtection="0"/>
    <xf numFmtId="0" fontId="79" fillId="48" borderId="0" applyNumberFormat="0" applyBorder="0" applyAlignment="0" applyProtection="0"/>
    <xf numFmtId="0" fontId="82" fillId="34" borderId="59" applyNumberFormat="0" applyAlignment="0" applyProtection="0"/>
    <xf numFmtId="164" fontId="85" fillId="22" borderId="48"/>
    <xf numFmtId="0" fontId="79" fillId="49" borderId="0" applyNumberFormat="0" applyBorder="0" applyAlignment="0" applyProtection="0"/>
    <xf numFmtId="203" fontId="57" fillId="0" borderId="0"/>
    <xf numFmtId="0" fontId="79" fillId="24" borderId="0" applyNumberFormat="0" applyBorder="0" applyAlignment="0" applyProtection="0"/>
    <xf numFmtId="0" fontId="79" fillId="33" borderId="0" applyNumberFormat="0" applyBorder="0" applyAlignment="0" applyProtection="0"/>
    <xf numFmtId="0" fontId="79" fillId="58" borderId="0" applyNumberFormat="0" applyBorder="0" applyAlignment="0" applyProtection="0"/>
    <xf numFmtId="0" fontId="37" fillId="46" borderId="0" applyNumberFormat="0" applyBorder="0" applyAlignment="0" applyProtection="0"/>
    <xf numFmtId="184" fontId="59" fillId="0" borderId="0" applyFont="0" applyFill="0" applyBorder="0" applyAlignment="0" applyProtection="0"/>
    <xf numFmtId="0" fontId="37" fillId="9" borderId="0" applyNumberFormat="0" applyBorder="0" applyAlignment="0" applyProtection="0"/>
    <xf numFmtId="0" fontId="37" fillId="45" borderId="0" applyNumberFormat="0" applyBorder="0" applyAlignment="0" applyProtection="0"/>
    <xf numFmtId="0" fontId="45" fillId="0" borderId="0"/>
    <xf numFmtId="0" fontId="37" fillId="46" borderId="0" applyNumberFormat="0" applyBorder="0" applyAlignment="0" applyProtection="0"/>
    <xf numFmtId="0" fontId="37" fillId="49" borderId="0" applyNumberFormat="0" applyBorder="0" applyAlignment="0" applyProtection="0"/>
    <xf numFmtId="171" fontId="50" fillId="0" borderId="0" applyFont="0" applyFill="0" applyBorder="0" applyAlignment="0" applyProtection="0"/>
    <xf numFmtId="176" fontId="151" fillId="9" borderId="0"/>
    <xf numFmtId="242" fontId="159" fillId="0" borderId="0"/>
    <xf numFmtId="191" fontId="151" fillId="9" borderId="0"/>
    <xf numFmtId="0" fontId="37" fillId="61" borderId="0" applyNumberFormat="0" applyBorder="0" applyAlignment="0" applyProtection="0"/>
    <xf numFmtId="2" fontId="131" fillId="0" borderId="0">
      <alignment horizontal="right"/>
      <protection locked="0"/>
    </xf>
    <xf numFmtId="0" fontId="47" fillId="62" borderId="0" applyNumberFormat="0" applyBorder="0" applyAlignment="0" applyProtection="0"/>
    <xf numFmtId="242" fontId="159" fillId="0" borderId="0"/>
    <xf numFmtId="0" fontId="47" fillId="63" borderId="0" applyNumberFormat="0" applyBorder="0" applyAlignment="0" applyProtection="0"/>
    <xf numFmtId="0" fontId="161" fillId="30" borderId="67" applyNumberFormat="0" applyAlignment="0" applyProtection="0"/>
    <xf numFmtId="171" fontId="50" fillId="0" borderId="0" applyFont="0" applyFill="0" applyBorder="0" applyAlignment="0" applyProtection="0"/>
    <xf numFmtId="0" fontId="47" fillId="63" borderId="0" applyNumberFormat="0" applyBorder="0" applyAlignment="0" applyProtection="0"/>
    <xf numFmtId="0" fontId="47" fillId="15" borderId="0" applyNumberFormat="0" applyBorder="0" applyAlignment="0" applyProtection="0"/>
    <xf numFmtId="0" fontId="166" fillId="0" borderId="0"/>
    <xf numFmtId="0" fontId="47" fillId="59" borderId="0" applyNumberFormat="0" applyBorder="0" applyAlignment="0" applyProtection="0"/>
    <xf numFmtId="0" fontId="283" fillId="0" borderId="0"/>
    <xf numFmtId="245" fontId="45" fillId="0" borderId="0" applyFill="0" applyBorder="0" applyAlignment="0" applyProtection="0"/>
    <xf numFmtId="0" fontId="138" fillId="0" borderId="0" applyFont="0" applyFill="0" applyBorder="0" applyAlignment="0" applyProtection="0"/>
    <xf numFmtId="0" fontId="37" fillId="59" borderId="0" applyNumberFormat="0" applyBorder="0" applyAlignment="0" applyProtection="0"/>
    <xf numFmtId="0" fontId="47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51" borderId="0" applyNumberFormat="0" applyBorder="0" applyAlignment="0" applyProtection="0"/>
    <xf numFmtId="0" fontId="79" fillId="44" borderId="0" applyNumberFormat="0" applyBorder="0" applyAlignment="0" applyProtection="0"/>
    <xf numFmtId="0" fontId="79" fillId="46" borderId="0" applyNumberFormat="0" applyBorder="0" applyAlignment="0" applyProtection="0"/>
    <xf numFmtId="0" fontId="79" fillId="42" borderId="0" applyNumberFormat="0" applyBorder="0" applyAlignment="0" applyProtection="0"/>
    <xf numFmtId="247" fontId="52" fillId="0" borderId="0" applyFont="0" applyFill="0" applyBorder="0" applyAlignment="0" applyProtection="0">
      <alignment vertical="center"/>
    </xf>
    <xf numFmtId="0" fontId="37" fillId="46" borderId="0" applyNumberFormat="0" applyBorder="0" applyAlignment="0" applyProtection="0"/>
    <xf numFmtId="0" fontId="37" fillId="51" borderId="0" applyNumberFormat="0" applyBorder="0" applyAlignment="0" applyProtection="0"/>
    <xf numFmtId="49" fontId="167" fillId="0" borderId="9">
      <alignment horizontal="right" wrapText="1"/>
    </xf>
    <xf numFmtId="0" fontId="37" fillId="46" borderId="0" applyNumberFormat="0" applyBorder="0" applyAlignment="0" applyProtection="0"/>
    <xf numFmtId="0" fontId="37" fillId="42" borderId="0" applyNumberFormat="0" applyBorder="0" applyAlignment="0" applyProtection="0"/>
    <xf numFmtId="243" fontId="168" fillId="0" borderId="0">
      <alignment horizontal="left"/>
    </xf>
    <xf numFmtId="0" fontId="169" fillId="5" borderId="56" applyNumberFormat="0" applyAlignment="0" applyProtection="0"/>
    <xf numFmtId="248" fontId="170" fillId="0" borderId="0">
      <alignment horizontal="right"/>
      <protection locked="0"/>
    </xf>
    <xf numFmtId="250" fontId="171" fillId="0" borderId="0"/>
    <xf numFmtId="0" fontId="44" fillId="0" borderId="19" applyNumberFormat="0" applyFont="0" applyFill="0" applyAlignment="0" applyProtection="0"/>
    <xf numFmtId="0" fontId="172" fillId="23" borderId="0" applyNumberFormat="0" applyBorder="0" applyAlignment="0" applyProtection="0"/>
    <xf numFmtId="182" fontId="108" fillId="45" borderId="0"/>
    <xf numFmtId="0" fontId="173" fillId="66" borderId="0">
      <alignment horizontal="center" vertical="center"/>
    </xf>
    <xf numFmtId="182" fontId="57" fillId="22" borderId="48"/>
    <xf numFmtId="10" fontId="85" fillId="22" borderId="48"/>
    <xf numFmtId="0" fontId="283" fillId="0" borderId="0"/>
    <xf numFmtId="0" fontId="283" fillId="0" borderId="0"/>
    <xf numFmtId="252" fontId="57" fillId="22" borderId="48"/>
    <xf numFmtId="254" fontId="85" fillId="22" borderId="48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4" fontId="61" fillId="0" borderId="0" applyFill="0" applyBorder="0">
      <alignment horizontal="right"/>
    </xf>
    <xf numFmtId="206" fontId="45" fillId="0" borderId="0" applyFill="0" applyBorder="0" applyAlignment="0"/>
    <xf numFmtId="206" fontId="45" fillId="0" borderId="0" applyFill="0" applyBorder="0" applyAlignment="0"/>
    <xf numFmtId="10" fontId="54" fillId="0" borderId="0" applyFill="0" applyBorder="0" applyAlignment="0"/>
    <xf numFmtId="0" fontId="45" fillId="0" borderId="0" applyFill="0" applyBorder="0" applyAlignment="0"/>
    <xf numFmtId="256" fontId="45" fillId="0" borderId="0" applyFill="0" applyBorder="0" applyAlignment="0"/>
    <xf numFmtId="206" fontId="45" fillId="0" borderId="0" applyFill="0" applyBorder="0" applyAlignment="0"/>
    <xf numFmtId="206" fontId="45" fillId="0" borderId="0" applyFill="0" applyBorder="0" applyAlignment="0"/>
    <xf numFmtId="0" fontId="45" fillId="0" borderId="79" applyNumberFormat="0" applyFill="0" applyAlignment="0" applyProtection="0"/>
    <xf numFmtId="242" fontId="159" fillId="0" borderId="0"/>
    <xf numFmtId="3" fontId="174" fillId="0" borderId="0"/>
    <xf numFmtId="0" fontId="135" fillId="0" borderId="0" applyNumberFormat="0" applyFill="0" applyBorder="0" applyAlignment="0" applyProtection="0"/>
    <xf numFmtId="0" fontId="175" fillId="0" borderId="80" applyNumberFormat="0" applyFill="0" applyAlignment="0" applyProtection="0"/>
    <xf numFmtId="0" fontId="176" fillId="0" borderId="81" applyNumberFormat="0" applyFill="0" applyAlignment="0" applyProtection="0"/>
    <xf numFmtId="0" fontId="176" fillId="0" borderId="0" applyNumberFormat="0" applyFill="0" applyBorder="0" applyAlignment="0" applyProtection="0"/>
    <xf numFmtId="0" fontId="74" fillId="31" borderId="0" applyNumberFormat="0" applyBorder="0" applyProtection="0">
      <alignment horizontal="centerContinuous" vertical="center"/>
    </xf>
    <xf numFmtId="0" fontId="140" fillId="55" borderId="0" applyNumberFormat="0">
      <alignment horizontal="center" vertical="top" wrapText="1"/>
    </xf>
    <xf numFmtId="0" fontId="50" fillId="0" borderId="82" applyNumberFormat="0" applyFont="0" applyFill="0" applyAlignment="0" applyProtection="0">
      <alignment horizontal="left"/>
    </xf>
    <xf numFmtId="0" fontId="177" fillId="5" borderId="0">
      <alignment horizontal="center"/>
    </xf>
    <xf numFmtId="0" fontId="178" fillId="67" borderId="0" applyAlignment="0"/>
    <xf numFmtId="0" fontId="93" fillId="37" borderId="0">
      <alignment horizontal="right"/>
    </xf>
    <xf numFmtId="220" fontId="45" fillId="0" borderId="0" applyFill="0" applyBorder="0" applyAlignment="0" applyProtection="0"/>
    <xf numFmtId="258" fontId="52" fillId="0" borderId="0" applyFont="0" applyFill="0" applyBorder="0" applyAlignment="0" applyProtection="0">
      <alignment vertical="center"/>
    </xf>
    <xf numFmtId="242" fontId="159" fillId="0" borderId="0"/>
    <xf numFmtId="242" fontId="159" fillId="0" borderId="0"/>
    <xf numFmtId="242" fontId="159" fillId="0" borderId="0"/>
    <xf numFmtId="242" fontId="159" fillId="0" borderId="0"/>
    <xf numFmtId="0" fontId="179" fillId="0" borderId="66">
      <alignment horizontal="center" vertical="center"/>
    </xf>
    <xf numFmtId="242" fontId="159" fillId="0" borderId="0"/>
    <xf numFmtId="201" fontId="45" fillId="0" borderId="0" applyFont="0" applyFill="0" applyBorder="0" applyAlignment="0" applyProtection="0"/>
    <xf numFmtId="260" fontId="63" fillId="0" borderId="0"/>
    <xf numFmtId="262" fontId="180" fillId="0" borderId="0"/>
    <xf numFmtId="206" fontId="45" fillId="0" borderId="0" applyFill="0" applyBorder="0" applyAlignment="0" applyProtection="0"/>
    <xf numFmtId="264" fontId="45" fillId="0" borderId="0" applyFont="0" applyFill="0" applyBorder="0" applyAlignment="0" applyProtection="0"/>
    <xf numFmtId="0" fontId="45" fillId="0" borderId="0" applyNumberFormat="0" applyFont="0" applyFill="0" applyBorder="0" applyAlignment="0" applyProtection="0"/>
    <xf numFmtId="169" fontId="171" fillId="0" borderId="0" applyFont="0" applyFill="0" applyBorder="0" applyAlignment="0" applyProtection="0"/>
    <xf numFmtId="186" fontId="59" fillId="0" borderId="0" applyFont="0" applyFill="0" applyBorder="0" applyAlignment="0" applyProtection="0"/>
    <xf numFmtId="266" fontId="64" fillId="0" borderId="0" applyFont="0" applyFill="0" applyBorder="0" applyAlignment="0" applyProtection="0"/>
    <xf numFmtId="215" fontId="283" fillId="0" borderId="0" applyFont="0" applyFill="0" applyBorder="0" applyAlignment="0" applyProtection="0"/>
    <xf numFmtId="169" fontId="171" fillId="0" borderId="0" applyFont="0" applyFill="0" applyBorder="0" applyAlignment="0" applyProtection="0"/>
    <xf numFmtId="201" fontId="45" fillId="0" borderId="0" applyFont="0" applyFill="0" applyBorder="0" applyAlignment="0" applyProtection="0"/>
    <xf numFmtId="268" fontId="45" fillId="0" borderId="0" applyFont="0" applyFill="0" applyBorder="0" applyAlignment="0" applyProtection="0"/>
    <xf numFmtId="0" fontId="283" fillId="0" borderId="0"/>
    <xf numFmtId="188" fontId="57" fillId="0" borderId="0"/>
    <xf numFmtId="270" fontId="57" fillId="0" borderId="0"/>
    <xf numFmtId="271" fontId="181" fillId="0" borderId="83" applyFont="0" applyFill="0" applyBorder="0" applyAlignment="0" applyProtection="0"/>
    <xf numFmtId="0" fontId="114" fillId="0" borderId="0"/>
    <xf numFmtId="273" fontId="50" fillId="0" borderId="0" applyFont="0" applyFill="0" applyBorder="0" applyAlignment="0" applyProtection="0"/>
    <xf numFmtId="248" fontId="182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75" fontId="52" fillId="0" borderId="0" applyFont="0" applyFill="0" applyBorder="0" applyAlignment="0" applyProtection="0">
      <alignment vertical="center"/>
    </xf>
    <xf numFmtId="0" fontId="45" fillId="0" borderId="0" applyNumberFormat="0" applyFont="0" applyFill="0" applyBorder="0" applyProtection="0">
      <alignment horizontal="left"/>
    </xf>
    <xf numFmtId="257" fontId="52" fillId="0" borderId="0" applyFont="0" applyFill="0" applyBorder="0" applyAlignment="0" applyProtection="0">
      <alignment vertical="center"/>
    </xf>
    <xf numFmtId="272" fontId="52" fillId="0" borderId="0" applyFont="0" applyFill="0" applyBorder="0" applyAlignment="0" applyProtection="0">
      <alignment vertical="center"/>
    </xf>
    <xf numFmtId="171" fontId="50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0" fontId="184" fillId="45" borderId="56" applyNumberFormat="0" applyAlignment="0" applyProtection="0"/>
    <xf numFmtId="0" fontId="185" fillId="0" borderId="0"/>
    <xf numFmtId="0" fontId="186" fillId="0" borderId="0" applyNumberFormat="0" applyFill="0" applyBorder="0" applyAlignment="0" applyProtection="0">
      <alignment vertical="top"/>
      <protection locked="0"/>
    </xf>
    <xf numFmtId="0" fontId="45" fillId="0" borderId="0" applyNumberFormat="0" applyFont="0" applyFill="0" applyBorder="0" applyAlignment="0" applyProtection="0"/>
    <xf numFmtId="0" fontId="45" fillId="0" borderId="0" applyNumberFormat="0" applyFont="0" applyFill="0" applyBorder="0" applyAlignment="0" applyProtection="0"/>
    <xf numFmtId="261" fontId="52" fillId="0" borderId="0" applyFont="0" applyFill="0" applyBorder="0" applyAlignment="0" applyProtection="0">
      <alignment vertical="center"/>
    </xf>
    <xf numFmtId="14" fontId="63" fillId="0" borderId="0" applyFill="0" applyBorder="0" applyAlignment="0"/>
    <xf numFmtId="0" fontId="31" fillId="0" borderId="0">
      <protection locked="0"/>
    </xf>
    <xf numFmtId="218" fontId="56" fillId="68" borderId="0">
      <alignment horizontal="right"/>
    </xf>
    <xf numFmtId="10" fontId="45" fillId="69" borderId="66" applyNumberFormat="0" applyFont="0" applyBorder="0" applyAlignment="0" applyProtection="0">
      <protection locked="0"/>
    </xf>
    <xf numFmtId="3" fontId="44" fillId="0" borderId="0" applyBorder="0"/>
    <xf numFmtId="276" fontId="45" fillId="0" borderId="0" applyFont="0" applyFill="0" applyBorder="0" applyAlignment="0" applyProtection="0"/>
    <xf numFmtId="40" fontId="44" fillId="0" borderId="0" applyProtection="0"/>
    <xf numFmtId="0" fontId="187" fillId="23" borderId="0" applyNumberFormat="0" applyBorder="0" applyAlignment="0" applyProtection="0"/>
    <xf numFmtId="0" fontId="188" fillId="0" borderId="0">
      <alignment horizontal="center" vertical="center"/>
    </xf>
    <xf numFmtId="0" fontId="172" fillId="23" borderId="0" applyNumberFormat="0" applyBorder="0" applyAlignment="0" applyProtection="0"/>
    <xf numFmtId="259" fontId="182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59" fontId="131" fillId="0" borderId="0">
      <protection locked="0"/>
    </xf>
    <xf numFmtId="274" fontId="189" fillId="0" borderId="0" applyFont="0" applyFill="0" applyBorder="0" applyAlignment="0" applyProtection="0"/>
    <xf numFmtId="251" fontId="88" fillId="0" borderId="0" applyBorder="0"/>
    <xf numFmtId="251" fontId="88" fillId="0" borderId="76"/>
    <xf numFmtId="0" fontId="114" fillId="0" borderId="84"/>
    <xf numFmtId="0" fontId="190" fillId="0" borderId="0" applyFill="0" applyBorder="0" applyAlignment="0" applyProtection="0"/>
    <xf numFmtId="0" fontId="45" fillId="55" borderId="55" applyNumberFormat="0" applyProtection="0">
      <alignment horizontal="left" vertical="top" indent="1"/>
    </xf>
    <xf numFmtId="38" fontId="45" fillId="0" borderId="0" applyFill="0" applyBorder="0" applyAlignment="0" applyProtection="0"/>
    <xf numFmtId="38" fontId="45" fillId="0" borderId="0" applyFill="0" applyBorder="0" applyAlignment="0" applyProtection="0"/>
    <xf numFmtId="244" fontId="45" fillId="0" borderId="0" applyFont="0" applyFill="0" applyBorder="0" applyAlignment="0" applyProtection="0"/>
    <xf numFmtId="0" fontId="45" fillId="0" borderId="0" applyFill="0" applyBorder="0" applyAlignment="0" applyProtection="0"/>
    <xf numFmtId="9" fontId="59" fillId="0" borderId="0" applyFont="0" applyFill="0" applyBorder="0" applyAlignment="0" applyProtection="0"/>
    <xf numFmtId="40" fontId="45" fillId="0" borderId="0" applyFill="0" applyBorder="0" applyAlignment="0" applyProtection="0"/>
    <xf numFmtId="0" fontId="191" fillId="0" borderId="80" applyNumberFormat="0" applyFill="0" applyAlignment="0" applyProtection="0"/>
    <xf numFmtId="0" fontId="192" fillId="54" borderId="70" applyNumberFormat="0" applyAlignment="0" applyProtection="0"/>
    <xf numFmtId="0" fontId="160" fillId="70" borderId="0" applyNumberFormat="0" applyBorder="0" applyAlignment="0" applyProtection="0"/>
    <xf numFmtId="0" fontId="160" fillId="71" borderId="0" applyNumberFormat="0" applyBorder="0" applyAlignment="0" applyProtection="0"/>
    <xf numFmtId="206" fontId="45" fillId="0" borderId="0" applyFill="0" applyBorder="0" applyAlignment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06" fontId="45" fillId="0" borderId="0" applyFill="0" applyBorder="0" applyAlignment="0"/>
    <xf numFmtId="206" fontId="45" fillId="0" borderId="0" applyFill="0" applyBorder="0" applyAlignment="0"/>
    <xf numFmtId="0" fontId="45" fillId="0" borderId="0" applyFill="0" applyBorder="0" applyAlignment="0"/>
    <xf numFmtId="206" fontId="45" fillId="0" borderId="0" applyFill="0" applyBorder="0" applyAlignment="0"/>
    <xf numFmtId="0" fontId="193" fillId="0" borderId="0"/>
    <xf numFmtId="0" fontId="160" fillId="0" borderId="85" applyNumberFormat="0" applyFill="0" applyAlignment="0" applyProtection="0"/>
    <xf numFmtId="0" fontId="194" fillId="0" borderId="0" applyNumberFormat="0" applyFill="0" applyBorder="0" applyAlignment="0" applyProtection="0"/>
    <xf numFmtId="2" fontId="195" fillId="0" borderId="0"/>
    <xf numFmtId="221" fontId="59" fillId="0" borderId="0" applyFont="0" applyFill="0" applyBorder="0" applyAlignment="0" applyProtection="0"/>
    <xf numFmtId="186" fontId="58" fillId="0" borderId="0" applyFill="0" applyBorder="0">
      <alignment horizontal="right" vertical="top"/>
    </xf>
    <xf numFmtId="231" fontId="45" fillId="0" borderId="0" applyFill="0" applyBorder="0" applyAlignment="0" applyProtection="0"/>
    <xf numFmtId="234" fontId="196" fillId="0" borderId="66" applyFont="0" applyFill="0" applyBorder="0" applyAlignment="0" applyProtection="0">
      <protection locked="0"/>
    </xf>
    <xf numFmtId="0" fontId="98" fillId="0" borderId="0" applyNumberFormat="0" applyFill="0" applyBorder="0" applyAlignment="0" applyProtection="0"/>
    <xf numFmtId="0" fontId="155" fillId="37" borderId="0">
      <alignment horizontal="centerContinuous"/>
    </xf>
    <xf numFmtId="0" fontId="31" fillId="0" borderId="0">
      <protection locked="0"/>
    </xf>
    <xf numFmtId="3" fontId="45" fillId="0" borderId="0" applyFont="0" applyFill="0" applyBorder="0" applyAlignment="0" applyProtection="0"/>
    <xf numFmtId="2" fontId="45" fillId="0" borderId="0" applyFill="0" applyBorder="0" applyAlignment="0" applyProtection="0"/>
    <xf numFmtId="265" fontId="54" fillId="0" borderId="0">
      <alignment horizontal="left"/>
    </xf>
    <xf numFmtId="0" fontId="75" fillId="72" borderId="0">
      <alignment horizontal="right" vertical="center"/>
    </xf>
    <xf numFmtId="216" fontId="88" fillId="0" borderId="0" applyFont="0" applyFill="0" applyBorder="0" applyAlignment="0" applyProtection="0">
      <protection locked="0"/>
    </xf>
    <xf numFmtId="169" fontId="197" fillId="0" borderId="0" applyNumberFormat="0" applyFill="0" applyBorder="0" applyAlignment="0" applyProtection="0">
      <alignment horizontal="center"/>
    </xf>
    <xf numFmtId="38" fontId="54" fillId="45" borderId="0" applyNumberFormat="0" applyBorder="0" applyAlignment="0" applyProtection="0"/>
    <xf numFmtId="0" fontId="50" fillId="0" borderId="76" applyFill="0" applyBorder="0" applyProtection="0">
      <alignment horizontal="left"/>
    </xf>
    <xf numFmtId="0" fontId="198" fillId="23" borderId="0" applyNumberFormat="0" applyBorder="0" applyAlignment="0" applyProtection="0"/>
    <xf numFmtId="0" fontId="199" fillId="55" borderId="0" applyNumberFormat="0">
      <alignment vertical="center"/>
    </xf>
    <xf numFmtId="0" fontId="20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horizontal="left" vertical="center"/>
    </xf>
    <xf numFmtId="0" fontId="140" fillId="0" borderId="0" applyNumberFormat="0" applyFill="0" applyBorder="0" applyAlignment="0" applyProtection="0">
      <alignment vertical="center"/>
    </xf>
    <xf numFmtId="0" fontId="201" fillId="0" borderId="0" applyProtection="0">
      <alignment horizontal="right" vertical="top"/>
    </xf>
    <xf numFmtId="0" fontId="202" fillId="9" borderId="86" applyNumberFormat="0">
      <alignment vertical="center"/>
    </xf>
    <xf numFmtId="9" fontId="71" fillId="0" borderId="0" applyFont="0" applyFill="0" applyBorder="0" applyAlignment="0" applyProtection="0"/>
    <xf numFmtId="0" fontId="202" fillId="14" borderId="6">
      <alignment vertical="center"/>
    </xf>
    <xf numFmtId="9" fontId="45" fillId="0" borderId="0" applyFill="0" applyBorder="0" applyAlignment="0" applyProtection="0"/>
    <xf numFmtId="0" fontId="95" fillId="0" borderId="87" applyNumberFormat="0" applyAlignment="0" applyProtection="0"/>
    <xf numFmtId="0" fontId="95" fillId="0" borderId="88">
      <alignment horizontal="left" vertical="center"/>
    </xf>
    <xf numFmtId="226" fontId="203" fillId="0" borderId="0">
      <alignment horizontal="right"/>
    </xf>
    <xf numFmtId="226" fontId="203" fillId="0" borderId="0">
      <alignment horizontal="left"/>
    </xf>
    <xf numFmtId="0" fontId="204" fillId="0" borderId="0">
      <protection locked="0"/>
    </xf>
    <xf numFmtId="0" fontId="205" fillId="0" borderId="0"/>
    <xf numFmtId="0" fontId="206" fillId="0" borderId="0"/>
    <xf numFmtId="0" fontId="207" fillId="0" borderId="89" applyNumberFormat="0" applyFill="0" applyBorder="0" applyAlignment="0" applyProtection="0">
      <alignment horizontal="left"/>
    </xf>
    <xf numFmtId="219" fontId="208" fillId="5" borderId="0" applyNumberFormat="0" applyBorder="0" applyAlignment="0" applyProtection="0">
      <protection locked="0"/>
    </xf>
    <xf numFmtId="0" fontId="52" fillId="73" borderId="0" applyNumberFormat="0" applyFont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top"/>
      <protection locked="0"/>
    </xf>
    <xf numFmtId="0" fontId="210" fillId="0" borderId="0" applyNumberFormat="0" applyFill="0" applyBorder="0" applyAlignment="0" applyProtection="0"/>
    <xf numFmtId="0" fontId="140" fillId="0" borderId="0" applyFill="0" applyBorder="0" applyProtection="0">
      <alignment horizontal="center" vertical="center"/>
    </xf>
    <xf numFmtId="0" fontId="211" fillId="0" borderId="0" applyNumberFormat="0" applyFill="0" applyBorder="0" applyAlignment="0" applyProtection="0"/>
    <xf numFmtId="0" fontId="212" fillId="0" borderId="54" applyNumberFormat="0" applyFill="0" applyAlignment="0" applyProtection="0"/>
    <xf numFmtId="0" fontId="163" fillId="0" borderId="6"/>
    <xf numFmtId="0" fontId="213" fillId="0" borderId="0" applyNumberFormat="0" applyFill="0" applyBorder="0" applyAlignment="0" applyProtection="0"/>
    <xf numFmtId="0" fontId="214" fillId="0" borderId="0" applyNumberFormat="0" applyFill="0" applyBorder="0" applyAlignment="0" applyProtection="0">
      <alignment vertical="top"/>
      <protection locked="0"/>
    </xf>
    <xf numFmtId="0" fontId="45" fillId="74" borderId="56" applyNumberFormat="0" applyProtection="0">
      <alignment horizontal="left" vertical="center" indent="1"/>
    </xf>
    <xf numFmtId="0" fontId="21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>
      <alignment vertical="top"/>
      <protection locked="0"/>
    </xf>
    <xf numFmtId="278" fontId="45" fillId="0" borderId="0"/>
    <xf numFmtId="271" fontId="215" fillId="0" borderId="0" applyNumberFormat="0" applyFill="0" applyBorder="0" applyProtection="0">
      <alignment horizontal="left" vertical="center"/>
    </xf>
    <xf numFmtId="10" fontId="108" fillId="0" borderId="0" applyFill="0" applyBorder="0">
      <alignment horizontal="right"/>
      <protection locked="0"/>
    </xf>
    <xf numFmtId="182" fontId="85" fillId="14" borderId="48"/>
    <xf numFmtId="0" fontId="52" fillId="0" borderId="0" applyNumberFormat="0" applyFill="0" applyBorder="0">
      <alignment horizontal="left" vertical="center" wrapText="1" indent="1"/>
    </xf>
    <xf numFmtId="9" fontId="57" fillId="14" borderId="48"/>
    <xf numFmtId="9" fontId="195" fillId="0" borderId="0" applyAlignment="0">
      <alignment horizontal="center"/>
    </xf>
    <xf numFmtId="255" fontId="85" fillId="14" borderId="48"/>
    <xf numFmtId="165" fontId="85" fillId="14" borderId="48"/>
    <xf numFmtId="228" fontId="57" fillId="14" borderId="48"/>
    <xf numFmtId="22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54" fillId="14" borderId="66" applyNumberFormat="0" applyBorder="0" applyAlignment="0" applyProtection="0"/>
    <xf numFmtId="4" fontId="108" fillId="0" borderId="0" applyFill="0" applyBorder="0">
      <alignment horizontal="right"/>
      <protection locked="0"/>
    </xf>
    <xf numFmtId="0" fontId="52" fillId="0" borderId="90" applyNumberFormat="0" applyAlignment="0">
      <alignment vertical="center"/>
    </xf>
    <xf numFmtId="0" fontId="108" fillId="0" borderId="0" applyNumberFormat="0"/>
    <xf numFmtId="0" fontId="52" fillId="0" borderId="91" applyNumberFormat="0" applyAlignment="0">
      <alignment vertical="center"/>
      <protection locked="0"/>
    </xf>
    <xf numFmtId="236" fontId="52" fillId="75" borderId="91" applyNumberFormat="0" applyAlignment="0">
      <alignment vertical="center"/>
      <protection locked="0"/>
    </xf>
    <xf numFmtId="246" fontId="216" fillId="0" borderId="0" applyNumberFormat="0" applyBorder="0" applyProtection="0"/>
    <xf numFmtId="0" fontId="52" fillId="23" borderId="0" applyNumberFormat="0" applyAlignment="0">
      <alignment vertical="center"/>
    </xf>
    <xf numFmtId="0" fontId="170" fillId="0" borderId="0" applyNumberFormat="0" applyFill="0" applyBorder="0" applyAlignment="0" applyProtection="0"/>
    <xf numFmtId="0" fontId="283" fillId="0" borderId="0"/>
    <xf numFmtId="0" fontId="283" fillId="0" borderId="0"/>
    <xf numFmtId="230" fontId="108" fillId="0" borderId="0" applyFill="0" applyBorder="0">
      <alignment horizontal="right"/>
      <protection locked="0"/>
    </xf>
    <xf numFmtId="0" fontId="212" fillId="0" borderId="54" applyNumberFormat="0" applyFill="0" applyAlignment="0" applyProtection="0"/>
    <xf numFmtId="0" fontId="52" fillId="0" borderId="92" applyNumberFormat="0" applyAlignment="0">
      <alignment vertical="center"/>
      <protection locked="0"/>
    </xf>
    <xf numFmtId="10" fontId="91" fillId="0" borderId="0" applyFill="0" applyBorder="0">
      <alignment horizontal="right"/>
      <protection locked="0"/>
    </xf>
    <xf numFmtId="11" fontId="217" fillId="0" borderId="0">
      <alignment horizontal="right"/>
    </xf>
    <xf numFmtId="0" fontId="217" fillId="0" borderId="0">
      <alignment horizontal="left"/>
    </xf>
    <xf numFmtId="182" fontId="158" fillId="5" borderId="66"/>
    <xf numFmtId="0" fontId="218" fillId="0" borderId="93" applyNumberFormat="0" applyFont="0" applyFill="0" applyBorder="0" applyAlignment="0">
      <protection locked="0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03" fontId="219" fillId="9" borderId="0"/>
    <xf numFmtId="188" fontId="219" fillId="9" borderId="0"/>
    <xf numFmtId="17" fontId="220" fillId="14" borderId="48"/>
    <xf numFmtId="10" fontId="219" fillId="9" borderId="0"/>
    <xf numFmtId="0" fontId="59" fillId="14" borderId="52" applyNumberFormat="0" applyFont="0" applyAlignment="0" applyProtection="0"/>
    <xf numFmtId="0" fontId="79" fillId="65" borderId="0" applyNumberFormat="0" applyBorder="0" applyAlignment="0" applyProtection="0"/>
    <xf numFmtId="0" fontId="79" fillId="51" borderId="0" applyNumberFormat="0" applyBorder="0" applyAlignment="0" applyProtection="0"/>
    <xf numFmtId="0" fontId="79" fillId="44" borderId="0" applyNumberFormat="0" applyBorder="0" applyAlignment="0" applyProtection="0"/>
    <xf numFmtId="0" fontId="79" fillId="33" borderId="0" applyNumberFormat="0" applyBorder="0" applyAlignment="0" applyProtection="0"/>
    <xf numFmtId="0" fontId="79" fillId="46" borderId="0" applyNumberFormat="0" applyBorder="0" applyAlignment="0" applyProtection="0"/>
    <xf numFmtId="0" fontId="79" fillId="42" borderId="0" applyNumberFormat="0" applyBorder="0" applyAlignment="0" applyProtection="0"/>
    <xf numFmtId="0" fontId="221" fillId="0" borderId="0" applyFill="0"/>
    <xf numFmtId="0" fontId="184" fillId="45" borderId="56" applyNumberFormat="0" applyAlignment="0" applyProtection="0"/>
    <xf numFmtId="0" fontId="192" fillId="54" borderId="70" applyNumberFormat="0" applyAlignment="0" applyProtection="0"/>
    <xf numFmtId="0" fontId="155" fillId="54" borderId="70" applyNumberFormat="0" applyAlignment="0" applyProtection="0"/>
    <xf numFmtId="0" fontId="222" fillId="10" borderId="50" applyNumberFormat="0" applyAlignment="0" applyProtection="0"/>
    <xf numFmtId="0" fontId="222" fillId="10" borderId="50" applyNumberFormat="0" applyAlignment="0" applyProtection="0"/>
    <xf numFmtId="0" fontId="223" fillId="0" borderId="0"/>
    <xf numFmtId="38" fontId="224" fillId="0" borderId="0"/>
    <xf numFmtId="0" fontId="225" fillId="0" borderId="0"/>
    <xf numFmtId="0" fontId="225" fillId="0" borderId="0"/>
    <xf numFmtId="183" fontId="182" fillId="0" borderId="0">
      <alignment horizontal="left"/>
    </xf>
    <xf numFmtId="0" fontId="226" fillId="76" borderId="0" applyBorder="0"/>
    <xf numFmtId="0" fontId="155" fillId="37" borderId="0">
      <alignment horizontal="left"/>
    </xf>
    <xf numFmtId="0" fontId="73" fillId="5" borderId="0">
      <alignment horizontal="left"/>
    </xf>
    <xf numFmtId="0" fontId="283" fillId="0" borderId="0"/>
    <xf numFmtId="0" fontId="283" fillId="0" borderId="0"/>
    <xf numFmtId="206" fontId="45" fillId="0" borderId="0" applyFill="0" applyBorder="0" applyAlignment="0"/>
    <xf numFmtId="206" fontId="45" fillId="0" borderId="0" applyFill="0" applyBorder="0" applyAlignment="0"/>
    <xf numFmtId="206" fontId="45" fillId="0" borderId="0" applyFill="0" applyBorder="0" applyAlignment="0"/>
    <xf numFmtId="0" fontId="45" fillId="0" borderId="0" applyFill="0" applyBorder="0" applyAlignment="0"/>
    <xf numFmtId="206" fontId="45" fillId="0" borderId="0" applyFill="0" applyBorder="0" applyAlignment="0"/>
    <xf numFmtId="0" fontId="45" fillId="35" borderId="0"/>
    <xf numFmtId="0" fontId="45" fillId="0" borderId="94" applyAlignment="0"/>
    <xf numFmtId="0" fontId="75" fillId="66" borderId="0">
      <alignment horizontal="right" vertical="center"/>
    </xf>
    <xf numFmtId="0" fontId="227" fillId="0" borderId="0" applyNumberFormat="0" applyFill="0" applyBorder="0" applyAlignment="0" applyProtection="0"/>
    <xf numFmtId="0" fontId="228" fillId="77" borderId="0" applyBorder="0">
      <alignment horizontal="left" indent="1"/>
    </xf>
    <xf numFmtId="0" fontId="223" fillId="0" borderId="0" applyNumberFormat="0" applyFill="0" applyBorder="0" applyProtection="0">
      <alignment horizontal="left" vertical="center"/>
    </xf>
    <xf numFmtId="191" fontId="129" fillId="9" borderId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0" fontId="45" fillId="5" borderId="66" applyNumberFormat="0">
      <protection locked="0"/>
    </xf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29" fontId="45" fillId="0" borderId="0" applyFont="0" applyFill="0" applyBorder="0" applyAlignment="0" applyProtection="0"/>
    <xf numFmtId="263" fontId="45" fillId="0" borderId="0" applyFont="0" applyFill="0" applyBorder="0" applyAlignment="0" applyProtection="0"/>
    <xf numFmtId="0" fontId="45" fillId="0" borderId="0"/>
    <xf numFmtId="230" fontId="45" fillId="0" borderId="0" applyFill="0" applyBorder="0" applyAlignment="0" applyProtection="0"/>
    <xf numFmtId="231" fontId="45" fillId="0" borderId="0" applyFill="0" applyBorder="0" applyAlignment="0" applyProtection="0"/>
    <xf numFmtId="176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225" fontId="57" fillId="0" borderId="0" applyFont="0" applyFill="0" applyBorder="0" applyAlignment="0" applyProtection="0"/>
    <xf numFmtId="14" fontId="44" fillId="0" borderId="0" applyFont="0" applyFill="0" applyBorder="0" applyAlignment="0" applyProtection="0"/>
    <xf numFmtId="0" fontId="229" fillId="0" borderId="1"/>
    <xf numFmtId="0" fontId="31" fillId="0" borderId="0">
      <protection locked="0"/>
    </xf>
    <xf numFmtId="223" fontId="45" fillId="0" borderId="0" applyFill="0" applyBorder="0" applyAlignment="0" applyProtection="0"/>
    <xf numFmtId="269" fontId="45" fillId="0" borderId="0" applyFill="0" applyBorder="0" applyAlignment="0" applyProtection="0"/>
    <xf numFmtId="170" fontId="45" fillId="0" borderId="0" applyFont="0" applyFill="0" applyBorder="0" applyAlignment="0" applyProtection="0"/>
    <xf numFmtId="253" fontId="50" fillId="0" borderId="23" applyFont="0" applyFill="0" applyBorder="0" applyProtection="0"/>
    <xf numFmtId="237" fontId="50" fillId="0" borderId="23" applyFont="0" applyFill="0" applyBorder="0" applyAlignment="0" applyProtection="0"/>
    <xf numFmtId="239" fontId="230" fillId="0" borderId="0" applyFont="0" applyFill="0" applyBorder="0" applyProtection="0">
      <alignment horizontal="right"/>
    </xf>
    <xf numFmtId="253" fontId="50" fillId="0" borderId="0" applyFont="0" applyFill="0" applyBorder="0" applyAlignment="0" applyProtection="0"/>
    <xf numFmtId="237" fontId="50" fillId="0" borderId="0" applyFont="0" applyFill="0" applyBorder="0" applyAlignment="0" applyProtection="0"/>
    <xf numFmtId="251" fontId="231" fillId="0" borderId="0" applyFont="0" applyFill="0" applyBorder="0" applyAlignment="0" applyProtection="0"/>
    <xf numFmtId="267" fontId="45" fillId="0" borderId="0" applyFont="0" applyFill="0" applyBorder="0" applyAlignment="0" applyProtection="0"/>
    <xf numFmtId="0" fontId="150" fillId="0" borderId="72" applyNumberFormat="0" applyFill="0" applyAlignment="0" applyProtection="0"/>
    <xf numFmtId="0" fontId="232" fillId="0" borderId="95" applyNumberFormat="0" applyFill="0" applyAlignment="0" applyProtection="0"/>
    <xf numFmtId="249" fontId="50" fillId="0" borderId="0" applyFont="0" applyFill="0" applyBorder="0" applyAlignment="0" applyProtection="0"/>
    <xf numFmtId="0" fontId="232" fillId="0" borderId="95" applyNumberFormat="0" applyFill="0" applyAlignment="0" applyProtection="0"/>
    <xf numFmtId="40" fontId="233" fillId="5" borderId="0">
      <alignment horizontal="right"/>
    </xf>
    <xf numFmtId="0" fontId="234" fillId="0" borderId="96" applyNumberFormat="0" applyFill="0" applyAlignment="0" applyProtection="0"/>
    <xf numFmtId="0" fontId="234" fillId="0" borderId="96" applyNumberFormat="0" applyFill="0" applyAlignment="0" applyProtection="0"/>
    <xf numFmtId="0" fontId="234" fillId="0" borderId="0" applyNumberFormat="0" applyFill="0" applyBorder="0" applyAlignment="0" applyProtection="0"/>
    <xf numFmtId="0" fontId="66" fillId="0" borderId="0" applyFont="0" applyBorder="0" applyProtection="0"/>
    <xf numFmtId="0" fontId="234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175" fillId="0" borderId="80" applyNumberFormat="0" applyFill="0" applyAlignment="0" applyProtection="0"/>
    <xf numFmtId="0" fontId="176" fillId="0" borderId="81" applyNumberFormat="0" applyFill="0" applyAlignment="0" applyProtection="0"/>
    <xf numFmtId="0" fontId="176" fillId="0" borderId="0" applyNumberFormat="0" applyFill="0" applyBorder="0" applyAlignment="0" applyProtection="0"/>
    <xf numFmtId="0" fontId="235" fillId="0" borderId="0" applyNumberFormat="0" applyAlignment="0">
      <alignment vertical="center"/>
    </xf>
    <xf numFmtId="0" fontId="283" fillId="0" borderId="0"/>
    <xf numFmtId="0" fontId="283" fillId="0" borderId="0"/>
    <xf numFmtId="0" fontId="236" fillId="0" borderId="0"/>
    <xf numFmtId="2" fontId="237" fillId="0" borderId="0"/>
    <xf numFmtId="0" fontId="238" fillId="0" borderId="0" applyNumberFormat="0" applyFill="0" applyBorder="0" applyAlignment="0">
      <protection locked="0"/>
    </xf>
    <xf numFmtId="0" fontId="239" fillId="9" borderId="0" applyNumberFormat="0" applyBorder="0" applyAlignment="0" applyProtection="0"/>
    <xf numFmtId="0" fontId="240" fillId="36" borderId="0" applyNumberFormat="0" applyBorder="0" applyAlignment="0" applyProtection="0"/>
    <xf numFmtId="0" fontId="240" fillId="36" borderId="0" applyNumberFormat="0" applyBorder="0" applyAlignment="0" applyProtection="0"/>
    <xf numFmtId="0" fontId="28" fillId="9" borderId="0" applyNumberFormat="0" applyBorder="0" applyAlignment="0" applyProtection="0"/>
    <xf numFmtId="37" fontId="241" fillId="0" borderId="0"/>
    <xf numFmtId="0" fontId="65" fillId="0" borderId="0" applyNumberFormat="0" applyFill="0" applyBorder="0" applyAlignment="0" applyProtection="0"/>
    <xf numFmtId="0" fontId="242" fillId="0" borderId="0"/>
    <xf numFmtId="0" fontId="171" fillId="0" borderId="0"/>
    <xf numFmtId="0" fontId="45" fillId="0" borderId="0"/>
    <xf numFmtId="0" fontId="45" fillId="0" borderId="0"/>
    <xf numFmtId="4" fontId="63" fillId="51" borderId="55" applyNumberFormat="0" applyProtection="0">
      <alignment horizontal="right" vertical="center"/>
    </xf>
    <xf numFmtId="0" fontId="45" fillId="0" borderId="0"/>
    <xf numFmtId="183" fontId="243" fillId="0" borderId="0">
      <alignment horizontal="left"/>
    </xf>
    <xf numFmtId="0" fontId="45" fillId="0" borderId="0"/>
    <xf numFmtId="0" fontId="283" fillId="0" borderId="0"/>
    <xf numFmtId="0" fontId="244" fillId="0" borderId="0" applyNumberFormat="0" applyFill="0" applyBorder="0" applyAlignment="0" applyProtection="0"/>
    <xf numFmtId="0" fontId="45" fillId="0" borderId="0"/>
    <xf numFmtId="4" fontId="40" fillId="0" borderId="0" applyFill="0" applyBorder="0" applyAlignment="0" applyProtection="0">
      <alignment horizontal="center"/>
    </xf>
    <xf numFmtId="0" fontId="245" fillId="0" borderId="0"/>
    <xf numFmtId="0" fontId="283" fillId="0" borderId="0"/>
    <xf numFmtId="0" fontId="45" fillId="0" borderId="0"/>
    <xf numFmtId="0" fontId="45" fillId="0" borderId="0"/>
    <xf numFmtId="0" fontId="71" fillId="0" borderId="0"/>
    <xf numFmtId="3" fontId="14" fillId="0" borderId="0"/>
    <xf numFmtId="3" fontId="10" fillId="0" borderId="0"/>
    <xf numFmtId="0" fontId="30" fillId="0" borderId="0"/>
    <xf numFmtId="0" fontId="71" fillId="0" borderId="0"/>
    <xf numFmtId="219" fontId="114" fillId="0" borderId="0" applyNumberFormat="0" applyFill="0" applyBorder="0" applyAlignment="0" applyProtection="0"/>
    <xf numFmtId="0" fontId="3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59" fillId="0" borderId="0"/>
    <xf numFmtId="0" fontId="283" fillId="0" borderId="0"/>
    <xf numFmtId="0" fontId="283" fillId="0" borderId="0"/>
    <xf numFmtId="0" fontId="246" fillId="0" borderId="0" applyFill="0" applyBorder="0" applyProtection="0">
      <alignment horizontal="right"/>
    </xf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78" fillId="30" borderId="0">
      <alignment horizontal="center"/>
    </xf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182" fontId="182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10" fontId="182" fillId="0" borderId="0"/>
    <xf numFmtId="0" fontId="283" fillId="0" borderId="0"/>
    <xf numFmtId="0" fontId="283" fillId="0" borderId="0"/>
    <xf numFmtId="0" fontId="50" fillId="31" borderId="0" applyNumberFormat="0" applyBorder="0" applyProtection="0">
      <alignment horizontal="left"/>
    </xf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9" fontId="45" fillId="0" borderId="0" applyFont="0" applyFill="0" applyBorder="0" applyAlignment="0" applyProtection="0"/>
    <xf numFmtId="0" fontId="283" fillId="0" borderId="0"/>
    <xf numFmtId="9" fontId="45" fillId="0" borderId="0" applyFont="0" applyFill="0" applyBorder="0" applyAlignment="0" applyProtection="0"/>
    <xf numFmtId="0" fontId="283" fillId="0" borderId="0"/>
    <xf numFmtId="9" fontId="45" fillId="0" borderId="0" applyFill="0" applyBorder="0" applyAlignment="0" applyProtection="0"/>
    <xf numFmtId="0" fontId="283" fillId="0" borderId="0"/>
    <xf numFmtId="9" fontId="30" fillId="0" borderId="0" applyFont="0" applyFill="0" applyBorder="0" applyAlignment="0" applyProtection="0"/>
    <xf numFmtId="0" fontId="283" fillId="0" borderId="0"/>
    <xf numFmtId="9" fontId="71" fillId="0" borderId="0" applyFont="0" applyFill="0" applyBorder="0" applyAlignment="0" applyProtection="0"/>
    <xf numFmtId="0" fontId="45" fillId="0" borderId="0"/>
    <xf numFmtId="0" fontId="45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64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0" fontId="283" fillId="0" borderId="0"/>
    <xf numFmtId="4" fontId="196" fillId="55" borderId="55" applyNumberFormat="0" applyProtection="0">
      <alignment horizontal="right" vertical="center"/>
    </xf>
    <xf numFmtId="0" fontId="283" fillId="0" borderId="0"/>
    <xf numFmtId="0" fontId="45" fillId="0" borderId="0"/>
    <xf numFmtId="0" fontId="45" fillId="0" borderId="0"/>
    <xf numFmtId="0" fontId="59" fillId="0" borderId="0"/>
    <xf numFmtId="0" fontId="45" fillId="0" borderId="0"/>
    <xf numFmtId="0" fontId="45" fillId="0" borderId="0"/>
    <xf numFmtId="0" fontId="45" fillId="0" borderId="0"/>
    <xf numFmtId="0" fontId="71" fillId="0" borderId="0"/>
    <xf numFmtId="0" fontId="59" fillId="0" borderId="0"/>
    <xf numFmtId="0" fontId="59" fillId="0" borderId="0"/>
    <xf numFmtId="0" fontId="45" fillId="0" borderId="0"/>
    <xf numFmtId="0" fontId="81" fillId="65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0" borderId="0"/>
    <xf numFmtId="0" fontId="45" fillId="0" borderId="0"/>
    <xf numFmtId="0" fontId="45" fillId="0" borderId="0"/>
    <xf numFmtId="0" fontId="247" fillId="0" borderId="0"/>
    <xf numFmtId="0" fontId="58" fillId="0" borderId="0">
      <alignment horizontal="left"/>
    </xf>
    <xf numFmtId="0" fontId="59" fillId="14" borderId="52" applyNumberFormat="0" applyFont="0" applyAlignment="0" applyProtection="0"/>
    <xf numFmtId="217" fontId="88" fillId="0" borderId="0"/>
    <xf numFmtId="1" fontId="131" fillId="0" borderId="0">
      <alignment horizontal="right"/>
      <protection locked="0"/>
    </xf>
    <xf numFmtId="215" fontId="182" fillId="0" borderId="0"/>
    <xf numFmtId="215" fontId="131" fillId="0" borderId="0">
      <protection locked="0"/>
    </xf>
    <xf numFmtId="183" fontId="182" fillId="0" borderId="0"/>
    <xf numFmtId="222" fontId="52" fillId="0" borderId="0" applyFont="0" applyFill="0" applyBorder="0" applyAlignment="0" applyProtection="0">
      <alignment vertical="center"/>
    </xf>
    <xf numFmtId="38" fontId="50" fillId="0" borderId="13" applyFont="0" applyFill="0" applyBorder="0" applyAlignment="0" applyProtection="0"/>
    <xf numFmtId="0" fontId="248" fillId="45" borderId="67" applyNumberFormat="0" applyAlignment="0" applyProtection="0"/>
    <xf numFmtId="0" fontId="249" fillId="0" borderId="0"/>
    <xf numFmtId="0" fontId="51" fillId="5" borderId="13"/>
    <xf numFmtId="0" fontId="250" fillId="5" borderId="0" applyBorder="0">
      <alignment horizontal="centerContinuous"/>
    </xf>
    <xf numFmtId="0" fontId="251" fillId="5" borderId="0" applyBorder="0">
      <alignment horizontal="centerContinuous"/>
    </xf>
    <xf numFmtId="0" fontId="252" fillId="0" borderId="0" applyProtection="0">
      <alignment horizontal="left"/>
    </xf>
    <xf numFmtId="0" fontId="252" fillId="0" borderId="0" applyFill="0" applyBorder="0" applyProtection="0">
      <alignment horizontal="left"/>
    </xf>
    <xf numFmtId="0" fontId="89" fillId="0" borderId="0" applyFill="0" applyBorder="0" applyProtection="0">
      <alignment horizontal="left"/>
    </xf>
    <xf numFmtId="0" fontId="253" fillId="78" borderId="0"/>
    <xf numFmtId="241" fontId="45" fillId="0" borderId="0">
      <alignment horizontal="left"/>
    </xf>
    <xf numFmtId="182" fontId="182" fillId="0" borderId="0">
      <alignment horizontal="right"/>
    </xf>
    <xf numFmtId="0" fontId="45" fillId="0" borderId="0" applyFill="0" applyBorder="0" applyAlignment="0" applyProtection="0"/>
    <xf numFmtId="279" fontId="45" fillId="0" borderId="0" applyFill="0" applyBorder="0" applyAlignment="0" applyProtection="0"/>
    <xf numFmtId="182" fontId="25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2" fillId="0" borderId="0" applyFont="0" applyFill="0" applyBorder="0" applyAlignment="0" applyProtection="0"/>
    <xf numFmtId="280" fontId="182" fillId="0" borderId="0" applyFont="0" applyFill="0" applyBorder="0" applyProtection="0">
      <alignment horizontal="right"/>
    </xf>
    <xf numFmtId="182" fontId="131" fillId="0" borderId="0"/>
    <xf numFmtId="10" fontId="131" fillId="0" borderId="0">
      <protection locked="0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55" fillId="0" borderId="0" applyFont="0" applyFill="0" applyBorder="0" applyAlignment="0" applyProtection="0"/>
    <xf numFmtId="9" fontId="45" fillId="0" borderId="0"/>
    <xf numFmtId="281" fontId="52" fillId="0" borderId="0" applyFont="0" applyFill="0" applyBorder="0" applyAlignment="0" applyProtection="0">
      <alignment vertical="center"/>
    </xf>
    <xf numFmtId="282" fontId="50" fillId="0" borderId="0" applyFont="0" applyFill="0" applyBorder="0" applyAlignment="0" applyProtection="0"/>
    <xf numFmtId="0" fontId="31" fillId="0" borderId="0">
      <protection locked="0"/>
    </xf>
    <xf numFmtId="226" fontId="43" fillId="0" borderId="0"/>
    <xf numFmtId="226" fontId="256" fillId="0" borderId="0"/>
    <xf numFmtId="226" fontId="43" fillId="0" borderId="0" applyFill="0" applyBorder="0" applyProtection="0"/>
    <xf numFmtId="243" fontId="43" fillId="0" borderId="0" applyBorder="0" applyProtection="0"/>
    <xf numFmtId="242" fontId="43" fillId="0" borderId="0"/>
    <xf numFmtId="0" fontId="174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226" fontId="131" fillId="0" borderId="0">
      <alignment horizontal="left"/>
      <protection locked="0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57" fillId="41" borderId="0" applyNumberFormat="0" applyBorder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57" fillId="41" borderId="0" applyNumberFormat="0" applyBorder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44" fillId="0" borderId="0" applyNumberFormat="0" applyFont="0" applyFill="0" applyBorder="0" applyProtection="0">
      <alignment horizontal="left" vertical="top" wrapText="1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3" fontId="258" fillId="0" borderId="0" applyFont="0" applyFill="0" applyBorder="0" applyAlignment="0" applyProtection="0">
      <alignment horizontal="right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45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49" fontId="73" fillId="5" borderId="0">
      <alignment horizontal="left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59" fillId="0" borderId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50" fillId="0" borderId="97" applyNumberFormat="0" applyFont="0" applyFill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49" fontId="52" fillId="0" borderId="0" applyFont="0" applyFill="0" applyBorder="0" applyAlignment="0" applyProtection="0">
      <alignment horizontal="center" vertical="center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155" fillId="37" borderId="0">
      <alignment horizontal="left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52" fillId="45" borderId="0" applyNumberFormat="0" applyFont="0" applyBorder="0" applyAlignment="0" applyProtection="0">
      <alignment vertical="center"/>
    </xf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283" fillId="14" borderId="52" applyNumberFormat="0" applyFont="0" applyAlignment="0" applyProtection="0"/>
    <xf numFmtId="0" fontId="69" fillId="0" borderId="54" applyNumberFormat="0" applyFill="0" applyAlignment="0" applyProtection="0"/>
    <xf numFmtId="0" fontId="49" fillId="0" borderId="49" applyNumberFormat="0" applyFill="0" applyAlignment="0" applyProtection="0"/>
    <xf numFmtId="206" fontId="45" fillId="0" borderId="0" applyFill="0" applyBorder="0" applyAlignment="0"/>
    <xf numFmtId="206" fontId="45" fillId="0" borderId="0" applyFill="0" applyBorder="0" applyAlignment="0"/>
    <xf numFmtId="4" fontId="63" fillId="42" borderId="55" applyNumberFormat="0" applyProtection="0">
      <alignment horizontal="right" vertical="center"/>
    </xf>
    <xf numFmtId="206" fontId="45" fillId="0" borderId="0" applyFill="0" applyBorder="0" applyAlignment="0"/>
    <xf numFmtId="0" fontId="45" fillId="0" borderId="0" applyFill="0" applyBorder="0" applyAlignment="0"/>
    <xf numFmtId="206" fontId="45" fillId="0" borderId="0" applyFill="0" applyBorder="0" applyAlignment="0"/>
    <xf numFmtId="193" fontId="45" fillId="0" borderId="0" applyProtection="0">
      <alignment horizontal="right"/>
    </xf>
    <xf numFmtId="193" fontId="45" fillId="0" borderId="0">
      <alignment horizontal="right"/>
      <protection locked="0"/>
    </xf>
    <xf numFmtId="9" fontId="28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5" fillId="0" borderId="0" applyFill="0" applyBorder="0" applyAlignment="0" applyProtection="0"/>
    <xf numFmtId="49" fontId="84" fillId="0" borderId="0"/>
    <xf numFmtId="203" fontId="87" fillId="0" borderId="0"/>
    <xf numFmtId="205" fontId="45" fillId="0" borderId="0" applyFont="0" applyFill="0" applyProtection="0"/>
    <xf numFmtId="0" fontId="96" fillId="0" borderId="0" applyNumberFormat="0">
      <alignment horizontal="right"/>
    </xf>
    <xf numFmtId="0" fontId="53" fillId="0" borderId="0" applyNumberFormat="0" applyFill="0" applyBorder="0" applyAlignment="0" applyProtection="0">
      <alignment horizontal="left"/>
      <protection locked="0"/>
    </xf>
    <xf numFmtId="219" fontId="91" fillId="0" borderId="0" applyNumberFormat="0" applyFill="0" applyBorder="0" applyAlignment="0" applyProtection="0">
      <alignment horizontal="left"/>
    </xf>
    <xf numFmtId="177" fontId="45" fillId="0" borderId="0" applyBorder="0">
      <alignment horizontal="right"/>
    </xf>
    <xf numFmtId="0" fontId="73" fillId="9" borderId="0">
      <alignment horizontal="center"/>
    </xf>
    <xf numFmtId="0" fontId="38" fillId="12" borderId="0" applyNumberFormat="0" applyBorder="0" applyAlignment="0" applyProtection="0"/>
    <xf numFmtId="0" fontId="50" fillId="0" borderId="65" applyNumberFormat="0" applyFont="0" applyFill="0" applyAlignment="0" applyProtection="0"/>
    <xf numFmtId="0" fontId="74" fillId="31" borderId="63" applyNumberFormat="0" applyBorder="0" applyProtection="0">
      <alignment horizontal="left" wrapText="1"/>
    </xf>
    <xf numFmtId="0" fontId="74" fillId="31" borderId="0" applyNumberFormat="0" applyBorder="0" applyProtection="0">
      <alignment horizontal="left"/>
    </xf>
    <xf numFmtId="0" fontId="74" fillId="31" borderId="57" applyNumberFormat="0" applyBorder="0" applyProtection="0">
      <alignment horizontal="left" wrapText="1"/>
    </xf>
    <xf numFmtId="0" fontId="140" fillId="0" borderId="0" applyNumberFormat="0" applyFill="0" applyBorder="0">
      <alignment horizontal="left" vertical="center" wrapText="1"/>
    </xf>
    <xf numFmtId="0" fontId="65" fillId="0" borderId="0" applyNumberFormat="0" applyFill="0" applyBorder="0" applyAlignment="0" applyProtection="0"/>
    <xf numFmtId="0" fontId="93" fillId="37" borderId="0">
      <alignment horizontal="center"/>
    </xf>
    <xf numFmtId="0" fontId="93" fillId="37" borderId="0">
      <alignment horizontal="centerContinuous"/>
    </xf>
    <xf numFmtId="0" fontId="41" fillId="5" borderId="0">
      <alignment horizontal="left"/>
    </xf>
    <xf numFmtId="49" fontId="41" fillId="5" borderId="0">
      <alignment horizontal="center"/>
    </xf>
    <xf numFmtId="49" fontId="41" fillId="5" borderId="0">
      <alignment horizontal="left"/>
    </xf>
    <xf numFmtId="0" fontId="155" fillId="37" borderId="0">
      <alignment horizontal="right"/>
    </xf>
    <xf numFmtId="0" fontId="93" fillId="37" borderId="0">
      <alignment horizontal="right"/>
    </xf>
    <xf numFmtId="0" fontId="41" fillId="30" borderId="0">
      <alignment horizontal="center"/>
    </xf>
    <xf numFmtId="4" fontId="51" fillId="9" borderId="55" applyNumberFormat="0" applyProtection="0">
      <alignment vertical="center"/>
    </xf>
    <xf numFmtId="4" fontId="76" fillId="9" borderId="55" applyNumberFormat="0" applyProtection="0">
      <alignment vertical="center"/>
    </xf>
    <xf numFmtId="4" fontId="63" fillId="27" borderId="55" applyNumberFormat="0" applyProtection="0">
      <alignment horizontal="right" vertical="center"/>
    </xf>
    <xf numFmtId="4" fontId="63" fillId="49" borderId="55" applyNumberFormat="0" applyProtection="0">
      <alignment horizontal="right" vertical="center"/>
    </xf>
    <xf numFmtId="4" fontId="63" fillId="53" borderId="55" applyNumberFormat="0" applyProtection="0">
      <alignment horizontal="right" vertical="center"/>
    </xf>
    <xf numFmtId="4" fontId="63" fillId="58" borderId="55" applyNumberFormat="0" applyProtection="0">
      <alignment horizontal="right" vertical="center"/>
    </xf>
    <xf numFmtId="4" fontId="63" fillId="44" borderId="55" applyNumberFormat="0" applyProtection="0">
      <alignment horizontal="right" vertical="center"/>
    </xf>
    <xf numFmtId="4" fontId="63" fillId="79" borderId="55" applyNumberFormat="0" applyProtection="0">
      <alignment horizontal="right" vertical="center"/>
    </xf>
    <xf numFmtId="4" fontId="63" fillId="24" borderId="55" applyNumberFormat="0" applyProtection="0">
      <alignment horizontal="right" vertical="center"/>
    </xf>
    <xf numFmtId="4" fontId="51" fillId="19" borderId="53" applyNumberFormat="0" applyProtection="0">
      <alignment horizontal="left" vertical="center" indent="1"/>
    </xf>
    <xf numFmtId="4" fontId="63" fillId="55" borderId="0" applyNumberFormat="0" applyProtection="0">
      <alignment horizontal="left" vertical="center" indent="1"/>
    </xf>
    <xf numFmtId="4" fontId="143" fillId="11" borderId="0" applyNumberFormat="0" applyProtection="0">
      <alignment horizontal="left" vertical="center" indent="1"/>
    </xf>
    <xf numFmtId="4" fontId="63" fillId="72" borderId="55" applyNumberFormat="0" applyProtection="0">
      <alignment horizontal="right" vertical="center"/>
    </xf>
    <xf numFmtId="4" fontId="64" fillId="55" borderId="0" applyNumberFormat="0" applyProtection="0">
      <alignment horizontal="left" vertical="center" indent="1"/>
    </xf>
    <xf numFmtId="0" fontId="64" fillId="25" borderId="56" applyNumberFormat="0" applyProtection="0">
      <alignment horizontal="left" vertical="center" indent="1"/>
    </xf>
    <xf numFmtId="0" fontId="45" fillId="11" borderId="55" applyNumberFormat="0" applyProtection="0">
      <alignment horizontal="left" vertical="top" indent="1"/>
    </xf>
    <xf numFmtId="0" fontId="35" fillId="45" borderId="55" applyNumberFormat="0" applyProtection="0">
      <alignment horizontal="left" vertical="center" indent="1"/>
    </xf>
    <xf numFmtId="0" fontId="45" fillId="72" borderId="55" applyNumberFormat="0" applyProtection="0">
      <alignment horizontal="left" vertical="top" indent="1"/>
    </xf>
    <xf numFmtId="0" fontId="45" fillId="35" borderId="56" applyNumberFormat="0" applyProtection="0">
      <alignment horizontal="left" vertical="center" indent="1"/>
    </xf>
    <xf numFmtId="0" fontId="45" fillId="20" borderId="55" applyNumberFormat="0" applyProtection="0">
      <alignment horizontal="left" vertical="top" indent="1"/>
    </xf>
    <xf numFmtId="0" fontId="45" fillId="74" borderId="56" applyNumberFormat="0" applyProtection="0">
      <alignment horizontal="left" vertical="center" indent="1"/>
    </xf>
    <xf numFmtId="4" fontId="260" fillId="23" borderId="0" applyNumberFormat="0" applyProtection="0">
      <alignment horizontal="left" vertical="center" indent="1"/>
    </xf>
    <xf numFmtId="4" fontId="63" fillId="14" borderId="55" applyNumberFormat="0" applyProtection="0">
      <alignment vertical="center"/>
    </xf>
    <xf numFmtId="4" fontId="261" fillId="14" borderId="55" applyNumberFormat="0" applyProtection="0">
      <alignment vertical="center"/>
    </xf>
    <xf numFmtId="0" fontId="63" fillId="14" borderId="55" applyNumberFormat="0" applyProtection="0">
      <alignment horizontal="left" vertical="top" indent="1"/>
    </xf>
    <xf numFmtId="4" fontId="63" fillId="55" borderId="55" applyNumberFormat="0" applyProtection="0">
      <alignment horizontal="right" vertical="center"/>
    </xf>
    <xf numFmtId="4" fontId="261" fillId="55" borderId="55" applyNumberFormat="0" applyProtection="0">
      <alignment horizontal="right" vertical="center"/>
    </xf>
    <xf numFmtId="0" fontId="262" fillId="45" borderId="55" applyNumberFormat="0" applyProtection="0">
      <alignment horizontal="left" vertical="top" indent="1"/>
    </xf>
    <xf numFmtId="4" fontId="263" fillId="80" borderId="0" applyNumberFormat="0" applyProtection="0">
      <alignment horizontal="left" vertical="center" indent="1"/>
    </xf>
    <xf numFmtId="0" fontId="262" fillId="0" borderId="0"/>
    <xf numFmtId="0" fontId="264" fillId="0" borderId="0" applyNumberFormat="0" applyFill="0" applyBorder="0" applyProtection="0">
      <alignment horizontal="left" vertical="center"/>
    </xf>
    <xf numFmtId="0" fontId="88" fillId="0" borderId="23">
      <alignment horizontal="center" vertical="center"/>
    </xf>
    <xf numFmtId="0" fontId="265" fillId="45" borderId="0" applyNumberFormat="0" applyFont="0" applyBorder="0" applyAlignment="0" applyProtection="0">
      <alignment horizontal="left" vertical="center"/>
    </xf>
    <xf numFmtId="0" fontId="266" fillId="0" borderId="0" applyNumberFormat="0" applyFill="0" applyBorder="0" applyAlignment="0" applyProtection="0"/>
    <xf numFmtId="10" fontId="45" fillId="24" borderId="66" applyNumberFormat="0" applyFont="0" applyBorder="0" applyAlignment="0" applyProtection="0">
      <protection locked="0"/>
    </xf>
    <xf numFmtId="203" fontId="267" fillId="0" borderId="66"/>
    <xf numFmtId="0" fontId="268" fillId="27" borderId="0" applyNumberFormat="0" applyBorder="0" applyAlignment="0" applyProtection="0"/>
    <xf numFmtId="283" fontId="269" fillId="0" borderId="0"/>
    <xf numFmtId="0" fontId="138" fillId="0" borderId="0" applyFill="0" applyBorder="0" applyAlignment="0" applyProtection="0"/>
    <xf numFmtId="0" fontId="75" fillId="32" borderId="0">
      <alignment horizontal="right" vertical="center"/>
    </xf>
    <xf numFmtId="177" fontId="181" fillId="0" borderId="98" applyFont="0" applyFill="0" applyBorder="0" applyAlignment="0" applyProtection="0"/>
    <xf numFmtId="284" fontId="50" fillId="0" borderId="0" applyFill="0" applyBorder="0">
      <alignment horizontal="center"/>
    </xf>
    <xf numFmtId="40" fontId="50" fillId="0" borderId="0" applyFont="0" applyFill="0" applyBorder="0" applyAlignment="0" applyProtection="0"/>
    <xf numFmtId="0" fontId="73" fillId="0" borderId="77" applyNumberFormat="0" applyFill="0" applyAlignment="0" applyProtection="0"/>
    <xf numFmtId="0" fontId="29" fillId="0" borderId="0"/>
    <xf numFmtId="185" fontId="270" fillId="0" borderId="0" applyFill="0" applyBorder="0" applyAlignment="0" applyProtection="0"/>
    <xf numFmtId="185" fontId="45" fillId="0" borderId="0" applyFill="0" applyBorder="0" applyAlignment="0" applyProtection="0"/>
    <xf numFmtId="14" fontId="111" fillId="0" borderId="0" applyFill="0" applyBorder="0" applyAlignment="0" applyProtection="0"/>
    <xf numFmtId="0" fontId="45" fillId="0" borderId="0"/>
    <xf numFmtId="0" fontId="48" fillId="0" borderId="0"/>
    <xf numFmtId="0" fontId="45" fillId="0" borderId="0"/>
    <xf numFmtId="0" fontId="36" fillId="0" borderId="0"/>
    <xf numFmtId="0" fontId="32" fillId="0" borderId="99" applyFill="0" applyBorder="0" applyProtection="0">
      <alignment vertical="center"/>
    </xf>
    <xf numFmtId="176" fontId="129" fillId="9" borderId="0"/>
    <xf numFmtId="236" fontId="140" fillId="0" borderId="100" applyNumberFormat="0" applyFill="0" applyAlignment="0" applyProtection="0">
      <alignment vertical="center"/>
    </xf>
    <xf numFmtId="0" fontId="271" fillId="0" borderId="76"/>
    <xf numFmtId="0" fontId="164" fillId="0" borderId="77" applyNumberFormat="0" applyFill="0" applyAlignment="0" applyProtection="0"/>
    <xf numFmtId="0" fontId="248" fillId="45" borderId="67" applyNumberFormat="0" applyAlignment="0" applyProtection="0"/>
    <xf numFmtId="0" fontId="4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101" applyAlignment="0"/>
    <xf numFmtId="0" fontId="140" fillId="0" borderId="0" applyFill="0" applyBorder="0" applyProtection="0"/>
    <xf numFmtId="0" fontId="272" fillId="0" borderId="0" applyFill="0" applyBorder="0" applyProtection="0">
      <alignment horizontal="left"/>
    </xf>
    <xf numFmtId="0" fontId="52" fillId="0" borderId="0" applyNumberFormat="0" applyFont="0" applyFill="0" applyAlignment="0" applyProtection="0">
      <alignment vertical="center"/>
    </xf>
    <xf numFmtId="0" fontId="273" fillId="0" borderId="0" applyFill="0" applyBorder="0" applyProtection="0">
      <alignment horizontal="left" vertical="top"/>
    </xf>
    <xf numFmtId="236" fontId="52" fillId="0" borderId="0" applyNumberFormat="0" applyFont="0" applyBorder="0" applyAlignment="0" applyProtection="0">
      <alignment vertical="center"/>
    </xf>
    <xf numFmtId="0" fontId="2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77" fontId="45" fillId="45" borderId="0">
      <alignment horizontal="center"/>
    </xf>
    <xf numFmtId="49" fontId="63" fillId="0" borderId="0" applyFill="0" applyBorder="0" applyAlignment="0"/>
    <xf numFmtId="206" fontId="45" fillId="0" borderId="0" applyFill="0" applyBorder="0" applyAlignment="0"/>
    <xf numFmtId="206" fontId="45" fillId="0" borderId="0" applyFill="0" applyBorder="0" applyAlignment="0"/>
    <xf numFmtId="0" fontId="274" fillId="68" borderId="0"/>
    <xf numFmtId="0" fontId="56" fillId="68" borderId="0">
      <alignment horizontal="left"/>
    </xf>
    <xf numFmtId="0" fontId="56" fillId="68" borderId="0">
      <alignment horizontal="left" indent="1"/>
    </xf>
    <xf numFmtId="0" fontId="56" fillId="68" borderId="0">
      <alignment horizontal="left" vertical="center" indent="2"/>
    </xf>
    <xf numFmtId="0" fontId="275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61" fillId="0" borderId="0" applyAlignment="0"/>
    <xf numFmtId="168" fontId="142" fillId="0" borderId="0"/>
    <xf numFmtId="0" fontId="8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74" fillId="31" borderId="1" applyNumberFormat="0" applyProtection="0">
      <alignment horizontal="left" vertical="center"/>
    </xf>
    <xf numFmtId="183" fontId="74" fillId="0" borderId="0">
      <alignment horizontal="centerContinuous"/>
    </xf>
    <xf numFmtId="183" fontId="154" fillId="0" borderId="74">
      <alignment horizontal="centerContinuous"/>
    </xf>
    <xf numFmtId="183" fontId="243" fillId="0" borderId="0">
      <alignment horizontal="centerContinuous"/>
      <protection locked="0"/>
    </xf>
    <xf numFmtId="226" fontId="146" fillId="0" borderId="0">
      <alignment horizontal="center"/>
    </xf>
    <xf numFmtId="226" fontId="146" fillId="0" borderId="0">
      <alignment horizontal="left"/>
    </xf>
    <xf numFmtId="0" fontId="271" fillId="0" borderId="0"/>
    <xf numFmtId="0" fontId="135" fillId="0" borderId="0" applyNumberFormat="0" applyFill="0" applyBorder="0" applyAlignment="0" applyProtection="0"/>
    <xf numFmtId="259" fontId="276" fillId="0" borderId="0" applyFont="0" applyFill="0" applyBorder="0" applyProtection="0"/>
    <xf numFmtId="0" fontId="277" fillId="0" borderId="0"/>
    <xf numFmtId="236" fontId="140" fillId="55" borderId="0" applyNumberFormat="0" applyAlignment="0" applyProtection="0">
      <alignment vertical="center"/>
    </xf>
    <xf numFmtId="191" fontId="129" fillId="9" borderId="69"/>
    <xf numFmtId="226" fontId="45" fillId="0" borderId="0">
      <alignment horizontal="right"/>
    </xf>
    <xf numFmtId="3" fontId="21" fillId="0" borderId="0" applyFont="0" applyFill="0" applyBorder="0" applyAlignment="0" applyProtection="0">
      <alignment horizontal="left" vertical="center"/>
    </xf>
    <xf numFmtId="0" fontId="135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78" fillId="0" borderId="102" applyNumberFormat="0" applyFill="0" applyAlignment="0" applyProtection="0"/>
    <xf numFmtId="0" fontId="165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191" fontId="45" fillId="0" borderId="0">
      <alignment horizontal="left"/>
      <protection locked="0"/>
    </xf>
    <xf numFmtId="0" fontId="45" fillId="56" borderId="0"/>
    <xf numFmtId="0" fontId="280" fillId="0" borderId="0" applyFill="0"/>
    <xf numFmtId="39" fontId="281" fillId="0" borderId="22" applyNumberFormat="0" applyFont="0" applyFill="0" applyAlignment="0" applyProtection="0"/>
    <xf numFmtId="0" fontId="52" fillId="0" borderId="0" applyNumberFormat="0" applyFont="0" applyBorder="0" applyAlignment="0" applyProtection="0">
      <alignment vertical="center"/>
    </xf>
    <xf numFmtId="0" fontId="52" fillId="0" borderId="0" applyNumberFormat="0" applyFont="0" applyAlignment="0" applyProtection="0">
      <alignment vertical="center"/>
    </xf>
    <xf numFmtId="0" fontId="282" fillId="5" borderId="0">
      <alignment horizontal="center"/>
    </xf>
    <xf numFmtId="0" fontId="283" fillId="14" borderId="52" applyNumberFormat="0" applyFont="0" applyAlignment="0" applyProtection="0"/>
    <xf numFmtId="170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0" fontId="134" fillId="0" borderId="0"/>
    <xf numFmtId="0" fontId="85" fillId="30" borderId="67" applyNumberFormat="0" applyAlignment="0" applyProtection="0"/>
    <xf numFmtId="0" fontId="104" fillId="38" borderId="59" applyNumberFormat="0" applyAlignment="0" applyProtection="0"/>
    <xf numFmtId="0" fontId="104" fillId="38" borderId="59" applyNumberFormat="0" applyAlignment="0" applyProtection="0"/>
    <xf numFmtId="0" fontId="123" fillId="34" borderId="62" applyNumberFormat="0" applyAlignment="0" applyProtection="0"/>
    <xf numFmtId="0" fontId="123" fillId="34" borderId="62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72" fontId="45" fillId="0" borderId="0" applyFill="0" applyBorder="0" applyAlignment="0" applyProtection="0"/>
    <xf numFmtId="189" fontId="45" fillId="0" borderId="0" applyFill="0" applyBorder="0" applyAlignment="0" applyProtection="0"/>
    <xf numFmtId="0" fontId="132" fillId="0" borderId="0" applyNumberFormat="0" applyFill="0" applyBorder="0" applyAlignment="0" applyProtection="0"/>
    <xf numFmtId="174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6" fontId="45" fillId="0" borderId="0"/>
    <xf numFmtId="0" fontId="35" fillId="0" borderId="23">
      <alignment horizontal="center" wrapText="1"/>
    </xf>
    <xf numFmtId="0" fontId="50" fillId="0" borderId="0" applyFont="0" applyFill="0" applyBorder="0" applyAlignment="0" applyProtection="0">
      <alignment horizontal="right"/>
    </xf>
    <xf numFmtId="0" fontId="110" fillId="0" borderId="0">
      <alignment horizontal="right"/>
      <protection locked="0"/>
    </xf>
    <xf numFmtId="1" fontId="50" fillId="0" borderId="0" applyFill="0" applyBorder="0" applyProtection="0">
      <alignment horizontal="center"/>
    </xf>
    <xf numFmtId="0" fontId="138" fillId="0" borderId="0" applyFont="0" applyFill="0" applyBorder="0" applyAlignment="0" applyProtection="0"/>
    <xf numFmtId="0" fontId="136" fillId="54" borderId="70" applyNumberFormat="0" applyAlignment="0" applyProtection="0"/>
    <xf numFmtId="0" fontId="126" fillId="27" borderId="0" applyNumberFormat="0" applyBorder="0" applyAlignment="0" applyProtection="0"/>
    <xf numFmtId="0" fontId="121" fillId="27" borderId="0" applyNumberFormat="0" applyBorder="0" applyAlignment="0" applyProtection="0"/>
    <xf numFmtId="0" fontId="38" fillId="12" borderId="0" applyNumberFormat="0" applyBorder="0" applyAlignment="0" applyProtection="0"/>
    <xf numFmtId="0" fontId="81" fillId="51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81" fillId="44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81" fillId="46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81" fillId="42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77" fillId="0" borderId="0"/>
    <xf numFmtId="0" fontId="313" fillId="0" borderId="0"/>
    <xf numFmtId="0" fontId="316" fillId="0" borderId="0"/>
    <xf numFmtId="165" fontId="3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622">
    <xf numFmtId="0" fontId="0" fillId="0" borderId="0" xfId="0"/>
    <xf numFmtId="0" fontId="12" fillId="2" borderId="1" xfId="1008" applyFont="1" applyFill="1" applyBorder="1"/>
    <xf numFmtId="0" fontId="14" fillId="0" borderId="0" xfId="1012" applyFont="1"/>
    <xf numFmtId="0" fontId="14" fillId="2" borderId="1" xfId="1008" applyFont="1" applyFill="1" applyBorder="1"/>
    <xf numFmtId="0" fontId="14" fillId="3" borderId="0" xfId="1012" applyFont="1" applyFill="1"/>
    <xf numFmtId="0" fontId="16" fillId="3" borderId="0" xfId="1012" applyFont="1" applyFill="1"/>
    <xf numFmtId="0" fontId="15" fillId="0" borderId="0" xfId="1012" applyFont="1"/>
    <xf numFmtId="9" fontId="14" fillId="4" borderId="0" xfId="22" applyFont="1" applyFill="1"/>
    <xf numFmtId="0" fontId="14" fillId="2" borderId="0" xfId="1008" applyFont="1" applyFill="1"/>
    <xf numFmtId="0" fontId="13" fillId="0" borderId="36" xfId="1006" applyFont="1" applyBorder="1"/>
    <xf numFmtId="0" fontId="14" fillId="2" borderId="35" xfId="1006" applyFont="1" applyFill="1" applyBorder="1"/>
    <xf numFmtId="3" fontId="14" fillId="2" borderId="18" xfId="1006" applyNumberFormat="1" applyFont="1" applyFill="1" applyBorder="1"/>
    <xf numFmtId="0" fontId="14" fillId="2" borderId="28" xfId="1006" applyFont="1" applyFill="1" applyBorder="1"/>
    <xf numFmtId="3" fontId="14" fillId="2" borderId="16" xfId="1006" applyNumberFormat="1" applyFont="1" applyFill="1" applyBorder="1"/>
    <xf numFmtId="0" fontId="13" fillId="0" borderId="36" xfId="1006" applyFont="1" applyBorder="1" applyAlignment="1">
      <alignment horizontal="left"/>
    </xf>
    <xf numFmtId="0" fontId="14" fillId="2" borderId="35" xfId="1006" applyFont="1" applyFill="1" applyBorder="1" applyAlignment="1">
      <alignment horizontal="left" indent="1"/>
    </xf>
    <xf numFmtId="0" fontId="14" fillId="2" borderId="28" xfId="1006" applyFont="1" applyFill="1" applyBorder="1" applyAlignment="1">
      <alignment horizontal="left" indent="1"/>
    </xf>
    <xf numFmtId="0" fontId="14" fillId="2" borderId="28" xfId="1005" applyFont="1" applyFill="1" applyBorder="1" applyAlignment="1">
      <alignment horizontal="left" indent="1"/>
    </xf>
    <xf numFmtId="3" fontId="14" fillId="2" borderId="16" xfId="1005" applyNumberFormat="1" applyFont="1" applyFill="1" applyBorder="1" applyAlignment="1">
      <alignment horizontal="right"/>
    </xf>
    <xf numFmtId="0" fontId="13" fillId="0" borderId="30" xfId="1005" applyFont="1" applyBorder="1" applyAlignment="1">
      <alignment horizontal="left"/>
    </xf>
    <xf numFmtId="3" fontId="13" fillId="0" borderId="31" xfId="1005" applyNumberFormat="1" applyFont="1" applyBorder="1" applyAlignment="1">
      <alignment horizontal="right"/>
    </xf>
    <xf numFmtId="0" fontId="14" fillId="2" borderId="36" xfId="1005" applyFont="1" applyFill="1" applyBorder="1" applyAlignment="1">
      <alignment horizontal="left" indent="2"/>
    </xf>
    <xf numFmtId="182" fontId="14" fillId="4" borderId="24" xfId="1008" applyNumberFormat="1" applyFont="1" applyFill="1" applyBorder="1"/>
    <xf numFmtId="182" fontId="14" fillId="3" borderId="23" xfId="22" applyNumberFormat="1" applyFont="1" applyFill="1" applyBorder="1"/>
    <xf numFmtId="0" fontId="14" fillId="2" borderId="0" xfId="1006" applyFont="1" applyFill="1"/>
    <xf numFmtId="3" fontId="13" fillId="0" borderId="35" xfId="1005" applyNumberFormat="1" applyFont="1" applyBorder="1"/>
    <xf numFmtId="3" fontId="13" fillId="0" borderId="18" xfId="1008" applyNumberFormat="1" applyFont="1" applyBorder="1"/>
    <xf numFmtId="0" fontId="14" fillId="2" borderId="0" xfId="1005" applyFont="1" applyFill="1"/>
    <xf numFmtId="0" fontId="10" fillId="2" borderId="28" xfId="1005" applyFont="1" applyFill="1" applyBorder="1" applyAlignment="1">
      <alignment horizontal="left" indent="1"/>
    </xf>
    <xf numFmtId="10" fontId="13" fillId="0" borderId="31" xfId="22" applyNumberFormat="1" applyFont="1" applyFill="1" applyBorder="1" applyAlignment="1">
      <alignment horizontal="right"/>
    </xf>
    <xf numFmtId="2" fontId="10" fillId="2" borderId="16" xfId="1005" applyNumberFormat="1" applyFont="1" applyFill="1" applyBorder="1" applyAlignment="1">
      <alignment horizontal="right"/>
    </xf>
    <xf numFmtId="0" fontId="10" fillId="2" borderId="40" xfId="1005" applyFont="1" applyFill="1" applyBorder="1" applyAlignment="1">
      <alignment horizontal="left" indent="1"/>
    </xf>
    <xf numFmtId="3" fontId="10" fillId="2" borderId="21" xfId="1005" applyNumberFormat="1" applyFont="1" applyFill="1" applyBorder="1" applyAlignment="1">
      <alignment horizontal="right"/>
    </xf>
    <xf numFmtId="3" fontId="10" fillId="2" borderId="16" xfId="1005" applyNumberFormat="1" applyFont="1" applyFill="1" applyBorder="1" applyAlignment="1">
      <alignment horizontal="right"/>
    </xf>
    <xf numFmtId="9" fontId="10" fillId="3" borderId="16" xfId="22" applyFont="1" applyFill="1" applyBorder="1" applyAlignment="1">
      <alignment horizontal="right"/>
    </xf>
    <xf numFmtId="2" fontId="10" fillId="4" borderId="16" xfId="1005" applyNumberFormat="1" applyFont="1" applyFill="1" applyBorder="1" applyAlignment="1">
      <alignment horizontal="right"/>
    </xf>
    <xf numFmtId="10" fontId="14" fillId="2" borderId="18" xfId="1006" applyNumberFormat="1" applyFont="1" applyFill="1" applyBorder="1" applyAlignment="1">
      <alignment horizontal="right"/>
    </xf>
    <xf numFmtId="10" fontId="14" fillId="4" borderId="16" xfId="1006" applyNumberFormat="1" applyFont="1" applyFill="1" applyBorder="1" applyAlignment="1">
      <alignment horizontal="right"/>
    </xf>
    <xf numFmtId="3" fontId="14" fillId="2" borderId="16" xfId="1006" applyNumberFormat="1" applyFont="1" applyFill="1" applyBorder="1" applyAlignment="1">
      <alignment horizontal="right"/>
    </xf>
    <xf numFmtId="0" fontId="15" fillId="3" borderId="0" xfId="0" applyFont="1" applyFill="1" applyAlignment="1">
      <alignment horizontal="center"/>
    </xf>
    <xf numFmtId="14" fontId="14" fillId="2" borderId="0" xfId="1008" applyNumberFormat="1" applyFont="1" applyFill="1"/>
    <xf numFmtId="0" fontId="14" fillId="3" borderId="0" xfId="1008" applyFont="1" applyFill="1"/>
    <xf numFmtId="0" fontId="24" fillId="0" borderId="36" xfId="1006" applyFont="1" applyBorder="1"/>
    <xf numFmtId="286" fontId="24" fillId="0" borderId="24" xfId="1006" applyNumberFormat="1" applyFont="1" applyBorder="1" applyAlignment="1">
      <alignment horizontal="center"/>
    </xf>
    <xf numFmtId="0" fontId="23" fillId="2" borderId="35" xfId="1006" applyFont="1" applyFill="1" applyBorder="1"/>
    <xf numFmtId="3" fontId="23" fillId="2" borderId="18" xfId="1006" applyNumberFormat="1" applyFont="1" applyFill="1" applyBorder="1"/>
    <xf numFmtId="0" fontId="23" fillId="2" borderId="28" xfId="1006" applyFont="1" applyFill="1" applyBorder="1"/>
    <xf numFmtId="3" fontId="23" fillId="2" borderId="16" xfId="1006" applyNumberFormat="1" applyFont="1" applyFill="1" applyBorder="1"/>
    <xf numFmtId="0" fontId="26" fillId="3" borderId="0" xfId="793" applyFont="1" applyFill="1" applyAlignment="1">
      <alignment horizontal="center"/>
    </xf>
    <xf numFmtId="9" fontId="22" fillId="3" borderId="0" xfId="1059" applyFont="1" applyFill="1"/>
    <xf numFmtId="3" fontId="20" fillId="3" borderId="0" xfId="793" applyNumberFormat="1" applyFont="1" applyFill="1"/>
    <xf numFmtId="0" fontId="25" fillId="3" borderId="0" xfId="793" applyFont="1" applyFill="1"/>
    <xf numFmtId="0" fontId="26" fillId="6" borderId="9" xfId="793" applyFont="1" applyFill="1" applyBorder="1" applyAlignment="1">
      <alignment horizontal="center"/>
    </xf>
    <xf numFmtId="286" fontId="26" fillId="6" borderId="9" xfId="793" applyNumberFormat="1" applyFont="1" applyFill="1" applyBorder="1" applyAlignment="1">
      <alignment horizontal="center"/>
    </xf>
    <xf numFmtId="3" fontId="26" fillId="3" borderId="19" xfId="793" applyNumberFormat="1" applyFont="1" applyFill="1" applyBorder="1"/>
    <xf numFmtId="3" fontId="25" fillId="3" borderId="0" xfId="793" applyNumberFormat="1" applyFont="1" applyFill="1"/>
    <xf numFmtId="3" fontId="25" fillId="4" borderId="0" xfId="793" applyNumberFormat="1" applyFont="1" applyFill="1"/>
    <xf numFmtId="3" fontId="27" fillId="3" borderId="0" xfId="793" applyNumberFormat="1" applyFont="1" applyFill="1"/>
    <xf numFmtId="9" fontId="22" fillId="3" borderId="0" xfId="1059" applyFont="1" applyFill="1" applyAlignment="1">
      <alignment horizontal="left" indent="2"/>
    </xf>
    <xf numFmtId="182" fontId="22" fillId="3" borderId="0" xfId="1059" applyNumberFormat="1" applyFont="1" applyFill="1"/>
    <xf numFmtId="0" fontId="26" fillId="3" borderId="0" xfId="793" applyFont="1" applyFill="1"/>
    <xf numFmtId="3" fontId="285" fillId="4" borderId="0" xfId="793" applyNumberFormat="1" applyFont="1" applyFill="1"/>
    <xf numFmtId="0" fontId="287" fillId="3" borderId="0" xfId="0" applyFont="1" applyFill="1" applyAlignment="1" applyProtection="1">
      <alignment horizontal="left" vertical="center"/>
      <protection locked="0"/>
    </xf>
    <xf numFmtId="0" fontId="0" fillId="3" borderId="0" xfId="0" applyFill="1"/>
    <xf numFmtId="0" fontId="293" fillId="3" borderId="0" xfId="793" applyFont="1" applyFill="1"/>
    <xf numFmtId="3" fontId="293" fillId="3" borderId="0" xfId="793" applyNumberFormat="1" applyFont="1" applyFill="1"/>
    <xf numFmtId="286" fontId="294" fillId="6" borderId="33" xfId="793" applyNumberFormat="1" applyFont="1" applyFill="1" applyBorder="1" applyAlignment="1">
      <alignment horizontal="center"/>
    </xf>
    <xf numFmtId="3" fontId="293" fillId="3" borderId="28" xfId="793" applyNumberFormat="1" applyFont="1" applyFill="1" applyBorder="1"/>
    <xf numFmtId="3" fontId="294" fillId="3" borderId="0" xfId="793" applyNumberFormat="1" applyFont="1" applyFill="1"/>
    <xf numFmtId="3" fontId="0" fillId="3" borderId="0" xfId="0" applyNumberFormat="1" applyFill="1"/>
    <xf numFmtId="3" fontId="296" fillId="3" borderId="0" xfId="0" applyNumberFormat="1" applyFont="1" applyFill="1"/>
    <xf numFmtId="0" fontId="297" fillId="3" borderId="0" xfId="793" applyFont="1" applyFill="1" applyAlignment="1">
      <alignment horizontal="left" indent="1"/>
    </xf>
    <xf numFmtId="182" fontId="298" fillId="3" borderId="0" xfId="22" applyNumberFormat="1" applyFont="1" applyFill="1"/>
    <xf numFmtId="182" fontId="299" fillId="3" borderId="0" xfId="22" applyNumberFormat="1" applyFont="1" applyFill="1"/>
    <xf numFmtId="286" fontId="294" fillId="6" borderId="9" xfId="793" applyNumberFormat="1" applyFont="1" applyFill="1" applyBorder="1" applyAlignment="1">
      <alignment horizontal="center"/>
    </xf>
    <xf numFmtId="3" fontId="294" fillId="3" borderId="19" xfId="793" applyNumberFormat="1" applyFont="1" applyFill="1" applyBorder="1"/>
    <xf numFmtId="3" fontId="13" fillId="3" borderId="8" xfId="1007" applyNumberFormat="1" applyFont="1" applyFill="1" applyBorder="1"/>
    <xf numFmtId="182" fontId="300" fillId="3" borderId="0" xfId="1059" applyNumberFormat="1" applyFont="1" applyFill="1"/>
    <xf numFmtId="9" fontId="300" fillId="3" borderId="0" xfId="1012" applyNumberFormat="1" applyFont="1" applyFill="1"/>
    <xf numFmtId="9" fontId="15" fillId="3" borderId="0" xfId="1012" applyNumberFormat="1" applyFont="1" applyFill="1"/>
    <xf numFmtId="0" fontId="286" fillId="3" borderId="0" xfId="1012" applyFont="1" applyFill="1"/>
    <xf numFmtId="0" fontId="12" fillId="3" borderId="1" xfId="1008" applyFont="1" applyFill="1" applyBorder="1"/>
    <xf numFmtId="0" fontId="293" fillId="3" borderId="1" xfId="1008" applyFont="1" applyFill="1" applyBorder="1"/>
    <xf numFmtId="0" fontId="14" fillId="3" borderId="1" xfId="1008" applyFont="1" applyFill="1" applyBorder="1"/>
    <xf numFmtId="0" fontId="11" fillId="3" borderId="0" xfId="31" applyFont="1" applyFill="1" applyAlignment="1" applyProtection="1"/>
    <xf numFmtId="184" fontId="13" fillId="3" borderId="2" xfId="275" applyFont="1" applyFill="1" applyBorder="1" applyAlignment="1"/>
    <xf numFmtId="286" fontId="294" fillId="3" borderId="25" xfId="0" applyNumberFormat="1" applyFont="1" applyFill="1" applyBorder="1" applyAlignment="1">
      <alignment horizontal="center"/>
    </xf>
    <xf numFmtId="285" fontId="13" fillId="3" borderId="1" xfId="0" applyNumberFormat="1" applyFont="1" applyFill="1" applyBorder="1" applyAlignment="1">
      <alignment horizontal="center"/>
    </xf>
    <xf numFmtId="184" fontId="14" fillId="3" borderId="13" xfId="275" applyFont="1" applyFill="1" applyBorder="1" applyAlignment="1">
      <alignment horizontal="left" wrapText="1" indent="1"/>
    </xf>
    <xf numFmtId="3" fontId="293" fillId="3" borderId="26" xfId="1007" applyNumberFormat="1" applyFont="1" applyFill="1" applyBorder="1"/>
    <xf numFmtId="3" fontId="14" fillId="3" borderId="27" xfId="1007" applyNumberFormat="1" applyFont="1" applyFill="1" applyBorder="1"/>
    <xf numFmtId="3" fontId="293" fillId="3" borderId="28" xfId="1007" applyNumberFormat="1" applyFont="1" applyFill="1" applyBorder="1"/>
    <xf numFmtId="3" fontId="14" fillId="3" borderId="0" xfId="1007" applyNumberFormat="1" applyFont="1" applyFill="1"/>
    <xf numFmtId="9" fontId="13" fillId="3" borderId="29" xfId="22" applyFont="1" applyFill="1" applyBorder="1" applyAlignment="1">
      <alignment horizontal="left" indent="1"/>
    </xf>
    <xf numFmtId="3" fontId="294" fillId="3" borderId="30" xfId="1007" applyNumberFormat="1" applyFont="1" applyFill="1" applyBorder="1"/>
    <xf numFmtId="3" fontId="13" fillId="3" borderId="32" xfId="1007" applyNumberFormat="1" applyFont="1" applyFill="1" applyBorder="1"/>
    <xf numFmtId="3" fontId="294" fillId="3" borderId="31" xfId="1007" applyNumberFormat="1" applyFont="1" applyFill="1" applyBorder="1"/>
    <xf numFmtId="184" fontId="14" fillId="3" borderId="13" xfId="275" applyFont="1" applyFill="1" applyBorder="1" applyAlignment="1">
      <alignment horizontal="left" wrapText="1" indent="2"/>
    </xf>
    <xf numFmtId="3" fontId="293" fillId="3" borderId="16" xfId="1007" applyNumberFormat="1" applyFont="1" applyFill="1" applyBorder="1"/>
    <xf numFmtId="184" fontId="287" fillId="3" borderId="13" xfId="275" applyFont="1" applyFill="1" applyBorder="1" applyAlignment="1">
      <alignment horizontal="left" wrapText="1" indent="2"/>
    </xf>
    <xf numFmtId="0" fontId="13" fillId="3" borderId="7" xfId="1013" applyFont="1" applyFill="1" applyBorder="1" applyAlignment="1">
      <alignment wrapText="1"/>
    </xf>
    <xf numFmtId="3" fontId="294" fillId="3" borderId="8" xfId="1007" applyNumberFormat="1" applyFont="1" applyFill="1" applyBorder="1"/>
    <xf numFmtId="3" fontId="13" fillId="3" borderId="9" xfId="1007" applyNumberFormat="1" applyFont="1" applyFill="1" applyBorder="1"/>
    <xf numFmtId="9" fontId="13" fillId="3" borderId="10" xfId="22" applyFont="1" applyFill="1" applyBorder="1" applyAlignment="1">
      <alignment horizontal="left" indent="1"/>
    </xf>
    <xf numFmtId="3" fontId="294" fillId="3" borderId="34" xfId="1007" applyNumberFormat="1" applyFont="1" applyFill="1" applyBorder="1"/>
    <xf numFmtId="0" fontId="13" fillId="3" borderId="17" xfId="1013" applyFont="1" applyFill="1" applyBorder="1" applyAlignment="1">
      <alignment wrapText="1"/>
    </xf>
    <xf numFmtId="3" fontId="294" fillId="3" borderId="18" xfId="1007" applyNumberFormat="1" applyFont="1" applyFill="1" applyBorder="1"/>
    <xf numFmtId="3" fontId="13" fillId="3" borderId="19" xfId="1007" applyNumberFormat="1" applyFont="1" applyFill="1" applyBorder="1"/>
    <xf numFmtId="0" fontId="14" fillId="3" borderId="0" xfId="1012" applyFont="1" applyFill="1" applyAlignment="1">
      <alignment horizontal="center"/>
    </xf>
    <xf numFmtId="0" fontId="293" fillId="3" borderId="0" xfId="1012" applyFont="1" applyFill="1"/>
    <xf numFmtId="0" fontId="13" fillId="3" borderId="36" xfId="1013" applyFont="1" applyFill="1" applyBorder="1" applyAlignment="1">
      <alignment wrapText="1"/>
    </xf>
    <xf numFmtId="3" fontId="294" fillId="3" borderId="24" xfId="1007" applyNumberFormat="1" applyFont="1" applyFill="1" applyBorder="1"/>
    <xf numFmtId="3" fontId="13" fillId="3" borderId="23" xfId="1007" applyNumberFormat="1" applyFont="1" applyFill="1" applyBorder="1"/>
    <xf numFmtId="0" fontId="13" fillId="3" borderId="30" xfId="1013" applyFont="1" applyFill="1" applyBorder="1" applyAlignment="1">
      <alignment wrapText="1"/>
    </xf>
    <xf numFmtId="184" fontId="15" fillId="3" borderId="28" xfId="275" applyFont="1" applyFill="1" applyBorder="1" applyAlignment="1">
      <alignment horizontal="left" wrapText="1" indent="1"/>
    </xf>
    <xf numFmtId="10" fontId="300" fillId="3" borderId="16" xfId="1007" applyNumberFormat="1" applyFont="1" applyFill="1" applyBorder="1"/>
    <xf numFmtId="10" fontId="15" fillId="3" borderId="0" xfId="1007" applyNumberFormat="1" applyFont="1" applyFill="1"/>
    <xf numFmtId="0" fontId="15" fillId="3" borderId="0" xfId="1012" applyFont="1" applyFill="1"/>
    <xf numFmtId="3" fontId="14" fillId="3" borderId="0" xfId="1012" applyNumberFormat="1" applyFont="1" applyFill="1"/>
    <xf numFmtId="3" fontId="288" fillId="3" borderId="0" xfId="0" applyNumberFormat="1" applyFont="1" applyFill="1" applyAlignment="1">
      <alignment vertical="center"/>
    </xf>
    <xf numFmtId="3" fontId="292" fillId="3" borderId="0" xfId="793" applyNumberFormat="1" applyFont="1" applyFill="1"/>
    <xf numFmtId="9" fontId="0" fillId="3" borderId="0" xfId="22" applyFont="1" applyFill="1"/>
    <xf numFmtId="288" fontId="294" fillId="3" borderId="3" xfId="0" applyNumberFormat="1" applyFont="1" applyFill="1" applyBorder="1" applyAlignment="1">
      <alignment horizontal="center"/>
    </xf>
    <xf numFmtId="0" fontId="13" fillId="3" borderId="4" xfId="275" applyNumberFormat="1" applyFont="1" applyFill="1" applyBorder="1" applyAlignment="1"/>
    <xf numFmtId="3" fontId="294" fillId="3" borderId="5" xfId="275" applyNumberFormat="1" applyFont="1" applyFill="1" applyBorder="1" applyAlignment="1">
      <alignment horizontal="right"/>
    </xf>
    <xf numFmtId="3" fontId="13" fillId="3" borderId="6" xfId="275" applyNumberFormat="1" applyFont="1" applyFill="1" applyBorder="1" applyAlignment="1">
      <alignment horizontal="right"/>
    </xf>
    <xf numFmtId="0" fontId="13" fillId="3" borderId="7" xfId="1013" applyFont="1" applyFill="1" applyBorder="1" applyAlignment="1">
      <alignment horizontal="left" wrapText="1" indent="1"/>
    </xf>
    <xf numFmtId="0" fontId="13" fillId="3" borderId="10" xfId="275" applyNumberFormat="1" applyFont="1" applyFill="1" applyBorder="1" applyAlignment="1">
      <alignment horizontal="left" indent="2"/>
    </xf>
    <xf numFmtId="3" fontId="294" fillId="3" borderId="11" xfId="1007" applyNumberFormat="1" applyFont="1" applyFill="1" applyBorder="1"/>
    <xf numFmtId="3" fontId="13" fillId="3" borderId="12" xfId="1007" applyNumberFormat="1" applyFont="1" applyFill="1" applyBorder="1"/>
    <xf numFmtId="0" fontId="14" fillId="3" borderId="13" xfId="275" applyNumberFormat="1" applyFont="1" applyFill="1" applyBorder="1" applyAlignment="1">
      <alignment horizontal="left" wrapText="1" indent="3"/>
    </xf>
    <xf numFmtId="3" fontId="293" fillId="3" borderId="14" xfId="1007" applyNumberFormat="1" applyFont="1" applyFill="1" applyBorder="1"/>
    <xf numFmtId="3" fontId="14" fillId="3" borderId="15" xfId="1007" applyNumberFormat="1" applyFont="1" applyFill="1" applyBorder="1"/>
    <xf numFmtId="0" fontId="13" fillId="3" borderId="7" xfId="275" applyNumberFormat="1" applyFont="1" applyFill="1" applyBorder="1" applyAlignment="1">
      <alignment horizontal="left" indent="2"/>
    </xf>
    <xf numFmtId="0" fontId="13" fillId="3" borderId="17" xfId="275" applyNumberFormat="1" applyFont="1" applyFill="1" applyBorder="1" applyAlignment="1"/>
    <xf numFmtId="3" fontId="294" fillId="3" borderId="18" xfId="275" applyNumberFormat="1" applyFont="1" applyFill="1" applyBorder="1" applyAlignment="1">
      <alignment horizontal="right"/>
    </xf>
    <xf numFmtId="3" fontId="13" fillId="3" borderId="19" xfId="275" applyNumberFormat="1" applyFont="1" applyFill="1" applyBorder="1" applyAlignment="1">
      <alignment horizontal="right"/>
    </xf>
    <xf numFmtId="3" fontId="293" fillId="3" borderId="0" xfId="1012" applyNumberFormat="1" applyFont="1" applyFill="1"/>
    <xf numFmtId="0" fontId="13" fillId="3" borderId="20" xfId="275" applyNumberFormat="1" applyFont="1" applyFill="1" applyBorder="1" applyAlignment="1">
      <alignment horizontal="left"/>
    </xf>
    <xf numFmtId="3" fontId="293" fillId="3" borderId="21" xfId="1012" applyNumberFormat="1" applyFont="1" applyFill="1" applyBorder="1"/>
    <xf numFmtId="3" fontId="13" fillId="3" borderId="22" xfId="1012" applyNumberFormat="1" applyFont="1" applyFill="1" applyBorder="1"/>
    <xf numFmtId="0" fontId="14" fillId="3" borderId="15" xfId="1012" applyFont="1" applyFill="1" applyBorder="1" applyAlignment="1">
      <alignment horizontal="left" indent="1"/>
    </xf>
    <xf numFmtId="3" fontId="293" fillId="3" borderId="14" xfId="1012" applyNumberFormat="1" applyFont="1" applyFill="1" applyBorder="1"/>
    <xf numFmtId="3" fontId="14" fillId="3" borderId="15" xfId="1012" applyNumberFormat="1" applyFont="1" applyFill="1" applyBorder="1"/>
    <xf numFmtId="0" fontId="14" fillId="3" borderId="0" xfId="1012" applyFont="1" applyFill="1" applyAlignment="1">
      <alignment horizontal="left" indent="1"/>
    </xf>
    <xf numFmtId="3" fontId="293" fillId="3" borderId="16" xfId="1012" applyNumberFormat="1" applyFont="1" applyFill="1" applyBorder="1"/>
    <xf numFmtId="3" fontId="15" fillId="3" borderId="0" xfId="275" applyNumberFormat="1" applyFont="1" applyFill="1" applyBorder="1" applyAlignment="1">
      <alignment wrapText="1"/>
    </xf>
    <xf numFmtId="0" fontId="288" fillId="3" borderId="0" xfId="0" applyFont="1" applyFill="1" applyAlignment="1">
      <alignment vertical="center"/>
    </xf>
    <xf numFmtId="14" fontId="287" fillId="4" borderId="0" xfId="0" applyNumberFormat="1" applyFont="1" applyFill="1" applyAlignment="1">
      <alignment horizontal="right"/>
    </xf>
    <xf numFmtId="3" fontId="307" fillId="3" borderId="0" xfId="0" applyNumberFormat="1" applyFont="1" applyFill="1"/>
    <xf numFmtId="0" fontId="307" fillId="3" borderId="0" xfId="0" applyFont="1" applyFill="1"/>
    <xf numFmtId="3" fontId="294" fillId="3" borderId="48" xfId="1007" applyNumberFormat="1" applyFont="1" applyFill="1" applyBorder="1"/>
    <xf numFmtId="3" fontId="293" fillId="3" borderId="42" xfId="1007" applyNumberFormat="1" applyFont="1" applyFill="1" applyBorder="1"/>
    <xf numFmtId="3" fontId="294" fillId="3" borderId="105" xfId="1007" applyNumberFormat="1" applyFont="1" applyFill="1" applyBorder="1"/>
    <xf numFmtId="3" fontId="294" fillId="3" borderId="103" xfId="1007" applyNumberFormat="1" applyFont="1" applyFill="1" applyBorder="1"/>
    <xf numFmtId="0" fontId="293" fillId="3" borderId="28" xfId="1012" applyFont="1" applyFill="1" applyBorder="1"/>
    <xf numFmtId="10" fontId="300" fillId="3" borderId="42" xfId="1007" applyNumberFormat="1" applyFont="1" applyFill="1" applyBorder="1"/>
    <xf numFmtId="288" fontId="294" fillId="3" borderId="106" xfId="0" applyNumberFormat="1" applyFont="1" applyFill="1" applyBorder="1" applyAlignment="1">
      <alignment horizontal="center"/>
    </xf>
    <xf numFmtId="3" fontId="294" fillId="3" borderId="108" xfId="275" applyNumberFormat="1" applyFont="1" applyFill="1" applyBorder="1" applyAlignment="1">
      <alignment horizontal="right"/>
    </xf>
    <xf numFmtId="3" fontId="294" fillId="3" borderId="107" xfId="1007" applyNumberFormat="1" applyFont="1" applyFill="1" applyBorder="1"/>
    <xf numFmtId="3" fontId="293" fillId="3" borderId="43" xfId="1007" applyNumberFormat="1" applyFont="1" applyFill="1" applyBorder="1"/>
    <xf numFmtId="3" fontId="294" fillId="3" borderId="103" xfId="275" applyNumberFormat="1" applyFont="1" applyFill="1" applyBorder="1" applyAlignment="1">
      <alignment horizontal="right"/>
    </xf>
    <xf numFmtId="3" fontId="293" fillId="3" borderId="44" xfId="1012" applyNumberFormat="1" applyFont="1" applyFill="1" applyBorder="1"/>
    <xf numFmtId="3" fontId="293" fillId="3" borderId="43" xfId="1012" applyNumberFormat="1" applyFont="1" applyFill="1" applyBorder="1"/>
    <xf numFmtId="3" fontId="293" fillId="3" borderId="42" xfId="1012" applyNumberFormat="1" applyFont="1" applyFill="1" applyBorder="1"/>
    <xf numFmtId="179" fontId="13" fillId="3" borderId="1" xfId="0" applyNumberFormat="1" applyFont="1" applyFill="1" applyBorder="1" applyAlignment="1">
      <alignment horizontal="center"/>
    </xf>
    <xf numFmtId="3" fontId="294" fillId="3" borderId="35" xfId="1007" applyNumberFormat="1" applyFont="1" applyFill="1" applyBorder="1"/>
    <xf numFmtId="10" fontId="300" fillId="3" borderId="28" xfId="1007" applyNumberFormat="1" applyFont="1" applyFill="1" applyBorder="1"/>
    <xf numFmtId="3" fontId="286" fillId="3" borderId="0" xfId="1012" applyNumberFormat="1" applyFont="1" applyFill="1"/>
    <xf numFmtId="0" fontId="296" fillId="3" borderId="0" xfId="0" applyFont="1" applyFill="1"/>
    <xf numFmtId="3" fontId="302" fillId="3" borderId="0" xfId="793" applyNumberFormat="1" applyFont="1" applyFill="1"/>
    <xf numFmtId="3" fontId="294" fillId="3" borderId="28" xfId="793" applyNumberFormat="1" applyFont="1" applyFill="1" applyBorder="1"/>
    <xf numFmtId="0" fontId="292" fillId="3" borderId="0" xfId="793" applyFont="1" applyFill="1"/>
    <xf numFmtId="3" fontId="294" fillId="3" borderId="35" xfId="793" applyNumberFormat="1" applyFont="1" applyFill="1" applyBorder="1"/>
    <xf numFmtId="182" fontId="300" fillId="3" borderId="28" xfId="1059" applyNumberFormat="1" applyFont="1" applyFill="1" applyBorder="1"/>
    <xf numFmtId="3" fontId="298" fillId="3" borderId="0" xfId="793" applyNumberFormat="1" applyFont="1" applyFill="1"/>
    <xf numFmtId="0" fontId="309" fillId="3" borderId="0" xfId="1012" applyFont="1" applyFill="1"/>
    <xf numFmtId="3" fontId="309" fillId="3" borderId="0" xfId="1007" applyNumberFormat="1" applyFont="1" applyFill="1"/>
    <xf numFmtId="0" fontId="289" fillId="3" borderId="0" xfId="1012" applyFont="1" applyFill="1"/>
    <xf numFmtId="0" fontId="301" fillId="3" borderId="0" xfId="31" applyFont="1" applyFill="1" applyAlignment="1" applyProtection="1"/>
    <xf numFmtId="0" fontId="289" fillId="3" borderId="1" xfId="1008" applyFont="1" applyFill="1" applyBorder="1"/>
    <xf numFmtId="0" fontId="17" fillId="3" borderId="0" xfId="1012" applyFont="1" applyFill="1" applyAlignment="1">
      <alignment horizontal="center" vertical="center"/>
    </xf>
    <xf numFmtId="286" fontId="290" fillId="3" borderId="25" xfId="0" applyNumberFormat="1" applyFont="1" applyFill="1" applyBorder="1" applyAlignment="1">
      <alignment horizontal="center"/>
    </xf>
    <xf numFmtId="3" fontId="290" fillId="3" borderId="36" xfId="275" applyNumberFormat="1" applyFont="1" applyFill="1" applyBorder="1" applyAlignment="1">
      <alignment horizontal="right"/>
    </xf>
    <xf numFmtId="3" fontId="13" fillId="3" borderId="23" xfId="275" applyNumberFormat="1" applyFont="1" applyFill="1" applyBorder="1" applyAlignment="1">
      <alignment horizontal="right"/>
    </xf>
    <xf numFmtId="3" fontId="290" fillId="3" borderId="33" xfId="1007" applyNumberFormat="1" applyFont="1" applyFill="1" applyBorder="1"/>
    <xf numFmtId="3" fontId="290" fillId="3" borderId="34" xfId="1007" applyNumberFormat="1" applyFont="1" applyFill="1" applyBorder="1"/>
    <xf numFmtId="3" fontId="289" fillId="3" borderId="28" xfId="1007" applyNumberFormat="1" applyFont="1" applyFill="1" applyBorder="1"/>
    <xf numFmtId="3" fontId="290" fillId="3" borderId="30" xfId="1007" applyNumberFormat="1" applyFont="1" applyFill="1" applyBorder="1"/>
    <xf numFmtId="3" fontId="290" fillId="3" borderId="37" xfId="1007" applyNumberFormat="1" applyFont="1" applyFill="1" applyBorder="1"/>
    <xf numFmtId="3" fontId="13" fillId="3" borderId="38" xfId="1007" applyNumberFormat="1" applyFont="1" applyFill="1" applyBorder="1"/>
    <xf numFmtId="184" fontId="14" fillId="3" borderId="0" xfId="275" quotePrefix="1" applyFont="1" applyFill="1" applyBorder="1" applyAlignment="1">
      <alignment wrapText="1"/>
    </xf>
    <xf numFmtId="0" fontId="289" fillId="3" borderId="0" xfId="1007" applyFont="1" applyFill="1"/>
    <xf numFmtId="0" fontId="14" fillId="3" borderId="0" xfId="1007" applyFont="1" applyFill="1"/>
    <xf numFmtId="0" fontId="13" fillId="3" borderId="4" xfId="275" applyNumberFormat="1" applyFont="1" applyFill="1" applyBorder="1" applyAlignment="1">
      <alignment horizontal="left"/>
    </xf>
    <xf numFmtId="3" fontId="290" fillId="3" borderId="39" xfId="275" applyNumberFormat="1" applyFont="1" applyFill="1" applyBorder="1" applyAlignment="1">
      <alignment horizontal="right"/>
    </xf>
    <xf numFmtId="184" fontId="14" fillId="3" borderId="0" xfId="275" applyFont="1" applyFill="1" applyBorder="1" applyAlignment="1">
      <alignment horizontal="left" wrapText="1" indent="2"/>
    </xf>
    <xf numFmtId="3" fontId="289" fillId="3" borderId="0" xfId="1007" applyNumberFormat="1" applyFont="1" applyFill="1"/>
    <xf numFmtId="0" fontId="18" fillId="3" borderId="0" xfId="1012" applyFont="1" applyFill="1"/>
    <xf numFmtId="184" fontId="15" fillId="3" borderId="0" xfId="275" applyFont="1" applyFill="1" applyBorder="1" applyAlignment="1">
      <alignment horizontal="left" wrapText="1"/>
    </xf>
    <xf numFmtId="3" fontId="291" fillId="3" borderId="0" xfId="275" applyNumberFormat="1" applyFont="1" applyFill="1" applyBorder="1" applyAlignment="1">
      <alignment wrapText="1"/>
    </xf>
    <xf numFmtId="3" fontId="19" fillId="3" borderId="0" xfId="275" applyNumberFormat="1" applyFont="1" applyFill="1" applyBorder="1" applyAlignment="1">
      <alignment wrapText="1"/>
    </xf>
    <xf numFmtId="3" fontId="289" fillId="3" borderId="0" xfId="1012" applyNumberFormat="1" applyFont="1" applyFill="1"/>
    <xf numFmtId="3" fontId="300" fillId="3" borderId="0" xfId="793" applyNumberFormat="1" applyFont="1" applyFill="1"/>
    <xf numFmtId="3" fontId="300" fillId="3" borderId="28" xfId="793" applyNumberFormat="1" applyFont="1" applyFill="1" applyBorder="1"/>
    <xf numFmtId="3" fontId="299" fillId="3" borderId="0" xfId="793" applyNumberFormat="1" applyFont="1" applyFill="1"/>
    <xf numFmtId="0" fontId="299" fillId="3" borderId="0" xfId="793" applyFont="1" applyFill="1"/>
    <xf numFmtId="0" fontId="287" fillId="3" borderId="0" xfId="1008" applyFont="1" applyFill="1"/>
    <xf numFmtId="0" fontId="287" fillId="3" borderId="1" xfId="1008" applyFont="1" applyFill="1" applyBorder="1"/>
    <xf numFmtId="0" fontId="286" fillId="3" borderId="1" xfId="1008" applyFont="1" applyFill="1" applyBorder="1"/>
    <xf numFmtId="0" fontId="288" fillId="3" borderId="0" xfId="0" applyFont="1" applyFill="1" applyAlignment="1">
      <alignment horizontal="center" vertical="center"/>
    </xf>
    <xf numFmtId="0" fontId="305" fillId="3" borderId="0" xfId="0" applyFont="1" applyFill="1" applyAlignment="1">
      <alignment vertical="center"/>
    </xf>
    <xf numFmtId="0" fontId="304" fillId="3" borderId="23" xfId="0" applyFont="1" applyFill="1" applyBorder="1" applyAlignment="1" applyProtection="1">
      <alignment horizontal="left" vertical="center"/>
      <protection locked="0"/>
    </xf>
    <xf numFmtId="285" fontId="304" fillId="3" borderId="23" xfId="0" applyNumberFormat="1" applyFont="1" applyFill="1" applyBorder="1" applyAlignment="1">
      <alignment horizontal="center"/>
    </xf>
    <xf numFmtId="3" fontId="287" fillId="3" borderId="28" xfId="0" applyNumberFormat="1" applyFont="1" applyFill="1" applyBorder="1" applyAlignment="1">
      <alignment vertical="center"/>
    </xf>
    <xf numFmtId="3" fontId="287" fillId="3" borderId="0" xfId="0" applyNumberFormat="1" applyFont="1" applyFill="1" applyAlignment="1">
      <alignment vertical="center"/>
    </xf>
    <xf numFmtId="0" fontId="306" fillId="3" borderId="0" xfId="0" applyFont="1" applyFill="1" applyAlignment="1">
      <alignment horizontal="left" vertical="center" indent="1"/>
    </xf>
    <xf numFmtId="182" fontId="306" fillId="3" borderId="28" xfId="0" applyNumberFormat="1" applyFont="1" applyFill="1" applyBorder="1" applyAlignment="1">
      <alignment vertical="center"/>
    </xf>
    <xf numFmtId="182" fontId="306" fillId="3" borderId="0" xfId="0" applyNumberFormat="1" applyFont="1" applyFill="1" applyAlignment="1">
      <alignment vertical="center"/>
    </xf>
    <xf numFmtId="0" fontId="304" fillId="3" borderId="0" xfId="0" applyFont="1" applyFill="1" applyAlignment="1" applyProtection="1">
      <alignment horizontal="left" vertical="center"/>
      <protection locked="0"/>
    </xf>
    <xf numFmtId="3" fontId="304" fillId="3" borderId="28" xfId="0" applyNumberFormat="1" applyFont="1" applyFill="1" applyBorder="1" applyAlignment="1">
      <alignment vertical="center"/>
    </xf>
    <xf numFmtId="3" fontId="304" fillId="3" borderId="0" xfId="0" applyNumberFormat="1" applyFont="1" applyFill="1" applyAlignment="1">
      <alignment vertical="center"/>
    </xf>
    <xf numFmtId="10" fontId="306" fillId="3" borderId="28" xfId="0" applyNumberFormat="1" applyFont="1" applyFill="1" applyBorder="1" applyAlignment="1">
      <alignment vertical="center"/>
    </xf>
    <xf numFmtId="10" fontId="306" fillId="3" borderId="0" xfId="0" applyNumberFormat="1" applyFont="1" applyFill="1" applyAlignment="1">
      <alignment vertical="center"/>
    </xf>
    <xf numFmtId="0" fontId="287" fillId="3" borderId="0" xfId="0" applyFont="1" applyFill="1" applyAlignment="1" applyProtection="1">
      <alignment horizontal="left" vertical="center" indent="1"/>
      <protection locked="0"/>
    </xf>
    <xf numFmtId="0" fontId="306" fillId="3" borderId="0" xfId="0" applyFont="1" applyFill="1" applyAlignment="1">
      <alignment horizontal="left" vertical="center" indent="2"/>
    </xf>
    <xf numFmtId="287" fontId="306" fillId="3" borderId="28" xfId="0" applyNumberFormat="1" applyFont="1" applyFill="1" applyBorder="1" applyAlignment="1">
      <alignment vertical="center"/>
    </xf>
    <xf numFmtId="287" fontId="306" fillId="3" borderId="0" xfId="0" applyNumberFormat="1" applyFont="1" applyFill="1" applyAlignment="1">
      <alignment vertical="center"/>
    </xf>
    <xf numFmtId="211" fontId="287" fillId="3" borderId="0" xfId="0" applyNumberFormat="1" applyFont="1" applyFill="1" applyAlignment="1">
      <alignment vertical="center"/>
    </xf>
    <xf numFmtId="285" fontId="304" fillId="3" borderId="36" xfId="0" applyNumberFormat="1" applyFont="1" applyFill="1" applyBorder="1" applyAlignment="1">
      <alignment horizontal="center"/>
    </xf>
    <xf numFmtId="0" fontId="23" fillId="3" borderId="0" xfId="1005" applyFont="1" applyFill="1" applyAlignment="1">
      <alignment horizontal="left" indent="1"/>
    </xf>
    <xf numFmtId="3" fontId="23" fillId="3" borderId="0" xfId="1005" applyNumberFormat="1" applyFont="1" applyFill="1"/>
    <xf numFmtId="0" fontId="23" fillId="3" borderId="22" xfId="1005" applyFont="1" applyFill="1" applyBorder="1" applyAlignment="1">
      <alignment horizontal="left" indent="1"/>
    </xf>
    <xf numFmtId="3" fontId="23" fillId="3" borderId="22" xfId="1005" applyNumberFormat="1" applyFont="1" applyFill="1" applyBorder="1"/>
    <xf numFmtId="286" fontId="13" fillId="3" borderId="24" xfId="1006" applyNumberFormat="1" applyFont="1" applyFill="1" applyBorder="1" applyAlignment="1">
      <alignment horizontal="center"/>
    </xf>
    <xf numFmtId="286" fontId="13" fillId="3" borderId="23" xfId="1006" applyNumberFormat="1" applyFont="1" applyFill="1" applyBorder="1" applyAlignment="1">
      <alignment horizontal="center"/>
    </xf>
    <xf numFmtId="3" fontId="14" fillId="3" borderId="18" xfId="1006" applyNumberFormat="1" applyFont="1" applyFill="1" applyBorder="1"/>
    <xf numFmtId="3" fontId="14" fillId="3" borderId="19" xfId="1006" applyNumberFormat="1" applyFont="1" applyFill="1" applyBorder="1"/>
    <xf numFmtId="3" fontId="14" fillId="3" borderId="16" xfId="1006" applyNumberFormat="1" applyFont="1" applyFill="1" applyBorder="1"/>
    <xf numFmtId="3" fontId="14" fillId="3" borderId="0" xfId="1006" applyNumberFormat="1" applyFont="1" applyFill="1"/>
    <xf numFmtId="3" fontId="14" fillId="3" borderId="28" xfId="1006" applyNumberFormat="1" applyFont="1" applyFill="1" applyBorder="1"/>
    <xf numFmtId="0" fontId="13" fillId="3" borderId="36" xfId="1008" applyFont="1" applyFill="1" applyBorder="1"/>
    <xf numFmtId="0" fontId="13" fillId="3" borderId="24" xfId="1008" applyFont="1" applyFill="1" applyBorder="1" applyAlignment="1">
      <alignment horizontal="center"/>
    </xf>
    <xf numFmtId="0" fontId="13" fillId="3" borderId="23" xfId="1008" applyFont="1" applyFill="1" applyBorder="1" applyAlignment="1">
      <alignment horizontal="center"/>
    </xf>
    <xf numFmtId="0" fontId="14" fillId="3" borderId="35" xfId="1005" applyFont="1" applyFill="1" applyBorder="1" applyAlignment="1">
      <alignment horizontal="left" indent="1"/>
    </xf>
    <xf numFmtId="3" fontId="14" fillId="3" borderId="18" xfId="1008" applyNumberFormat="1" applyFont="1" applyFill="1" applyBorder="1"/>
    <xf numFmtId="3" fontId="14" fillId="3" borderId="19" xfId="1005" applyNumberFormat="1" applyFont="1" applyFill="1" applyBorder="1"/>
    <xf numFmtId="0" fontId="14" fillId="3" borderId="28" xfId="1005" applyFont="1" applyFill="1" applyBorder="1" applyAlignment="1">
      <alignment horizontal="left" indent="1"/>
    </xf>
    <xf numFmtId="3" fontId="14" fillId="3" borderId="16" xfId="1008" applyNumberFormat="1" applyFont="1" applyFill="1" applyBorder="1"/>
    <xf numFmtId="3" fontId="14" fillId="3" borderId="0" xfId="1005" applyNumberFormat="1" applyFont="1" applyFill="1"/>
    <xf numFmtId="3" fontId="14" fillId="3" borderId="0" xfId="1005" applyNumberFormat="1" applyFont="1" applyFill="1" applyAlignment="1">
      <alignment horizontal="right"/>
    </xf>
    <xf numFmtId="3" fontId="14" fillId="3" borderId="28" xfId="1005" applyNumberFormat="1" applyFont="1" applyFill="1" applyBorder="1" applyAlignment="1">
      <alignment horizontal="right"/>
    </xf>
    <xf numFmtId="0" fontId="284" fillId="3" borderId="0" xfId="1008" applyFont="1" applyFill="1" applyAlignment="1">
      <alignment horizontal="center"/>
    </xf>
    <xf numFmtId="3" fontId="14" fillId="3" borderId="16" xfId="1005" applyNumberFormat="1" applyFont="1" applyFill="1" applyBorder="1" applyAlignment="1">
      <alignment horizontal="right"/>
    </xf>
    <xf numFmtId="3" fontId="13" fillId="3" borderId="32" xfId="1005" applyNumberFormat="1" applyFont="1" applyFill="1" applyBorder="1" applyAlignment="1">
      <alignment horizontal="right"/>
    </xf>
    <xf numFmtId="3" fontId="13" fillId="3" borderId="30" xfId="1005" applyNumberFormat="1" applyFont="1" applyFill="1" applyBorder="1" applyAlignment="1">
      <alignment horizontal="right"/>
    </xf>
    <xf numFmtId="3" fontId="13" fillId="3" borderId="31" xfId="1005" applyNumberFormat="1" applyFont="1" applyFill="1" applyBorder="1" applyAlignment="1">
      <alignment horizontal="right"/>
    </xf>
    <xf numFmtId="0" fontId="14" fillId="3" borderId="15" xfId="1008" applyFont="1" applyFill="1" applyBorder="1"/>
    <xf numFmtId="0" fontId="14" fillId="3" borderId="0" xfId="1006" applyFont="1" applyFill="1"/>
    <xf numFmtId="3" fontId="13" fillId="3" borderId="19" xfId="1005" applyNumberFormat="1" applyFont="1" applyFill="1" applyBorder="1" applyAlignment="1">
      <alignment horizontal="right"/>
    </xf>
    <xf numFmtId="3" fontId="13" fillId="3" borderId="0" xfId="1006" applyNumberFormat="1" applyFont="1" applyFill="1"/>
    <xf numFmtId="0" fontId="14" fillId="3" borderId="0" xfId="1006" applyFont="1" applyFill="1" applyAlignment="1">
      <alignment horizontal="center"/>
    </xf>
    <xf numFmtId="10" fontId="13" fillId="3" borderId="32" xfId="22" applyNumberFormat="1" applyFont="1" applyFill="1" applyBorder="1" applyAlignment="1">
      <alignment horizontal="right"/>
    </xf>
    <xf numFmtId="10" fontId="13" fillId="3" borderId="31" xfId="22" applyNumberFormat="1" applyFont="1" applyFill="1" applyBorder="1" applyAlignment="1">
      <alignment horizontal="right"/>
    </xf>
    <xf numFmtId="2" fontId="10" fillId="3" borderId="0" xfId="1005" applyNumberFormat="1" applyFont="1" applyFill="1" applyAlignment="1">
      <alignment horizontal="right"/>
    </xf>
    <xf numFmtId="2" fontId="10" fillId="3" borderId="16" xfId="1005" applyNumberFormat="1" applyFont="1" applyFill="1" applyBorder="1" applyAlignment="1">
      <alignment horizontal="right"/>
    </xf>
    <xf numFmtId="2" fontId="10" fillId="3" borderId="22" xfId="1005" applyNumberFormat="1" applyFont="1" applyFill="1" applyBorder="1" applyAlignment="1">
      <alignment horizontal="right"/>
    </xf>
    <xf numFmtId="2" fontId="10" fillId="3" borderId="21" xfId="1005" applyNumberFormat="1" applyFont="1" applyFill="1" applyBorder="1" applyAlignment="1">
      <alignment horizontal="right"/>
    </xf>
    <xf numFmtId="9" fontId="10" fillId="3" borderId="0" xfId="22" applyFont="1" applyFill="1" applyBorder="1" applyAlignment="1">
      <alignment horizontal="right"/>
    </xf>
    <xf numFmtId="2" fontId="10" fillId="3" borderId="0" xfId="1005" applyNumberFormat="1" applyFont="1" applyFill="1"/>
    <xf numFmtId="2" fontId="10" fillId="3" borderId="0" xfId="1005" applyNumberFormat="1" applyFont="1" applyFill="1" applyAlignment="1">
      <alignment horizontal="center"/>
    </xf>
    <xf numFmtId="10" fontId="14" fillId="3" borderId="19" xfId="1006" applyNumberFormat="1" applyFont="1" applyFill="1" applyBorder="1" applyAlignment="1">
      <alignment horizontal="right"/>
    </xf>
    <xf numFmtId="10" fontId="14" fillId="3" borderId="18" xfId="1006" applyNumberFormat="1" applyFont="1" applyFill="1" applyBorder="1" applyAlignment="1">
      <alignment horizontal="right"/>
    </xf>
    <xf numFmtId="10" fontId="14" fillId="3" borderId="0" xfId="1006" applyNumberFormat="1" applyFont="1" applyFill="1" applyAlignment="1">
      <alignment horizontal="right"/>
    </xf>
    <xf numFmtId="10" fontId="14" fillId="3" borderId="16" xfId="1006" applyNumberFormat="1" applyFont="1" applyFill="1" applyBorder="1" applyAlignment="1">
      <alignment horizontal="right"/>
    </xf>
    <xf numFmtId="3" fontId="14" fillId="3" borderId="0" xfId="1006" applyNumberFormat="1" applyFont="1" applyFill="1" applyAlignment="1">
      <alignment horizontal="right"/>
    </xf>
    <xf numFmtId="3" fontId="14" fillId="3" borderId="16" xfId="1008" applyNumberFormat="1" applyFont="1" applyFill="1" applyBorder="1" applyAlignment="1">
      <alignment horizontal="right"/>
    </xf>
    <xf numFmtId="286" fontId="24" fillId="3" borderId="23" xfId="1006" applyNumberFormat="1" applyFont="1" applyFill="1" applyBorder="1" applyAlignment="1">
      <alignment horizontal="center"/>
    </xf>
    <xf numFmtId="0" fontId="23" fillId="3" borderId="0" xfId="1008" applyFont="1" applyFill="1"/>
    <xf numFmtId="3" fontId="23" fillId="3" borderId="0" xfId="1008" applyNumberFormat="1" applyFont="1" applyFill="1"/>
    <xf numFmtId="3" fontId="23" fillId="3" borderId="19" xfId="1006" applyNumberFormat="1" applyFont="1" applyFill="1" applyBorder="1"/>
    <xf numFmtId="3" fontId="23" fillId="3" borderId="0" xfId="1006" applyNumberFormat="1" applyFont="1" applyFill="1"/>
    <xf numFmtId="0" fontId="14" fillId="3" borderId="0" xfId="1006" applyFont="1" applyFill="1" applyProtection="1">
      <protection locked="0"/>
    </xf>
    <xf numFmtId="3" fontId="14" fillId="4" borderId="0" xfId="1007" applyNumberFormat="1" applyFont="1" applyFill="1"/>
    <xf numFmtId="3" fontId="287" fillId="3" borderId="0" xfId="793" applyNumberFormat="1" applyFont="1" applyFill="1"/>
    <xf numFmtId="3" fontId="293" fillId="3" borderId="22" xfId="793" applyNumberFormat="1" applyFont="1" applyFill="1" applyBorder="1"/>
    <xf numFmtId="3" fontId="293" fillId="3" borderId="40" xfId="793" applyNumberFormat="1" applyFont="1" applyFill="1" applyBorder="1"/>
    <xf numFmtId="3" fontId="285" fillId="4" borderId="22" xfId="793" applyNumberFormat="1" applyFont="1" applyFill="1" applyBorder="1"/>
    <xf numFmtId="3" fontId="287" fillId="3" borderId="22" xfId="793" applyNumberFormat="1" applyFont="1" applyFill="1" applyBorder="1"/>
    <xf numFmtId="0" fontId="25" fillId="3" borderId="0" xfId="793" applyFont="1" applyFill="1" applyAlignment="1">
      <alignment horizontal="left" indent="1"/>
    </xf>
    <xf numFmtId="0" fontId="299" fillId="3" borderId="0" xfId="793" applyFont="1" applyFill="1" applyAlignment="1">
      <alignment horizontal="left" indent="1"/>
    </xf>
    <xf numFmtId="3" fontId="299" fillId="4" borderId="0" xfId="793" applyNumberFormat="1" applyFont="1" applyFill="1"/>
    <xf numFmtId="182" fontId="299" fillId="3" borderId="0" xfId="22" applyNumberFormat="1" applyFont="1" applyFill="1" applyAlignment="1">
      <alignment horizontal="left" indent="1"/>
    </xf>
    <xf numFmtId="0" fontId="310" fillId="3" borderId="0" xfId="793" applyFont="1" applyFill="1"/>
    <xf numFmtId="1" fontId="299" fillId="4" borderId="0" xfId="793" applyNumberFormat="1" applyFont="1" applyFill="1"/>
    <xf numFmtId="1" fontId="299" fillId="3" borderId="0" xfId="793" applyNumberFormat="1" applyFont="1" applyFill="1"/>
    <xf numFmtId="211" fontId="300" fillId="3" borderId="0" xfId="793" applyNumberFormat="1" applyFont="1" applyFill="1"/>
    <xf numFmtId="211" fontId="300" fillId="3" borderId="28" xfId="793" applyNumberFormat="1" applyFont="1" applyFill="1" applyBorder="1"/>
    <xf numFmtId="211" fontId="299" fillId="4" borderId="0" xfId="793" applyNumberFormat="1" applyFont="1" applyFill="1"/>
    <xf numFmtId="211" fontId="299" fillId="3" borderId="0" xfId="793" applyNumberFormat="1" applyFont="1" applyFill="1"/>
    <xf numFmtId="0" fontId="311" fillId="2" borderId="28" xfId="1006" applyFont="1" applyFill="1" applyBorder="1"/>
    <xf numFmtId="3" fontId="286" fillId="3" borderId="28" xfId="1007" applyNumberFormat="1" applyFont="1" applyFill="1" applyBorder="1"/>
    <xf numFmtId="0" fontId="25" fillId="3" borderId="22" xfId="793" applyFont="1" applyFill="1" applyBorder="1" applyAlignment="1">
      <alignment horizontal="left" indent="1"/>
    </xf>
    <xf numFmtId="3" fontId="25" fillId="3" borderId="22" xfId="793" applyNumberFormat="1" applyFont="1" applyFill="1" applyBorder="1"/>
    <xf numFmtId="9" fontId="20" fillId="3" borderId="0" xfId="22" applyFont="1" applyFill="1"/>
    <xf numFmtId="9" fontId="25" fillId="3" borderId="0" xfId="22" applyFont="1" applyFill="1" applyBorder="1" applyAlignment="1">
      <alignment horizontal="left" indent="1"/>
    </xf>
    <xf numFmtId="9" fontId="293" fillId="3" borderId="0" xfId="22" applyFont="1" applyFill="1" applyBorder="1"/>
    <xf numFmtId="9" fontId="25" fillId="3" borderId="0" xfId="22" applyFont="1" applyFill="1"/>
    <xf numFmtId="9" fontId="25" fillId="3" borderId="22" xfId="22" applyFont="1" applyFill="1" applyBorder="1" applyAlignment="1">
      <alignment horizontal="left" indent="1"/>
    </xf>
    <xf numFmtId="9" fontId="293" fillId="3" borderId="22" xfId="22" applyFont="1" applyFill="1" applyBorder="1"/>
    <xf numFmtId="10" fontId="25" fillId="3" borderId="0" xfId="22" applyNumberFormat="1" applyFont="1" applyFill="1" applyBorder="1"/>
    <xf numFmtId="10" fontId="25" fillId="3" borderId="22" xfId="22" applyNumberFormat="1" applyFont="1" applyFill="1" applyBorder="1"/>
    <xf numFmtId="10" fontId="25" fillId="4" borderId="0" xfId="22" applyNumberFormat="1" applyFont="1" applyFill="1" applyBorder="1"/>
    <xf numFmtId="10" fontId="25" fillId="4" borderId="22" xfId="22" applyNumberFormat="1" applyFont="1" applyFill="1" applyBorder="1"/>
    <xf numFmtId="0" fontId="288" fillId="2" borderId="28" xfId="1005" applyFont="1" applyFill="1" applyBorder="1" applyAlignment="1">
      <alignment horizontal="left" indent="1"/>
    </xf>
    <xf numFmtId="0" fontId="312" fillId="2" borderId="28" xfId="1006" applyFont="1" applyFill="1" applyBorder="1"/>
    <xf numFmtId="3" fontId="312" fillId="2" borderId="16" xfId="1006" applyNumberFormat="1" applyFont="1" applyFill="1" applyBorder="1"/>
    <xf numFmtId="3" fontId="312" fillId="3" borderId="0" xfId="1006" applyNumberFormat="1" applyFont="1" applyFill="1"/>
    <xf numFmtId="3" fontId="312" fillId="3" borderId="16" xfId="1006" applyNumberFormat="1" applyFont="1" applyFill="1" applyBorder="1"/>
    <xf numFmtId="0" fontId="312" fillId="3" borderId="0" xfId="1008" applyFont="1" applyFill="1"/>
    <xf numFmtId="0" fontId="312" fillId="2" borderId="0" xfId="1008" applyFont="1" applyFill="1"/>
    <xf numFmtId="0" fontId="304" fillId="0" borderId="36" xfId="1006" applyFont="1" applyBorder="1"/>
    <xf numFmtId="3" fontId="14" fillId="2" borderId="0" xfId="1008" applyNumberFormat="1" applyFont="1" applyFill="1"/>
    <xf numFmtId="285" fontId="304" fillId="3" borderId="104" xfId="0" applyNumberFormat="1" applyFont="1" applyFill="1" applyBorder="1" applyAlignment="1">
      <alignment horizontal="center"/>
    </xf>
    <xf numFmtId="3" fontId="293" fillId="3" borderId="38" xfId="793" applyNumberFormat="1" applyFont="1" applyFill="1" applyBorder="1"/>
    <xf numFmtId="0" fontId="297" fillId="3" borderId="38" xfId="793" applyFont="1" applyFill="1" applyBorder="1" applyAlignment="1">
      <alignment horizontal="left" indent="1"/>
    </xf>
    <xf numFmtId="211" fontId="293" fillId="3" borderId="38" xfId="793" applyNumberFormat="1" applyFont="1" applyFill="1" applyBorder="1"/>
    <xf numFmtId="211" fontId="293" fillId="3" borderId="37" xfId="793" applyNumberFormat="1" applyFont="1" applyFill="1" applyBorder="1"/>
    <xf numFmtId="211" fontId="25" fillId="4" borderId="38" xfId="793" applyNumberFormat="1" applyFont="1" applyFill="1" applyBorder="1"/>
    <xf numFmtId="211" fontId="25" fillId="3" borderId="38" xfId="793" applyNumberFormat="1" applyFont="1" applyFill="1" applyBorder="1"/>
    <xf numFmtId="211" fontId="292" fillId="4" borderId="38" xfId="793" applyNumberFormat="1" applyFont="1" applyFill="1" applyBorder="1"/>
    <xf numFmtId="0" fontId="0" fillId="82" borderId="0" xfId="0" applyFill="1"/>
    <xf numFmtId="182" fontId="0" fillId="3" borderId="0" xfId="22" applyNumberFormat="1" applyFont="1" applyFill="1"/>
    <xf numFmtId="0" fontId="303" fillId="81" borderId="19" xfId="0" applyFont="1" applyFill="1" applyBorder="1" applyAlignment="1">
      <alignment horizontal="left" vertical="center"/>
    </xf>
    <xf numFmtId="3" fontId="303" fillId="81" borderId="19" xfId="0" applyNumberFormat="1" applyFont="1" applyFill="1" applyBorder="1" applyAlignment="1">
      <alignment vertical="center"/>
    </xf>
    <xf numFmtId="3" fontId="304" fillId="3" borderId="120" xfId="0" applyNumberFormat="1" applyFont="1" applyFill="1" applyBorder="1" applyAlignment="1">
      <alignment vertical="center"/>
    </xf>
    <xf numFmtId="3" fontId="304" fillId="3" borderId="119" xfId="0" applyNumberFormat="1" applyFont="1" applyFill="1" applyBorder="1" applyAlignment="1">
      <alignment vertical="center"/>
    </xf>
    <xf numFmtId="0" fontId="287" fillId="3" borderId="0" xfId="0" applyFont="1" applyFill="1" applyAlignment="1" applyProtection="1">
      <alignment horizontal="left" vertical="center" indent="2"/>
      <protection locked="0"/>
    </xf>
    <xf numFmtId="0" fontId="304" fillId="3" borderId="119" xfId="0" applyFont="1" applyFill="1" applyBorder="1" applyAlignment="1" applyProtection="1">
      <alignment horizontal="left" vertical="center" indent="1"/>
      <protection locked="0"/>
    </xf>
    <xf numFmtId="0" fontId="287" fillId="3" borderId="22" xfId="0" applyFont="1" applyFill="1" applyBorder="1" applyAlignment="1" applyProtection="1">
      <alignment horizontal="left" vertical="center" indent="1"/>
      <protection locked="0"/>
    </xf>
    <xf numFmtId="3" fontId="287" fillId="3" borderId="22" xfId="0" applyNumberFormat="1" applyFont="1" applyFill="1" applyBorder="1" applyAlignment="1">
      <alignment vertical="center"/>
    </xf>
    <xf numFmtId="3" fontId="287" fillId="3" borderId="40" xfId="0" applyNumberFormat="1" applyFont="1" applyFill="1" applyBorder="1" applyAlignment="1">
      <alignment vertical="center"/>
    </xf>
    <xf numFmtId="0" fontId="317" fillId="3" borderId="0" xfId="0" applyFont="1" applyFill="1" applyAlignment="1">
      <alignment vertical="center"/>
    </xf>
    <xf numFmtId="0" fontId="15" fillId="3" borderId="1" xfId="1008" applyFont="1" applyFill="1" applyBorder="1" applyAlignment="1">
      <alignment horizontal="right"/>
    </xf>
    <xf numFmtId="0" fontId="15" fillId="3" borderId="1" xfId="1008" applyFont="1" applyFill="1" applyBorder="1"/>
    <xf numFmtId="0" fontId="288" fillId="7" borderId="115" xfId="0" applyFont="1" applyFill="1" applyBorder="1" applyAlignment="1">
      <alignment vertical="center"/>
    </xf>
    <xf numFmtId="10" fontId="288" fillId="8" borderId="115" xfId="0" applyNumberFormat="1" applyFont="1" applyFill="1" applyBorder="1" applyAlignment="1">
      <alignment horizontal="right" vertical="center"/>
    </xf>
    <xf numFmtId="14" fontId="287" fillId="4" borderId="19" xfId="0" applyNumberFormat="1" applyFont="1" applyFill="1" applyBorder="1" applyAlignment="1">
      <alignment horizontal="right"/>
    </xf>
    <xf numFmtId="0" fontId="14" fillId="3" borderId="0" xfId="0" applyFont="1" applyFill="1" applyAlignment="1" applyProtection="1">
      <alignment horizontal="left" vertical="center"/>
      <protection locked="0"/>
    </xf>
    <xf numFmtId="0" fontId="14" fillId="3" borderId="19" xfId="0" applyFont="1" applyFill="1" applyBorder="1" applyAlignment="1" applyProtection="1">
      <alignment horizontal="left" vertical="center"/>
      <protection locked="0"/>
    </xf>
    <xf numFmtId="0" fontId="305" fillId="81" borderId="115" xfId="0" applyFont="1" applyFill="1" applyBorder="1" applyAlignment="1">
      <alignment horizontal="left" vertical="center"/>
    </xf>
    <xf numFmtId="3" fontId="305" fillId="81" borderId="115" xfId="0" applyNumberFormat="1" applyFont="1" applyFill="1" applyBorder="1" applyAlignment="1">
      <alignment vertical="center"/>
    </xf>
    <xf numFmtId="0" fontId="47" fillId="3" borderId="0" xfId="0" applyFont="1" applyFill="1"/>
    <xf numFmtId="3" fontId="14" fillId="3" borderId="0" xfId="1008" applyNumberFormat="1" applyFont="1" applyFill="1"/>
    <xf numFmtId="0" fontId="10" fillId="3" borderId="0" xfId="0" applyFont="1" applyFill="1" applyAlignment="1">
      <alignment vertical="center"/>
    </xf>
    <xf numFmtId="49" fontId="0" fillId="3" borderId="0" xfId="0" applyNumberFormat="1" applyFill="1"/>
    <xf numFmtId="9" fontId="14" fillId="3" borderId="0" xfId="1008" applyNumberFormat="1" applyFont="1" applyFill="1"/>
    <xf numFmtId="0" fontId="0" fillId="0" borderId="109" xfId="0" applyBorder="1"/>
    <xf numFmtId="49" fontId="0" fillId="0" borderId="109" xfId="1459" applyNumberFormat="1" applyFont="1" applyBorder="1"/>
    <xf numFmtId="165" fontId="0" fillId="83" borderId="45" xfId="1459" applyFont="1" applyFill="1" applyBorder="1" applyAlignment="1">
      <alignment horizontal="center" vertical="center" wrapText="1"/>
    </xf>
    <xf numFmtId="165" fontId="0" fillId="83" borderId="46" xfId="1459" applyFont="1" applyFill="1" applyBorder="1" applyAlignment="1">
      <alignment horizontal="center" vertical="center" wrapText="1"/>
    </xf>
    <xf numFmtId="165" fontId="0" fillId="85" borderId="27" xfId="1459" applyFont="1" applyFill="1" applyBorder="1" applyAlignment="1">
      <alignment horizontal="center" vertical="center" wrapText="1"/>
    </xf>
    <xf numFmtId="165" fontId="0" fillId="86" borderId="45" xfId="1459" applyFont="1" applyFill="1" applyBorder="1" applyAlignment="1">
      <alignment horizontal="center" vertical="center" wrapText="1"/>
    </xf>
    <xf numFmtId="165" fontId="0" fillId="86" borderId="46" xfId="1459" applyFont="1" applyFill="1" applyBorder="1" applyAlignment="1">
      <alignment horizontal="center" vertical="center" wrapText="1"/>
    </xf>
    <xf numFmtId="165" fontId="0" fillId="87" borderId="27" xfId="1459" applyFont="1" applyFill="1" applyBorder="1" applyAlignment="1">
      <alignment horizontal="center" vertical="center" wrapText="1"/>
    </xf>
    <xf numFmtId="165" fontId="0" fillId="88" borderId="45" xfId="1459" applyFont="1" applyFill="1" applyBorder="1" applyAlignment="1">
      <alignment horizontal="center" vertical="center" wrapText="1"/>
    </xf>
    <xf numFmtId="0" fontId="0" fillId="0" borderId="27" xfId="0" applyBorder="1"/>
    <xf numFmtId="0" fontId="322" fillId="0" borderId="110" xfId="0" applyFont="1" applyBorder="1"/>
    <xf numFmtId="49" fontId="322" fillId="0" borderId="110" xfId="1459" applyNumberFormat="1" applyFont="1" applyBorder="1" applyAlignment="1">
      <alignment horizontal="center" vertical="center" wrapText="1"/>
    </xf>
    <xf numFmtId="0" fontId="322" fillId="0" borderId="0" xfId="0" applyFont="1"/>
    <xf numFmtId="49" fontId="322" fillId="0" borderId="111" xfId="1459" applyNumberFormat="1" applyFont="1" applyBorder="1" applyAlignment="1">
      <alignment horizontal="center" vertical="top" wrapText="1"/>
    </xf>
    <xf numFmtId="165" fontId="0" fillId="83" borderId="112" xfId="1459" applyFont="1" applyFill="1" applyBorder="1" applyAlignment="1">
      <alignment horizontal="center" vertical="center" wrapText="1"/>
    </xf>
    <xf numFmtId="165" fontId="0" fillId="83" borderId="113" xfId="1459" applyFont="1" applyFill="1" applyBorder="1" applyAlignment="1">
      <alignment horizontal="center" vertical="center" wrapText="1"/>
    </xf>
    <xf numFmtId="165" fontId="0" fillId="85" borderId="123" xfId="1459" applyFont="1" applyFill="1" applyBorder="1" applyAlignment="1">
      <alignment horizontal="center" vertical="center" wrapText="1"/>
    </xf>
    <xf numFmtId="165" fontId="0" fillId="85" borderId="124" xfId="1459" applyFont="1" applyFill="1" applyBorder="1" applyAlignment="1">
      <alignment horizontal="center" vertical="center" wrapText="1"/>
    </xf>
    <xf numFmtId="165" fontId="0" fillId="86" borderId="112" xfId="1459" applyFont="1" applyFill="1" applyBorder="1" applyAlignment="1">
      <alignment horizontal="center" vertical="center" wrapText="1"/>
    </xf>
    <xf numFmtId="165" fontId="0" fillId="86" borderId="113" xfId="1459" applyFont="1" applyFill="1" applyBorder="1" applyAlignment="1">
      <alignment horizontal="center" vertical="center" wrapText="1"/>
    </xf>
    <xf numFmtId="165" fontId="0" fillId="87" borderId="123" xfId="1459" applyFont="1" applyFill="1" applyBorder="1" applyAlignment="1">
      <alignment horizontal="center" vertical="center" wrapText="1"/>
    </xf>
    <xf numFmtId="165" fontId="0" fillId="87" borderId="124" xfId="1459" applyFont="1" applyFill="1" applyBorder="1" applyAlignment="1">
      <alignment horizontal="center" vertical="center" wrapText="1"/>
    </xf>
    <xf numFmtId="165" fontId="0" fillId="88" borderId="112" xfId="1459" applyFont="1" applyFill="1" applyBorder="1" applyAlignment="1">
      <alignment horizontal="center" vertical="center" wrapText="1"/>
    </xf>
    <xf numFmtId="0" fontId="0" fillId="0" borderId="1" xfId="0" applyBorder="1"/>
    <xf numFmtId="0" fontId="322" fillId="0" borderId="125" xfId="0" applyFont="1" applyBorder="1"/>
    <xf numFmtId="0" fontId="0" fillId="0" borderId="125" xfId="0" applyBorder="1"/>
    <xf numFmtId="0" fontId="322" fillId="0" borderId="126" xfId="0" applyFont="1" applyBorder="1"/>
    <xf numFmtId="49" fontId="0" fillId="0" borderId="110" xfId="1459" applyNumberFormat="1" applyFont="1" applyBorder="1"/>
    <xf numFmtId="0" fontId="0" fillId="0" borderId="110" xfId="0" applyBorder="1"/>
    <xf numFmtId="165" fontId="0" fillId="83" borderId="68" xfId="1459" applyFont="1" applyFill="1" applyBorder="1" applyAlignment="1">
      <alignment horizontal="center" vertical="center" wrapText="1"/>
    </xf>
    <xf numFmtId="165" fontId="0" fillId="83" borderId="63" xfId="1459" applyFont="1" applyFill="1" applyBorder="1" applyAlignment="1">
      <alignment horizontal="center" vertical="center" wrapText="1"/>
    </xf>
    <xf numFmtId="165" fontId="0" fillId="85" borderId="0" xfId="1459" applyFont="1" applyFill="1" applyAlignment="1">
      <alignment horizontal="center" vertical="center" wrapText="1"/>
    </xf>
    <xf numFmtId="165" fontId="0" fillId="86" borderId="68" xfId="1459" applyFont="1" applyFill="1" applyBorder="1" applyAlignment="1">
      <alignment horizontal="center" vertical="center" wrapText="1"/>
    </xf>
    <xf numFmtId="165" fontId="0" fillId="86" borderId="63" xfId="1459" applyFont="1" applyFill="1" applyBorder="1" applyAlignment="1">
      <alignment horizontal="center" vertical="center" wrapText="1"/>
    </xf>
    <xf numFmtId="165" fontId="0" fillId="87" borderId="0" xfId="1459" applyFont="1" applyFill="1" applyAlignment="1">
      <alignment horizontal="center" vertical="center" wrapText="1"/>
    </xf>
    <xf numFmtId="165" fontId="0" fillId="88" borderId="68" xfId="1459" applyFont="1" applyFill="1" applyBorder="1" applyAlignment="1">
      <alignment horizontal="center" vertical="center" wrapText="1"/>
    </xf>
    <xf numFmtId="49" fontId="0" fillId="0" borderId="45" xfId="1459" applyNumberFormat="1" applyFont="1" applyBorder="1"/>
    <xf numFmtId="49" fontId="322" fillId="0" borderId="68" xfId="1459" applyNumberFormat="1" applyFont="1" applyBorder="1" applyAlignment="1">
      <alignment horizontal="center" vertical="center" wrapText="1"/>
    </xf>
    <xf numFmtId="49" fontId="322" fillId="0" borderId="47" xfId="1459" applyNumberFormat="1" applyFont="1" applyBorder="1" applyAlignment="1">
      <alignment horizontal="center" vertical="top" wrapText="1"/>
    </xf>
    <xf numFmtId="49" fontId="0" fillId="0" borderId="68" xfId="1459" applyNumberFormat="1" applyFont="1" applyBorder="1"/>
    <xf numFmtId="0" fontId="47" fillId="0" borderId="111" xfId="0" applyFont="1" applyBorder="1"/>
    <xf numFmtId="0" fontId="0" fillId="0" borderId="127" xfId="0" applyBorder="1"/>
    <xf numFmtId="49" fontId="0" fillId="0" borderId="127" xfId="1459" applyNumberFormat="1" applyFont="1" applyBorder="1" applyProtection="1"/>
    <xf numFmtId="49" fontId="0" fillId="0" borderId="128" xfId="1459" applyNumberFormat="1" applyFont="1" applyBorder="1" applyProtection="1"/>
    <xf numFmtId="165" fontId="0" fillId="83" borderId="129" xfId="1459" applyFont="1" applyFill="1" applyBorder="1" applyAlignment="1">
      <alignment horizontal="center" vertical="center" wrapText="1"/>
    </xf>
    <xf numFmtId="165" fontId="0" fillId="83" borderId="130" xfId="1459" applyFont="1" applyFill="1" applyBorder="1" applyAlignment="1">
      <alignment horizontal="center" vertical="center" wrapText="1"/>
    </xf>
    <xf numFmtId="165" fontId="0" fillId="85" borderId="131" xfId="1459" applyFont="1" applyFill="1" applyBorder="1" applyAlignment="1">
      <alignment horizontal="center" vertical="center" wrapText="1"/>
    </xf>
    <xf numFmtId="165" fontId="0" fillId="85" borderId="132" xfId="1459" applyFont="1" applyFill="1" applyBorder="1" applyAlignment="1">
      <alignment horizontal="center" vertical="center" wrapText="1"/>
    </xf>
    <xf numFmtId="165" fontId="0" fillId="86" borderId="129" xfId="1459" applyFont="1" applyFill="1" applyBorder="1" applyAlignment="1">
      <alignment horizontal="center" vertical="center" wrapText="1"/>
    </xf>
    <xf numFmtId="165" fontId="0" fillId="86" borderId="130" xfId="1459" applyFont="1" applyFill="1" applyBorder="1" applyAlignment="1">
      <alignment horizontal="center" vertical="center" wrapText="1"/>
    </xf>
    <xf numFmtId="165" fontId="0" fillId="87" borderId="131" xfId="1459" applyFont="1" applyFill="1" applyBorder="1" applyAlignment="1">
      <alignment horizontal="center" vertical="center" wrapText="1"/>
    </xf>
    <xf numFmtId="165" fontId="0" fillId="87" borderId="132" xfId="1459" applyFont="1" applyFill="1" applyBorder="1" applyAlignment="1">
      <alignment horizontal="center" vertical="center" wrapText="1"/>
    </xf>
    <xf numFmtId="165" fontId="0" fillId="88" borderId="129" xfId="1459" applyFont="1" applyFill="1" applyBorder="1" applyAlignment="1">
      <alignment horizontal="center" vertical="center" wrapText="1"/>
    </xf>
    <xf numFmtId="0" fontId="0" fillId="0" borderId="133" xfId="0" applyBorder="1"/>
    <xf numFmtId="49" fontId="0" fillId="0" borderId="133" xfId="1459" applyNumberFormat="1" applyFont="1" applyBorder="1" applyProtection="1"/>
    <xf numFmtId="49" fontId="0" fillId="0" borderId="134" xfId="1459" applyNumberFormat="1" applyFont="1" applyBorder="1" applyProtection="1"/>
    <xf numFmtId="165" fontId="0" fillId="83" borderId="135" xfId="1459" applyFont="1" applyFill="1" applyBorder="1" applyAlignment="1">
      <alignment horizontal="center" vertical="center" wrapText="1"/>
    </xf>
    <xf numFmtId="165" fontId="0" fillId="83" borderId="136" xfId="1459" applyFont="1" applyFill="1" applyBorder="1" applyAlignment="1">
      <alignment horizontal="center" vertical="center" wrapText="1"/>
    </xf>
    <xf numFmtId="165" fontId="0" fillId="85" borderId="29" xfId="1459" applyFont="1" applyFill="1" applyBorder="1" applyAlignment="1">
      <alignment horizontal="center" vertical="center" wrapText="1"/>
    </xf>
    <xf numFmtId="165" fontId="0" fillId="85" borderId="137" xfId="1459" applyFont="1" applyFill="1" applyBorder="1" applyAlignment="1">
      <alignment horizontal="center" vertical="center" wrapText="1"/>
    </xf>
    <xf numFmtId="165" fontId="0" fillId="86" borderId="135" xfId="1459" applyFont="1" applyFill="1" applyBorder="1" applyAlignment="1">
      <alignment horizontal="center" vertical="center" wrapText="1"/>
    </xf>
    <xf numFmtId="165" fontId="0" fillId="86" borderId="136" xfId="1459" applyFont="1" applyFill="1" applyBorder="1" applyAlignment="1">
      <alignment horizontal="center" vertical="center" wrapText="1"/>
    </xf>
    <xf numFmtId="165" fontId="0" fillId="87" borderId="29" xfId="1459" applyFont="1" applyFill="1" applyBorder="1" applyAlignment="1">
      <alignment horizontal="center" vertical="center" wrapText="1"/>
    </xf>
    <xf numFmtId="165" fontId="0" fillId="87" borderId="137" xfId="1459" applyFont="1" applyFill="1" applyBorder="1" applyAlignment="1">
      <alignment horizontal="center" vertical="center" wrapText="1"/>
    </xf>
    <xf numFmtId="165" fontId="0" fillId="88" borderId="135" xfId="1459" applyFont="1" applyFill="1" applyBorder="1" applyAlignment="1">
      <alignment horizontal="center" vertical="center" wrapText="1"/>
    </xf>
    <xf numFmtId="49" fontId="47" fillId="0" borderId="134" xfId="1459" applyNumberFormat="1" applyFont="1" applyBorder="1" applyProtection="1"/>
    <xf numFmtId="165" fontId="0" fillId="83" borderId="134" xfId="1459" applyFont="1" applyFill="1" applyBorder="1" applyAlignment="1">
      <alignment horizontal="center" vertical="center" wrapText="1"/>
    </xf>
    <xf numFmtId="165" fontId="0" fillId="83" borderId="138" xfId="1459" applyFont="1" applyFill="1" applyBorder="1" applyAlignment="1">
      <alignment horizontal="center" vertical="center" wrapText="1"/>
    </xf>
    <xf numFmtId="165" fontId="0" fillId="85" borderId="32" xfId="1459" applyFont="1" applyFill="1" applyBorder="1" applyAlignment="1">
      <alignment horizontal="center" vertical="center" wrapText="1"/>
    </xf>
    <xf numFmtId="165" fontId="0" fillId="86" borderId="134" xfId="1459" applyFont="1" applyFill="1" applyBorder="1" applyAlignment="1">
      <alignment horizontal="center" vertical="center" wrapText="1"/>
    </xf>
    <xf numFmtId="165" fontId="0" fillId="86" borderId="138" xfId="1459" applyFont="1" applyFill="1" applyBorder="1" applyAlignment="1">
      <alignment horizontal="center" vertical="center" wrapText="1"/>
    </xf>
    <xf numFmtId="165" fontId="0" fillId="87" borderId="32" xfId="1459" applyFont="1" applyFill="1" applyBorder="1" applyAlignment="1">
      <alignment horizontal="center" vertical="center" wrapText="1"/>
    </xf>
    <xf numFmtId="165" fontId="0" fillId="88" borderId="134" xfId="1459" applyFont="1" applyFill="1" applyBorder="1" applyAlignment="1">
      <alignment horizontal="center" vertical="center" wrapText="1"/>
    </xf>
    <xf numFmtId="49" fontId="0" fillId="0" borderId="133" xfId="1459" applyNumberFormat="1" applyFont="1" applyBorder="1"/>
    <xf numFmtId="49" fontId="0" fillId="0" borderId="134" xfId="1459" applyNumberFormat="1" applyFont="1" applyBorder="1"/>
    <xf numFmtId="49" fontId="47" fillId="0" borderId="134" xfId="1459" applyNumberFormat="1" applyFont="1" applyBorder="1"/>
    <xf numFmtId="165" fontId="0" fillId="0" borderId="133" xfId="1459" applyFont="1" applyBorder="1" applyProtection="1"/>
    <xf numFmtId="165" fontId="0" fillId="88" borderId="27" xfId="1459" applyFont="1" applyFill="1" applyBorder="1" applyAlignment="1">
      <alignment horizontal="center" vertical="center" wrapText="1"/>
    </xf>
    <xf numFmtId="165" fontId="0" fillId="88" borderId="139" xfId="1459" applyFont="1" applyFill="1" applyBorder="1" applyAlignment="1">
      <alignment horizontal="center" vertical="center" wrapText="1"/>
    </xf>
    <xf numFmtId="165" fontId="0" fillId="88" borderId="132" xfId="1459" applyFont="1" applyFill="1" applyBorder="1" applyAlignment="1">
      <alignment horizontal="center" vertical="center" wrapText="1"/>
    </xf>
    <xf numFmtId="165" fontId="0" fillId="88" borderId="137" xfId="1459" applyFont="1" applyFill="1" applyBorder="1" applyAlignment="1">
      <alignment horizontal="center" vertical="center" wrapText="1"/>
    </xf>
    <xf numFmtId="165" fontId="0" fillId="88" borderId="32" xfId="1459" applyFont="1" applyFill="1" applyBorder="1" applyAlignment="1">
      <alignment horizontal="center" vertical="center" wrapText="1"/>
    </xf>
    <xf numFmtId="165" fontId="0" fillId="88" borderId="0" xfId="1459" applyFont="1" applyFill="1" applyBorder="1" applyAlignment="1">
      <alignment horizontal="center" vertical="center" wrapText="1"/>
    </xf>
    <xf numFmtId="0" fontId="320" fillId="3" borderId="0" xfId="0" applyFont="1" applyFill="1"/>
    <xf numFmtId="165" fontId="0" fillId="0" borderId="0" xfId="1459" applyFont="1" applyFill="1" applyBorder="1" applyAlignment="1">
      <alignment horizontal="center" vertical="center" wrapText="1"/>
    </xf>
    <xf numFmtId="165" fontId="0" fillId="0" borderId="140" xfId="1459" applyFont="1" applyBorder="1" applyProtection="1"/>
    <xf numFmtId="49" fontId="0" fillId="0" borderId="140" xfId="1459" applyNumberFormat="1" applyFont="1" applyBorder="1" applyProtection="1"/>
    <xf numFmtId="49" fontId="47" fillId="0" borderId="141" xfId="1459" applyNumberFormat="1" applyFont="1" applyBorder="1" applyProtection="1"/>
    <xf numFmtId="165" fontId="0" fillId="83" borderId="142" xfId="1459" applyFont="1" applyFill="1" applyBorder="1" applyAlignment="1">
      <alignment horizontal="center" vertical="center" wrapText="1"/>
    </xf>
    <xf numFmtId="165" fontId="0" fillId="83" borderId="143" xfId="1459" applyFont="1" applyFill="1" applyBorder="1" applyAlignment="1">
      <alignment horizontal="center" vertical="center" wrapText="1"/>
    </xf>
    <xf numFmtId="165" fontId="0" fillId="85" borderId="144" xfId="1459" applyFont="1" applyFill="1" applyBorder="1" applyAlignment="1">
      <alignment horizontal="center" vertical="center" wrapText="1"/>
    </xf>
    <xf numFmtId="165" fontId="0" fillId="85" borderId="145" xfId="1459" applyFont="1" applyFill="1" applyBorder="1" applyAlignment="1">
      <alignment horizontal="center" vertical="center" wrapText="1"/>
    </xf>
    <xf numFmtId="165" fontId="0" fillId="86" borderId="142" xfId="1459" applyFont="1" applyFill="1" applyBorder="1" applyAlignment="1">
      <alignment horizontal="center" vertical="center" wrapText="1"/>
    </xf>
    <xf numFmtId="165" fontId="0" fillId="86" borderId="143" xfId="1459" applyFont="1" applyFill="1" applyBorder="1" applyAlignment="1">
      <alignment horizontal="center" vertical="center" wrapText="1"/>
    </xf>
    <xf numFmtId="165" fontId="0" fillId="87" borderId="144" xfId="1459" applyFont="1" applyFill="1" applyBorder="1" applyAlignment="1">
      <alignment horizontal="center" vertical="center" wrapText="1"/>
    </xf>
    <xf numFmtId="165" fontId="0" fillId="87" borderId="145" xfId="1459" applyFont="1" applyFill="1" applyBorder="1" applyAlignment="1">
      <alignment horizontal="center" vertical="center" wrapText="1"/>
    </xf>
    <xf numFmtId="165" fontId="0" fillId="88" borderId="142" xfId="1459" applyFont="1" applyFill="1" applyBorder="1" applyAlignment="1">
      <alignment horizontal="center" vertical="center" wrapText="1"/>
    </xf>
    <xf numFmtId="165" fontId="0" fillId="88" borderId="145" xfId="1459" applyFont="1" applyFill="1" applyBorder="1" applyAlignment="1">
      <alignment horizontal="center" vertical="center" wrapText="1"/>
    </xf>
    <xf numFmtId="49" fontId="0" fillId="0" borderId="0" xfId="1459" applyNumberFormat="1" applyFont="1" applyFill="1" applyBorder="1"/>
    <xf numFmtId="0" fontId="160" fillId="3" borderId="0" xfId="0" applyFont="1" applyFill="1"/>
    <xf numFmtId="3" fontId="160" fillId="3" borderId="0" xfId="0" applyNumberFormat="1" applyFont="1" applyFill="1"/>
    <xf numFmtId="3" fontId="295" fillId="3" borderId="0" xfId="0" applyNumberFormat="1" applyFont="1" applyFill="1"/>
    <xf numFmtId="0" fontId="9" fillId="3" borderId="0" xfId="0" applyFont="1" applyFill="1"/>
    <xf numFmtId="3" fontId="9" fillId="3" borderId="0" xfId="0" applyNumberFormat="1" applyFont="1" applyFill="1"/>
    <xf numFmtId="0" fontId="9" fillId="3" borderId="115" xfId="0" applyFont="1" applyFill="1" applyBorder="1"/>
    <xf numFmtId="3" fontId="295" fillId="3" borderId="115" xfId="0" applyNumberFormat="1" applyFont="1" applyFill="1" applyBorder="1"/>
    <xf numFmtId="3" fontId="9" fillId="3" borderId="115" xfId="0" applyNumberFormat="1" applyFont="1" applyFill="1" applyBorder="1"/>
    <xf numFmtId="0" fontId="321" fillId="3" borderId="146" xfId="0" applyFont="1" applyFill="1" applyBorder="1"/>
    <xf numFmtId="3" fontId="325" fillId="3" borderId="146" xfId="0" applyNumberFormat="1" applyFont="1" applyFill="1" applyBorder="1"/>
    <xf numFmtId="3" fontId="321" fillId="3" borderId="146" xfId="0" applyNumberFormat="1" applyFont="1" applyFill="1" applyBorder="1"/>
    <xf numFmtId="0" fontId="9" fillId="3" borderId="0" xfId="0" applyFont="1" applyFill="1" applyAlignment="1">
      <alignment horizontal="left" indent="2"/>
    </xf>
    <xf numFmtId="9" fontId="9" fillId="3" borderId="0" xfId="22" applyFont="1" applyFill="1"/>
    <xf numFmtId="182" fontId="9" fillId="3" borderId="0" xfId="22" applyNumberFormat="1" applyFont="1" applyFill="1" applyAlignment="1">
      <alignment horizontal="left" indent="2"/>
    </xf>
    <xf numFmtId="182" fontId="9" fillId="3" borderId="0" xfId="22" applyNumberFormat="1" applyFont="1" applyFill="1"/>
    <xf numFmtId="182" fontId="295" fillId="3" borderId="0" xfId="22" applyNumberFormat="1" applyFont="1" applyFill="1"/>
    <xf numFmtId="0" fontId="321" fillId="3" borderId="0" xfId="0" applyFont="1" applyFill="1"/>
    <xf numFmtId="0" fontId="321" fillId="3" borderId="115" xfId="0" applyFont="1" applyFill="1" applyBorder="1"/>
    <xf numFmtId="3" fontId="325" fillId="3" borderId="115" xfId="0" applyNumberFormat="1" applyFont="1" applyFill="1" applyBorder="1"/>
    <xf numFmtId="3" fontId="321" fillId="3" borderId="115" xfId="0" applyNumberFormat="1" applyFont="1" applyFill="1" applyBorder="1"/>
    <xf numFmtId="49" fontId="326" fillId="89" borderId="147" xfId="0" applyNumberFormat="1" applyFont="1" applyFill="1" applyBorder="1" applyAlignment="1">
      <alignment horizontal="center" vertical="center"/>
    </xf>
    <xf numFmtId="49" fontId="326" fillId="0" borderId="147" xfId="0" applyNumberFormat="1" applyFont="1" applyBorder="1"/>
    <xf numFmtId="49" fontId="326" fillId="0" borderId="147" xfId="0" applyNumberFormat="1" applyFont="1" applyBorder="1" applyAlignment="1">
      <alignment horizontal="center" vertical="center"/>
    </xf>
    <xf numFmtId="49" fontId="0" fillId="0" borderId="147" xfId="0" applyNumberFormat="1" applyBorder="1"/>
    <xf numFmtId="49" fontId="0" fillId="0" borderId="147" xfId="0" applyNumberFormat="1" applyBorder="1" applyAlignment="1">
      <alignment horizontal="center" vertical="center"/>
    </xf>
    <xf numFmtId="37" fontId="326" fillId="89" borderId="147" xfId="0" applyNumberFormat="1" applyFont="1" applyFill="1" applyBorder="1" applyAlignment="1">
      <alignment horizontal="center" vertical="center"/>
    </xf>
    <xf numFmtId="37" fontId="0" fillId="0" borderId="147" xfId="0" applyNumberFormat="1" applyBorder="1"/>
    <xf numFmtId="37" fontId="0" fillId="0" borderId="0" xfId="0" applyNumberFormat="1"/>
    <xf numFmtId="49" fontId="326" fillId="3" borderId="147" xfId="0" applyNumberFormat="1" applyFont="1" applyFill="1" applyBorder="1"/>
    <xf numFmtId="49" fontId="326" fillId="3" borderId="147" xfId="0" applyNumberFormat="1" applyFont="1" applyFill="1" applyBorder="1" applyAlignment="1">
      <alignment horizontal="center" vertical="center"/>
    </xf>
    <xf numFmtId="49" fontId="0" fillId="3" borderId="147" xfId="0" applyNumberFormat="1" applyFill="1" applyBorder="1"/>
    <xf numFmtId="49" fontId="0" fillId="3" borderId="147" xfId="0" applyNumberFormat="1" applyFill="1" applyBorder="1" applyAlignment="1">
      <alignment horizontal="center" vertical="center"/>
    </xf>
    <xf numFmtId="289" fontId="0" fillId="0" borderId="147" xfId="0" applyNumberFormat="1" applyBorder="1"/>
    <xf numFmtId="37" fontId="0" fillId="82" borderId="147" xfId="0" applyNumberFormat="1" applyFill="1" applyBorder="1"/>
    <xf numFmtId="3" fontId="20" fillId="3" borderId="0" xfId="1012" applyNumberFormat="1" applyFont="1" applyFill="1"/>
    <xf numFmtId="3" fontId="294" fillId="3" borderId="149" xfId="1007" applyNumberFormat="1" applyFont="1" applyFill="1" applyBorder="1"/>
    <xf numFmtId="3" fontId="294" fillId="3" borderId="150" xfId="1007" applyNumberFormat="1" applyFont="1" applyFill="1" applyBorder="1"/>
    <xf numFmtId="3" fontId="294" fillId="3" borderId="32" xfId="1007" applyNumberFormat="1" applyFont="1" applyFill="1" applyBorder="1"/>
    <xf numFmtId="3" fontId="294" fillId="3" borderId="118" xfId="1007" applyNumberFormat="1" applyFont="1" applyFill="1" applyBorder="1"/>
    <xf numFmtId="3" fontId="294" fillId="3" borderId="148" xfId="1007" applyNumberFormat="1" applyFont="1" applyFill="1" applyBorder="1"/>
    <xf numFmtId="3" fontId="294" fillId="3" borderId="151" xfId="1007" applyNumberFormat="1" applyFont="1" applyFill="1" applyBorder="1"/>
    <xf numFmtId="3" fontId="20" fillId="3" borderId="28" xfId="1012" applyNumberFormat="1" applyFont="1" applyFill="1" applyBorder="1"/>
    <xf numFmtId="3" fontId="294" fillId="3" borderId="121" xfId="1007" applyNumberFormat="1" applyFont="1" applyFill="1" applyBorder="1"/>
    <xf numFmtId="3" fontId="294" fillId="3" borderId="152" xfId="1007" applyNumberFormat="1" applyFont="1" applyFill="1" applyBorder="1"/>
    <xf numFmtId="182" fontId="0" fillId="0" borderId="0" xfId="22" applyNumberFormat="1" applyFont="1" applyBorder="1"/>
    <xf numFmtId="165" fontId="0" fillId="82" borderId="137" xfId="1459" applyFont="1" applyFill="1" applyBorder="1" applyAlignment="1">
      <alignment horizontal="center" vertical="center" wrapText="1"/>
    </xf>
    <xf numFmtId="165" fontId="0" fillId="82" borderId="136" xfId="1459" applyFont="1" applyFill="1" applyBorder="1" applyAlignment="1">
      <alignment horizontal="center" vertical="center" wrapText="1"/>
    </xf>
    <xf numFmtId="182" fontId="9" fillId="4" borderId="0" xfId="22" applyNumberFormat="1" applyFont="1" applyFill="1"/>
    <xf numFmtId="286" fontId="321" fillId="3" borderId="115" xfId="0" applyNumberFormat="1" applyFont="1" applyFill="1" applyBorder="1" applyAlignment="1">
      <alignment horizontal="center"/>
    </xf>
    <xf numFmtId="286" fontId="325" fillId="3" borderId="115" xfId="0" applyNumberFormat="1" applyFont="1" applyFill="1" applyBorder="1" applyAlignment="1">
      <alignment horizontal="center"/>
    </xf>
    <xf numFmtId="286" fontId="9" fillId="3" borderId="0" xfId="0" applyNumberFormat="1" applyFont="1" applyFill="1"/>
    <xf numFmtId="286" fontId="0" fillId="3" borderId="0" xfId="0" applyNumberFormat="1" applyFill="1"/>
    <xf numFmtId="182" fontId="9" fillId="3" borderId="115" xfId="22" applyNumberFormat="1" applyFont="1" applyFill="1" applyBorder="1" applyAlignment="1">
      <alignment horizontal="left" indent="2"/>
    </xf>
    <xf numFmtId="182" fontId="9" fillId="3" borderId="115" xfId="22" applyNumberFormat="1" applyFont="1" applyFill="1" applyBorder="1"/>
    <xf numFmtId="182" fontId="295" fillId="3" borderId="115" xfId="22" applyNumberFormat="1" applyFont="1" applyFill="1" applyBorder="1"/>
    <xf numFmtId="182" fontId="9" fillId="4" borderId="115" xfId="22" applyNumberFormat="1" applyFont="1" applyFill="1" applyBorder="1"/>
    <xf numFmtId="0" fontId="327" fillId="90" borderId="0" xfId="0" applyFont="1" applyFill="1"/>
    <xf numFmtId="4" fontId="0" fillId="0" borderId="0" xfId="0" applyNumberFormat="1"/>
    <xf numFmtId="0" fontId="327" fillId="9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22" fillId="92" borderId="0" xfId="0" applyFont="1" applyFill="1" applyAlignment="1">
      <alignment horizontal="center" vertical="center"/>
    </xf>
    <xf numFmtId="0" fontId="330" fillId="92" borderId="0" xfId="0" applyFont="1" applyFill="1" applyAlignment="1">
      <alignment horizontal="center" vertical="center"/>
    </xf>
    <xf numFmtId="0" fontId="222" fillId="92" borderId="0" xfId="0" applyFont="1" applyFill="1" applyAlignment="1">
      <alignment vertical="center"/>
    </xf>
    <xf numFmtId="0" fontId="222" fillId="93" borderId="0" xfId="0" applyFont="1" applyFill="1" applyAlignment="1">
      <alignment horizontal="right" vertical="center"/>
    </xf>
    <xf numFmtId="0" fontId="222" fillId="92" borderId="0" xfId="0" applyFont="1" applyFill="1" applyAlignment="1">
      <alignment horizontal="right" vertical="center"/>
    </xf>
    <xf numFmtId="0" fontId="330" fillId="91" borderId="0" xfId="0" applyFont="1" applyFill="1" applyAlignment="1">
      <alignment horizontal="center" vertical="center"/>
    </xf>
    <xf numFmtId="0" fontId="222" fillId="91" borderId="0" xfId="0" applyFont="1" applyFill="1" applyAlignment="1">
      <alignment vertical="center"/>
    </xf>
    <xf numFmtId="0" fontId="222" fillId="91" borderId="0" xfId="0" applyFont="1" applyFill="1" applyAlignment="1">
      <alignment horizontal="right" vertical="center"/>
    </xf>
    <xf numFmtId="3" fontId="222" fillId="91" borderId="0" xfId="0" applyNumberFormat="1" applyFont="1" applyFill="1" applyAlignment="1">
      <alignment horizontal="right" vertical="center"/>
    </xf>
    <xf numFmtId="0" fontId="222" fillId="93" borderId="0" xfId="0" applyFont="1" applyFill="1" applyAlignment="1">
      <alignment horizontal="left" vertical="center"/>
    </xf>
    <xf numFmtId="0" fontId="330" fillId="93" borderId="0" xfId="0" applyFont="1" applyFill="1" applyAlignment="1">
      <alignment horizontal="center" vertical="center"/>
    </xf>
    <xf numFmtId="0" fontId="222" fillId="93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30" fillId="0" borderId="0" xfId="0" applyFont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182" fontId="328" fillId="0" borderId="0" xfId="22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94" borderId="48" xfId="0" applyNumberFormat="1" applyFill="1" applyBorder="1" applyAlignment="1">
      <alignment horizontal="right" vertical="center"/>
    </xf>
    <xf numFmtId="3" fontId="0" fillId="81" borderId="48" xfId="0" applyNumberFormat="1" applyFill="1" applyBorder="1" applyAlignment="1">
      <alignment horizontal="right" vertical="center"/>
    </xf>
    <xf numFmtId="3" fontId="0" fillId="0" borderId="48" xfId="0" applyNumberFormat="1" applyBorder="1" applyAlignment="1">
      <alignment horizontal="right" vertical="center"/>
    </xf>
    <xf numFmtId="3" fontId="329" fillId="6" borderId="48" xfId="0" applyNumberFormat="1" applyFont="1" applyFill="1" applyBorder="1" applyAlignment="1">
      <alignment horizontal="center" vertical="center"/>
    </xf>
    <xf numFmtId="3" fontId="328" fillId="6" borderId="48" xfId="0" applyNumberFormat="1" applyFont="1" applyFill="1" applyBorder="1" applyAlignment="1">
      <alignment horizontal="center" vertical="center"/>
    </xf>
    <xf numFmtId="0" fontId="332" fillId="0" borderId="0" xfId="0" applyFont="1" applyAlignment="1">
      <alignment horizontal="left" vertical="center"/>
    </xf>
    <xf numFmtId="3" fontId="332" fillId="0" borderId="0" xfId="0" applyNumberFormat="1" applyFont="1" applyAlignment="1">
      <alignment horizontal="left" vertical="center"/>
    </xf>
    <xf numFmtId="3" fontId="0" fillId="88" borderId="0" xfId="0" applyNumberFormat="1" applyFill="1" applyAlignment="1">
      <alignment vertical="center"/>
    </xf>
    <xf numFmtId="0" fontId="333" fillId="0" borderId="0" xfId="0" applyFont="1" applyAlignment="1">
      <alignment horizontal="center" vertical="center"/>
    </xf>
    <xf numFmtId="0" fontId="34" fillId="84" borderId="0" xfId="0" applyFont="1" applyFill="1" applyAlignment="1">
      <alignment vertical="center"/>
    </xf>
    <xf numFmtId="3" fontId="34" fillId="84" borderId="0" xfId="0" applyNumberFormat="1" applyFont="1" applyFill="1" applyAlignment="1">
      <alignment vertical="center"/>
    </xf>
    <xf numFmtId="3" fontId="34" fillId="81" borderId="48" xfId="0" applyNumberFormat="1" applyFont="1" applyFill="1" applyBorder="1" applyAlignment="1">
      <alignment horizontal="center" vertical="center"/>
    </xf>
    <xf numFmtId="0" fontId="0" fillId="95" borderId="0" xfId="0" applyFill="1" applyAlignment="1">
      <alignment vertical="center"/>
    </xf>
    <xf numFmtId="182" fontId="328" fillId="0" borderId="0" xfId="22" applyNumberFormat="1" applyFont="1" applyAlignment="1">
      <alignment horizontal="right" vertical="center"/>
    </xf>
    <xf numFmtId="182" fontId="328" fillId="84" borderId="0" xfId="22" applyNumberFormat="1" applyFont="1" applyFill="1" applyAlignment="1">
      <alignment horizontal="right" vertical="center"/>
    </xf>
    <xf numFmtId="3" fontId="0" fillId="4" borderId="48" xfId="0" applyNumberFormat="1" applyFill="1" applyBorder="1" applyAlignment="1">
      <alignment horizontal="right" vertical="center"/>
    </xf>
    <xf numFmtId="9" fontId="331" fillId="4" borderId="48" xfId="22" applyFont="1" applyFill="1" applyBorder="1" applyAlignment="1">
      <alignment horizontal="right" vertical="center"/>
    </xf>
    <xf numFmtId="3" fontId="0" fillId="0" borderId="0" xfId="0" applyNumberFormat="1"/>
    <xf numFmtId="286" fontId="294" fillId="3" borderId="0" xfId="0" applyNumberFormat="1" applyFont="1" applyFill="1" applyAlignment="1">
      <alignment horizontal="center"/>
    </xf>
    <xf numFmtId="3" fontId="47" fillId="3" borderId="0" xfId="0" applyNumberFormat="1" applyFont="1" applyFill="1"/>
    <xf numFmtId="286" fontId="47" fillId="3" borderId="0" xfId="0" applyNumberFormat="1" applyFont="1" applyFill="1"/>
    <xf numFmtId="3" fontId="47" fillId="3" borderId="0" xfId="0" applyNumberFormat="1" applyFont="1" applyFill="1" applyAlignment="1">
      <alignment horizontal="left" indent="2"/>
    </xf>
    <xf numFmtId="0" fontId="334" fillId="3" borderId="0" xfId="0" applyFont="1" applyFill="1" applyAlignment="1">
      <alignment horizontal="center" vertical="center"/>
    </xf>
    <xf numFmtId="0" fontId="334" fillId="81" borderId="0" xfId="0" applyFont="1" applyFill="1" applyAlignment="1">
      <alignment horizontal="center" vertical="center"/>
    </xf>
    <xf numFmtId="0" fontId="308" fillId="81" borderId="0" xfId="0" applyFont="1" applyFill="1" applyAlignment="1">
      <alignment horizontal="right" vertical="center"/>
    </xf>
    <xf numFmtId="0" fontId="296" fillId="3" borderId="0" xfId="0" applyFont="1" applyFill="1" applyAlignment="1">
      <alignment vertical="center"/>
    </xf>
    <xf numFmtId="0" fontId="296" fillId="3" borderId="0" xfId="0" applyFont="1" applyFill="1" applyAlignment="1">
      <alignment horizontal="left" vertical="center"/>
    </xf>
    <xf numFmtId="0" fontId="335" fillId="3" borderId="0" xfId="0" applyFont="1" applyFill="1" applyAlignment="1">
      <alignment horizontal="left" vertical="center"/>
    </xf>
    <xf numFmtId="3" fontId="296" fillId="3" borderId="0" xfId="0" applyNumberFormat="1" applyFont="1" applyFill="1" applyAlignment="1">
      <alignment horizontal="center" vertical="center"/>
    </xf>
    <xf numFmtId="182" fontId="334" fillId="3" borderId="0" xfId="917" applyNumberFormat="1" applyFont="1" applyFill="1" applyAlignment="1">
      <alignment horizontal="center" vertical="center"/>
    </xf>
    <xf numFmtId="3" fontId="296" fillId="3" borderId="48" xfId="0" applyNumberFormat="1" applyFont="1" applyFill="1" applyBorder="1" applyAlignment="1">
      <alignment horizontal="right" vertical="center"/>
    </xf>
    <xf numFmtId="0" fontId="308" fillId="3" borderId="0" xfId="0" applyFont="1" applyFill="1" applyAlignment="1">
      <alignment vertical="center"/>
    </xf>
    <xf numFmtId="0" fontId="308" fillId="81" borderId="0" xfId="0" applyFont="1" applyFill="1" applyAlignment="1">
      <alignment vertical="center"/>
    </xf>
    <xf numFmtId="3" fontId="308" fillId="81" borderId="0" xfId="0" applyNumberFormat="1" applyFont="1" applyFill="1" applyAlignment="1">
      <alignment vertical="center"/>
    </xf>
    <xf numFmtId="3" fontId="336" fillId="3" borderId="0" xfId="0" applyNumberFormat="1" applyFont="1" applyFill="1"/>
    <xf numFmtId="3" fontId="320" fillId="3" borderId="0" xfId="0" applyNumberFormat="1" applyFont="1" applyFill="1"/>
    <xf numFmtId="3" fontId="47" fillId="3" borderId="115" xfId="0" applyNumberFormat="1" applyFont="1" applyFill="1" applyBorder="1" applyAlignment="1">
      <alignment horizontal="left" indent="2"/>
    </xf>
    <xf numFmtId="3" fontId="0" fillId="3" borderId="115" xfId="0" applyNumberFormat="1" applyFill="1" applyBorder="1"/>
    <xf numFmtId="3" fontId="336" fillId="3" borderId="115" xfId="0" applyNumberFormat="1" applyFont="1" applyFill="1" applyBorder="1"/>
    <xf numFmtId="3" fontId="160" fillId="3" borderId="19" xfId="0" applyNumberFormat="1" applyFont="1" applyFill="1" applyBorder="1"/>
    <xf numFmtId="3" fontId="0" fillId="3" borderId="0" xfId="0" applyNumberFormat="1" applyFill="1" applyAlignment="1">
      <alignment horizontal="left" indent="2"/>
    </xf>
    <xf numFmtId="3" fontId="337" fillId="3" borderId="0" xfId="0" applyNumberFormat="1" applyFont="1" applyFill="1"/>
    <xf numFmtId="3" fontId="338" fillId="3" borderId="0" xfId="0" applyNumberFormat="1" applyFont="1" applyFill="1" applyAlignment="1">
      <alignment horizontal="left" indent="2"/>
    </xf>
    <xf numFmtId="3" fontId="338" fillId="3" borderId="0" xfId="0" applyNumberFormat="1" applyFont="1" applyFill="1"/>
    <xf numFmtId="49" fontId="322" fillId="0" borderId="0" xfId="0" applyNumberFormat="1" applyFont="1"/>
    <xf numFmtId="49" fontId="0" fillId="0" borderId="0" xfId="0" applyNumberFormat="1"/>
    <xf numFmtId="4" fontId="322" fillId="0" borderId="0" xfId="0" applyNumberFormat="1" applyFont="1"/>
    <xf numFmtId="3" fontId="322" fillId="0" borderId="0" xfId="0" applyNumberFormat="1" applyFont="1"/>
    <xf numFmtId="49" fontId="0" fillId="82" borderId="0" xfId="0" applyNumberFormat="1" applyFill="1"/>
    <xf numFmtId="4" fontId="0" fillId="82" borderId="0" xfId="0" applyNumberFormat="1" applyFill="1"/>
    <xf numFmtId="3" fontId="0" fillId="82" borderId="0" xfId="0" applyNumberFormat="1" applyFill="1"/>
    <xf numFmtId="49" fontId="322" fillId="3" borderId="0" xfId="0" applyNumberFormat="1" applyFont="1" applyFill="1"/>
    <xf numFmtId="49" fontId="322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3" fontId="322" fillId="3" borderId="0" xfId="0" applyNumberFormat="1" applyFont="1" applyFill="1"/>
    <xf numFmtId="49" fontId="47" fillId="0" borderId="0" xfId="0" applyNumberFormat="1" applyFont="1"/>
    <xf numFmtId="49" fontId="47" fillId="3" borderId="0" xfId="0" applyNumberFormat="1" applyFont="1" applyFill="1"/>
    <xf numFmtId="49" fontId="34" fillId="3" borderId="0" xfId="0" applyNumberFormat="1" applyFont="1" applyFill="1"/>
    <xf numFmtId="3" fontId="34" fillId="3" borderId="0" xfId="0" applyNumberFormat="1" applyFont="1" applyFill="1"/>
    <xf numFmtId="286" fontId="160" fillId="3" borderId="0" xfId="0" applyNumberFormat="1" applyFont="1" applyFill="1" applyAlignment="1">
      <alignment horizontal="center"/>
    </xf>
    <xf numFmtId="3" fontId="160" fillId="3" borderId="0" xfId="0" applyNumberFormat="1" applyFont="1" applyFill="1" applyAlignment="1">
      <alignment horizontal="left" indent="2"/>
    </xf>
    <xf numFmtId="3" fontId="47" fillId="3" borderId="0" xfId="0" applyNumberFormat="1" applyFont="1" applyFill="1" applyAlignment="1">
      <alignment horizontal="left" indent="3"/>
    </xf>
    <xf numFmtId="3" fontId="296" fillId="3" borderId="0" xfId="0" applyNumberFormat="1" applyFont="1" applyFill="1" applyAlignment="1">
      <alignment horizontal="left" indent="3"/>
    </xf>
    <xf numFmtId="3" fontId="160" fillId="3" borderId="22" xfId="0" applyNumberFormat="1" applyFont="1" applyFill="1" applyBorder="1" applyAlignment="1">
      <alignment horizontal="left" indent="2"/>
    </xf>
    <xf numFmtId="3" fontId="160" fillId="3" borderId="22" xfId="0" applyNumberFormat="1" applyFont="1" applyFill="1" applyBorder="1"/>
    <xf numFmtId="3" fontId="160" fillId="6" borderId="32" xfId="0" applyNumberFormat="1" applyFont="1" applyFill="1" applyBorder="1"/>
    <xf numFmtId="3" fontId="318" fillId="3" borderId="0" xfId="0" applyNumberFormat="1" applyFont="1" applyFill="1"/>
    <xf numFmtId="182" fontId="295" fillId="82" borderId="0" xfId="22" applyNumberFormat="1" applyFont="1" applyFill="1"/>
    <xf numFmtId="37" fontId="0" fillId="3" borderId="147" xfId="0" applyNumberFormat="1" applyFill="1" applyBorder="1"/>
    <xf numFmtId="3" fontId="27" fillId="3" borderId="0" xfId="275" applyNumberFormat="1" applyFont="1" applyFill="1" applyBorder="1" applyAlignment="1">
      <alignment wrapText="1"/>
    </xf>
    <xf numFmtId="3" fontId="47" fillId="3" borderId="153" xfId="0" applyNumberFormat="1" applyFont="1" applyFill="1" applyBorder="1" applyAlignment="1">
      <alignment horizontal="left" indent="2"/>
    </xf>
    <xf numFmtId="3" fontId="0" fillId="3" borderId="153" xfId="0" applyNumberFormat="1" applyFill="1" applyBorder="1"/>
    <xf numFmtId="286" fontId="325" fillId="3" borderId="0" xfId="0" applyNumberFormat="1" applyFont="1" applyFill="1" applyAlignment="1">
      <alignment horizontal="center"/>
    </xf>
    <xf numFmtId="286" fontId="325" fillId="3" borderId="28" xfId="0" applyNumberFormat="1" applyFont="1" applyFill="1" applyBorder="1" applyAlignment="1">
      <alignment horizontal="center"/>
    </xf>
    <xf numFmtId="3" fontId="295" fillId="3" borderId="28" xfId="0" applyNumberFormat="1" applyFont="1" applyFill="1" applyBorder="1"/>
    <xf numFmtId="3" fontId="325" fillId="6" borderId="32" xfId="0" applyNumberFormat="1" applyFont="1" applyFill="1" applyBorder="1"/>
    <xf numFmtId="3" fontId="325" fillId="6" borderId="30" xfId="0" applyNumberFormat="1" applyFont="1" applyFill="1" applyBorder="1"/>
    <xf numFmtId="3" fontId="325" fillId="3" borderId="0" xfId="0" applyNumberFormat="1" applyFont="1" applyFill="1"/>
    <xf numFmtId="3" fontId="325" fillId="3" borderId="28" xfId="0" applyNumberFormat="1" applyFont="1" applyFill="1" applyBorder="1"/>
    <xf numFmtId="3" fontId="325" fillId="3" borderId="22" xfId="0" applyNumberFormat="1" applyFont="1" applyFill="1" applyBorder="1"/>
    <xf numFmtId="3" fontId="325" fillId="3" borderId="40" xfId="0" applyNumberFormat="1" applyFont="1" applyFill="1" applyBorder="1"/>
    <xf numFmtId="3" fontId="295" fillId="3" borderId="153" xfId="0" applyNumberFormat="1" applyFont="1" applyFill="1" applyBorder="1"/>
    <xf numFmtId="3" fontId="295" fillId="3" borderId="154" xfId="0" applyNumberFormat="1" applyFont="1" applyFill="1" applyBorder="1"/>
    <xf numFmtId="182" fontId="47" fillId="3" borderId="0" xfId="22" applyNumberFormat="1" applyFont="1" applyFill="1" applyAlignment="1">
      <alignment horizontal="left" indent="4"/>
    </xf>
    <xf numFmtId="182" fontId="295" fillId="3" borderId="28" xfId="22" applyNumberFormat="1" applyFont="1" applyFill="1" applyBorder="1"/>
    <xf numFmtId="182" fontId="0" fillId="4" borderId="0" xfId="22" applyNumberFormat="1" applyFont="1" applyFill="1"/>
    <xf numFmtId="182" fontId="47" fillId="3" borderId="0" xfId="22" applyNumberFormat="1" applyFont="1" applyFill="1" applyAlignment="1">
      <alignment horizontal="left" indent="2"/>
    </xf>
    <xf numFmtId="211" fontId="295" fillId="3" borderId="0" xfId="0" applyNumberFormat="1" applyFont="1" applyFill="1"/>
    <xf numFmtId="211" fontId="295" fillId="3" borderId="28" xfId="0" applyNumberFormat="1" applyFont="1" applyFill="1" applyBorder="1"/>
    <xf numFmtId="211" fontId="0" fillId="3" borderId="0" xfId="0" applyNumberFormat="1" applyFill="1"/>
    <xf numFmtId="4" fontId="295" fillId="3" borderId="0" xfId="0" applyNumberFormat="1" applyFont="1" applyFill="1"/>
    <xf numFmtId="4" fontId="295" fillId="3" borderId="28" xfId="0" applyNumberFormat="1" applyFont="1" applyFill="1" applyBorder="1"/>
    <xf numFmtId="4" fontId="0" fillId="3" borderId="0" xfId="0" applyNumberFormat="1" applyFill="1"/>
    <xf numFmtId="4" fontId="0" fillId="4" borderId="0" xfId="0" applyNumberFormat="1" applyFill="1"/>
    <xf numFmtId="4" fontId="47" fillId="4" borderId="0" xfId="0" applyNumberFormat="1" applyFont="1" applyFill="1"/>
    <xf numFmtId="182" fontId="47" fillId="3" borderId="0" xfId="22" applyNumberFormat="1" applyFont="1" applyFill="1" applyAlignment="1">
      <alignment horizontal="left" indent="1"/>
    </xf>
    <xf numFmtId="10" fontId="295" fillId="3" borderId="0" xfId="22" applyNumberFormat="1" applyFont="1" applyFill="1"/>
    <xf numFmtId="10" fontId="295" fillId="3" borderId="28" xfId="22" applyNumberFormat="1" applyFont="1" applyFill="1" applyBorder="1"/>
    <xf numFmtId="182" fontId="339" fillId="3" borderId="0" xfId="22" applyNumberFormat="1" applyFont="1" applyFill="1"/>
    <xf numFmtId="211" fontId="339" fillId="3" borderId="0" xfId="0" applyNumberFormat="1" applyFont="1" applyFill="1"/>
    <xf numFmtId="10" fontId="339" fillId="3" borderId="0" xfId="22" applyNumberFormat="1" applyFont="1" applyFill="1"/>
    <xf numFmtId="3" fontId="0" fillId="4" borderId="0" xfId="0" applyNumberFormat="1" applyFill="1"/>
    <xf numFmtId="3" fontId="0" fillId="4" borderId="155" xfId="0" applyNumberFormat="1" applyFill="1" applyBorder="1"/>
    <xf numFmtId="3" fontId="0" fillId="4" borderId="153" xfId="0" applyNumberFormat="1" applyFill="1" applyBorder="1"/>
    <xf numFmtId="0" fontId="327" fillId="97" borderId="0" xfId="0" applyFont="1" applyFill="1"/>
    <xf numFmtId="0" fontId="222" fillId="90" borderId="0" xfId="0" applyFont="1" applyFill="1"/>
    <xf numFmtId="0" fontId="222" fillId="98" borderId="0" xfId="0" applyFont="1" applyFill="1"/>
    <xf numFmtId="0" fontId="327" fillId="98" borderId="0" xfId="0" applyFont="1" applyFill="1"/>
    <xf numFmtId="0" fontId="308" fillId="6" borderId="0" xfId="0" applyFont="1" applyFill="1"/>
    <xf numFmtId="0" fontId="335" fillId="6" borderId="0" xfId="0" applyFont="1" applyFill="1"/>
    <xf numFmtId="0" fontId="308" fillId="81" borderId="0" xfId="0" applyFont="1" applyFill="1"/>
    <xf numFmtId="0" fontId="335" fillId="81" borderId="0" xfId="0" applyFont="1" applyFill="1"/>
    <xf numFmtId="3" fontId="327" fillId="90" borderId="0" xfId="0" applyNumberFormat="1" applyFont="1" applyFill="1"/>
    <xf numFmtId="3" fontId="327" fillId="98" borderId="0" xfId="0" applyNumberFormat="1" applyFont="1" applyFill="1"/>
    <xf numFmtId="4" fontId="327" fillId="98" borderId="0" xfId="0" applyNumberFormat="1" applyFont="1" applyFill="1"/>
    <xf numFmtId="4" fontId="327" fillId="90" borderId="0" xfId="0" applyNumberFormat="1" applyFont="1" applyFill="1"/>
    <xf numFmtId="4" fontId="335" fillId="6" borderId="0" xfId="0" applyNumberFormat="1" applyFont="1" applyFill="1"/>
    <xf numFmtId="4" fontId="335" fillId="81" borderId="0" xfId="0" applyNumberFormat="1" applyFont="1" applyFill="1"/>
    <xf numFmtId="0" fontId="327" fillId="90" borderId="0" xfId="0" applyFont="1" applyFill="1" applyAlignment="1">
      <alignment horizontal="center"/>
    </xf>
    <xf numFmtId="0" fontId="327" fillId="98" borderId="0" xfId="0" applyFont="1" applyFill="1" applyAlignment="1">
      <alignment horizontal="center"/>
    </xf>
    <xf numFmtId="0" fontId="335" fillId="6" borderId="0" xfId="0" applyFont="1" applyFill="1" applyAlignment="1">
      <alignment horizontal="center"/>
    </xf>
    <xf numFmtId="0" fontId="335" fillId="81" borderId="0" xfId="0" applyFont="1" applyFill="1" applyAlignment="1">
      <alignment horizontal="center"/>
    </xf>
    <xf numFmtId="0" fontId="0" fillId="96" borderId="48" xfId="0" applyFill="1" applyBorder="1"/>
    <xf numFmtId="0" fontId="0" fillId="99" borderId="48" xfId="0" applyFill="1" applyBorder="1"/>
    <xf numFmtId="0" fontId="0" fillId="85" borderId="48" xfId="0" applyFill="1" applyBorder="1"/>
    <xf numFmtId="182" fontId="296" fillId="3" borderId="0" xfId="22" applyNumberFormat="1" applyFont="1" applyFill="1"/>
    <xf numFmtId="290" fontId="296" fillId="3" borderId="0" xfId="0" applyNumberFormat="1" applyFont="1" applyFill="1"/>
    <xf numFmtId="4" fontId="296" fillId="3" borderId="0" xfId="0" applyNumberFormat="1" applyFont="1" applyFill="1"/>
    <xf numFmtId="2" fontId="0" fillId="3" borderId="0" xfId="22" applyNumberFormat="1" applyFont="1" applyFill="1"/>
    <xf numFmtId="2" fontId="0" fillId="4" borderId="0" xfId="22" applyNumberFormat="1" applyFont="1" applyFill="1"/>
    <xf numFmtId="182" fontId="47" fillId="3" borderId="32" xfId="22" applyNumberFormat="1" applyFont="1" applyFill="1" applyBorder="1" applyAlignment="1">
      <alignment horizontal="left" indent="1"/>
    </xf>
    <xf numFmtId="182" fontId="295" fillId="3" borderId="32" xfId="22" applyNumberFormat="1" applyFont="1" applyFill="1" applyBorder="1"/>
    <xf numFmtId="182" fontId="339" fillId="3" borderId="32" xfId="22" applyNumberFormat="1" applyFont="1" applyFill="1" applyBorder="1"/>
    <xf numFmtId="182" fontId="295" fillId="3" borderId="30" xfId="22" applyNumberFormat="1" applyFont="1" applyFill="1" applyBorder="1"/>
    <xf numFmtId="182" fontId="0" fillId="4" borderId="32" xfId="22" applyNumberFormat="1" applyFont="1" applyFill="1" applyBorder="1"/>
    <xf numFmtId="49" fontId="320" fillId="3" borderId="0" xfId="0" applyNumberFormat="1" applyFont="1" applyFill="1"/>
    <xf numFmtId="49" fontId="320" fillId="0" borderId="0" xfId="0" applyNumberFormat="1" applyFont="1"/>
    <xf numFmtId="49" fontId="340" fillId="3" borderId="0" xfId="0" applyNumberFormat="1" applyFont="1" applyFill="1"/>
    <xf numFmtId="3" fontId="340" fillId="3" borderId="0" xfId="0" applyNumberFormat="1" applyFont="1" applyFill="1"/>
    <xf numFmtId="3" fontId="47" fillId="3" borderId="22" xfId="0" applyNumberFormat="1" applyFont="1" applyFill="1" applyBorder="1" applyAlignment="1">
      <alignment horizontal="left" indent="3"/>
    </xf>
    <xf numFmtId="3" fontId="295" fillId="3" borderId="22" xfId="0" applyNumberFormat="1" applyFont="1" applyFill="1" applyBorder="1"/>
    <xf numFmtId="3" fontId="295" fillId="3" borderId="40" xfId="0" applyNumberFormat="1" applyFont="1" applyFill="1" applyBorder="1"/>
    <xf numFmtId="3" fontId="0" fillId="3" borderId="22" xfId="0" applyNumberFormat="1" applyFill="1" applyBorder="1"/>
    <xf numFmtId="3" fontId="47" fillId="3" borderId="0" xfId="0" applyNumberFormat="1" applyFont="1" applyFill="1" applyAlignment="1">
      <alignment horizontal="left" indent="1"/>
    </xf>
    <xf numFmtId="3" fontId="341" fillId="3" borderId="0" xfId="0" applyNumberFormat="1" applyFont="1" applyFill="1"/>
    <xf numFmtId="3" fontId="342" fillId="3" borderId="0" xfId="0" applyNumberFormat="1" applyFont="1" applyFill="1"/>
    <xf numFmtId="3" fontId="342" fillId="3" borderId="28" xfId="0" applyNumberFormat="1" applyFont="1" applyFill="1" applyBorder="1"/>
    <xf numFmtId="3" fontId="341" fillId="3" borderId="0" xfId="0" applyNumberFormat="1" applyFont="1" applyFill="1" applyAlignment="1">
      <alignment horizontal="left" indent="2"/>
    </xf>
    <xf numFmtId="3" fontId="47" fillId="3" borderId="22" xfId="0" applyNumberFormat="1" applyFont="1" applyFill="1" applyBorder="1"/>
    <xf numFmtId="182" fontId="47" fillId="3" borderId="0" xfId="22" applyNumberFormat="1" applyFont="1" applyFill="1"/>
    <xf numFmtId="182" fontId="47" fillId="4" borderId="0" xfId="22" applyNumberFormat="1" applyFont="1" applyFill="1"/>
    <xf numFmtId="182" fontId="47" fillId="3" borderId="0" xfId="22" applyNumberFormat="1" applyFont="1" applyFill="1" applyAlignment="1">
      <alignment horizontal="left"/>
    </xf>
    <xf numFmtId="291" fontId="0" fillId="3" borderId="0" xfId="0" applyNumberFormat="1" applyFill="1"/>
    <xf numFmtId="291" fontId="47" fillId="3" borderId="0" xfId="0" applyNumberFormat="1" applyFont="1" applyFill="1"/>
    <xf numFmtId="291" fontId="295" fillId="3" borderId="0" xfId="0" applyNumberFormat="1" applyFont="1" applyFill="1"/>
    <xf numFmtId="291" fontId="295" fillId="3" borderId="28" xfId="0" applyNumberFormat="1" applyFont="1" applyFill="1" applyBorder="1"/>
    <xf numFmtId="10" fontId="47" fillId="4" borderId="0" xfId="22" applyNumberFormat="1" applyFont="1" applyFill="1"/>
    <xf numFmtId="10" fontId="47" fillId="3" borderId="0" xfId="22" applyNumberFormat="1" applyFont="1" applyFill="1"/>
    <xf numFmtId="182" fontId="295" fillId="3" borderId="0" xfId="22" applyNumberFormat="1" applyFont="1" applyFill="1" applyAlignment="1">
      <alignment horizontal="left" indent="2"/>
    </xf>
    <xf numFmtId="182" fontId="295" fillId="3" borderId="28" xfId="22" applyNumberFormat="1" applyFont="1" applyFill="1" applyBorder="1" applyAlignment="1">
      <alignment horizontal="left" indent="2"/>
    </xf>
    <xf numFmtId="182" fontId="0" fillId="3" borderId="0" xfId="22" applyNumberFormat="1" applyFont="1" applyFill="1" applyAlignment="1">
      <alignment horizontal="left" indent="2"/>
    </xf>
    <xf numFmtId="182" fontId="47" fillId="3" borderId="22" xfId="22" applyNumberFormat="1" applyFont="1" applyFill="1" applyBorder="1"/>
    <xf numFmtId="182" fontId="295" fillId="3" borderId="22" xfId="22" applyNumberFormat="1" applyFont="1" applyFill="1" applyBorder="1"/>
    <xf numFmtId="182" fontId="295" fillId="3" borderId="40" xfId="22" applyNumberFormat="1" applyFont="1" applyFill="1" applyBorder="1"/>
    <xf numFmtId="182" fontId="47" fillId="4" borderId="22" xfId="22" applyNumberFormat="1" applyFont="1" applyFill="1" applyBorder="1"/>
    <xf numFmtId="182" fontId="47" fillId="3" borderId="22" xfId="22" applyNumberFormat="1" applyFont="1" applyFill="1" applyBorder="1" applyAlignment="1">
      <alignment horizontal="left" indent="2"/>
    </xf>
    <xf numFmtId="182" fontId="47" fillId="3" borderId="22" xfId="22" applyNumberFormat="1" applyFont="1" applyFill="1" applyBorder="1" applyAlignment="1">
      <alignment horizontal="left"/>
    </xf>
    <xf numFmtId="182" fontId="47" fillId="3" borderId="0" xfId="22" applyNumberFormat="1" applyFont="1" applyFill="1" applyBorder="1" applyAlignment="1">
      <alignment horizontal="left"/>
    </xf>
    <xf numFmtId="182" fontId="295" fillId="3" borderId="0" xfId="22" applyNumberFormat="1" applyFont="1" applyFill="1" applyBorder="1"/>
    <xf numFmtId="182" fontId="47" fillId="4" borderId="0" xfId="22" applyNumberFormat="1" applyFont="1" applyFill="1" applyBorder="1"/>
    <xf numFmtId="182" fontId="47" fillId="3" borderId="0" xfId="22" applyNumberFormat="1" applyFont="1" applyFill="1" applyBorder="1"/>
    <xf numFmtId="286" fontId="160" fillId="3" borderId="156" xfId="0" applyNumberFormat="1" applyFont="1" applyFill="1" applyBorder="1" applyAlignment="1">
      <alignment horizontal="center"/>
    </xf>
    <xf numFmtId="286" fontId="325" fillId="3" borderId="156" xfId="0" applyNumberFormat="1" applyFont="1" applyFill="1" applyBorder="1" applyAlignment="1">
      <alignment horizontal="center"/>
    </xf>
    <xf numFmtId="286" fontId="325" fillId="3" borderId="157" xfId="0" applyNumberFormat="1" applyFont="1" applyFill="1" applyBorder="1" applyAlignment="1">
      <alignment horizontal="center"/>
    </xf>
    <xf numFmtId="286" fontId="325" fillId="3" borderId="32" xfId="0" applyNumberFormat="1" applyFont="1" applyFill="1" applyBorder="1"/>
    <xf numFmtId="286" fontId="325" fillId="3" borderId="30" xfId="0" applyNumberFormat="1" applyFont="1" applyFill="1" applyBorder="1"/>
    <xf numFmtId="286" fontId="160" fillId="3" borderId="32" xfId="0" applyNumberFormat="1" applyFont="1" applyFill="1" applyBorder="1"/>
    <xf numFmtId="182" fontId="0" fillId="3" borderId="22" xfId="22" applyNumberFormat="1" applyFont="1" applyFill="1" applyBorder="1"/>
    <xf numFmtId="182" fontId="0" fillId="4" borderId="22" xfId="22" applyNumberFormat="1" applyFont="1" applyFill="1" applyBorder="1"/>
    <xf numFmtId="3" fontId="13" fillId="100" borderId="32" xfId="1007" applyNumberFormat="1" applyFont="1" applyFill="1" applyBorder="1"/>
    <xf numFmtId="184" fontId="306" fillId="3" borderId="40" xfId="275" applyFont="1" applyFill="1" applyBorder="1" applyAlignment="1">
      <alignment horizontal="left" wrapText="1" indent="1"/>
    </xf>
    <xf numFmtId="10" fontId="300" fillId="3" borderId="21" xfId="1007" applyNumberFormat="1" applyFont="1" applyFill="1" applyBorder="1"/>
    <xf numFmtId="10" fontId="300" fillId="3" borderId="44" xfId="1007" applyNumberFormat="1" applyFont="1" applyFill="1" applyBorder="1"/>
    <xf numFmtId="10" fontId="300" fillId="3" borderId="40" xfId="1007" applyNumberFormat="1" applyFont="1" applyFill="1" applyBorder="1"/>
    <xf numFmtId="10" fontId="15" fillId="4" borderId="22" xfId="1007" applyNumberFormat="1" applyFont="1" applyFill="1" applyBorder="1"/>
    <xf numFmtId="10" fontId="15" fillId="3" borderId="22" xfId="1007" applyNumberFormat="1" applyFont="1" applyFill="1" applyBorder="1"/>
    <xf numFmtId="3" fontId="293" fillId="3" borderId="40" xfId="1007" applyNumberFormat="1" applyFont="1" applyFill="1" applyBorder="1"/>
    <xf numFmtId="3" fontId="14" fillId="3" borderId="22" xfId="1007" applyNumberFormat="1" applyFont="1" applyFill="1" applyBorder="1"/>
    <xf numFmtId="184" fontId="14" fillId="3" borderId="20" xfId="275" applyFont="1" applyFill="1" applyBorder="1" applyAlignment="1">
      <alignment horizontal="left" wrapText="1" indent="2"/>
    </xf>
    <xf numFmtId="3" fontId="14" fillId="3" borderId="0" xfId="1012" applyNumberFormat="1" applyFont="1" applyFill="1" applyAlignment="1">
      <alignment horizontal="center"/>
    </xf>
    <xf numFmtId="3" fontId="295" fillId="82" borderId="115" xfId="0" applyNumberFormat="1" applyFont="1" applyFill="1" applyBorder="1"/>
    <xf numFmtId="1" fontId="310" fillId="4" borderId="0" xfId="793" applyNumberFormat="1" applyFont="1" applyFill="1"/>
    <xf numFmtId="0" fontId="292" fillId="6" borderId="0" xfId="793" applyFont="1" applyFill="1"/>
    <xf numFmtId="0" fontId="26" fillId="6" borderId="0" xfId="793" applyFont="1" applyFill="1"/>
    <xf numFmtId="0" fontId="25" fillId="3" borderId="0" xfId="1012" applyFont="1" applyFill="1"/>
    <xf numFmtId="184" fontId="25" fillId="3" borderId="13" xfId="275" applyFont="1" applyFill="1" applyBorder="1" applyAlignment="1">
      <alignment horizontal="left" wrapText="1" indent="2"/>
    </xf>
    <xf numFmtId="3" fontId="25" fillId="3" borderId="28" xfId="1007" applyNumberFormat="1" applyFont="1" applyFill="1" applyBorder="1"/>
    <xf numFmtId="3" fontId="25" fillId="3" borderId="0" xfId="1007" applyNumberFormat="1" applyFont="1" applyFill="1"/>
    <xf numFmtId="0" fontId="25" fillId="0" borderId="0" xfId="1012" applyFont="1"/>
    <xf numFmtId="9" fontId="293" fillId="4" borderId="0" xfId="22" applyFont="1" applyFill="1" applyBorder="1"/>
    <xf numFmtId="10" fontId="293" fillId="4" borderId="0" xfId="22" applyNumberFormat="1" applyFont="1" applyFill="1" applyBorder="1"/>
    <xf numFmtId="10" fontId="293" fillId="4" borderId="28" xfId="22" applyNumberFormat="1" applyFont="1" applyFill="1" applyBorder="1"/>
    <xf numFmtId="9" fontId="293" fillId="4" borderId="22" xfId="22" applyFont="1" applyFill="1" applyBorder="1"/>
    <xf numFmtId="10" fontId="293" fillId="4" borderId="22" xfId="22" applyNumberFormat="1" applyFont="1" applyFill="1" applyBorder="1"/>
    <xf numFmtId="10" fontId="293" fillId="4" borderId="40" xfId="22" applyNumberFormat="1" applyFont="1" applyFill="1" applyBorder="1"/>
    <xf numFmtId="286" fontId="13" fillId="3" borderId="153" xfId="1006" applyNumberFormat="1" applyFont="1" applyFill="1" applyBorder="1" applyAlignment="1">
      <alignment horizontal="center"/>
    </xf>
    <xf numFmtId="3" fontId="26" fillId="3" borderId="0" xfId="793" applyNumberFormat="1" applyFont="1" applyFill="1"/>
    <xf numFmtId="3" fontId="13" fillId="3" borderId="0" xfId="793" applyNumberFormat="1" applyFont="1" applyFill="1"/>
    <xf numFmtId="0" fontId="26" fillId="6" borderId="19" xfId="793" applyFont="1" applyFill="1" applyBorder="1"/>
    <xf numFmtId="0" fontId="26" fillId="3" borderId="0" xfId="793" applyFont="1" applyFill="1" applyAlignment="1">
      <alignment horizontal="left"/>
    </xf>
    <xf numFmtId="0" fontId="26" fillId="3" borderId="15" xfId="793" applyFont="1" applyFill="1" applyBorder="1"/>
    <xf numFmtId="3" fontId="294" fillId="3" borderId="15" xfId="793" applyNumberFormat="1" applyFont="1" applyFill="1" applyBorder="1"/>
    <xf numFmtId="3" fontId="294" fillId="3" borderId="41" xfId="793" applyNumberFormat="1" applyFont="1" applyFill="1" applyBorder="1"/>
    <xf numFmtId="3" fontId="26" fillId="3" borderId="15" xfId="793" applyNumberFormat="1" applyFont="1" applyFill="1" applyBorder="1"/>
    <xf numFmtId="3" fontId="13" fillId="3" borderId="15" xfId="793" applyNumberFormat="1" applyFont="1" applyFill="1" applyBorder="1"/>
    <xf numFmtId="0" fontId="292" fillId="3" borderId="15" xfId="793" applyFont="1" applyFill="1" applyBorder="1" applyAlignment="1">
      <alignment horizontal="left"/>
    </xf>
    <xf numFmtId="3" fontId="292" fillId="3" borderId="15" xfId="793" applyNumberFormat="1" applyFont="1" applyFill="1" applyBorder="1"/>
    <xf numFmtId="0" fontId="292" fillId="3" borderId="15" xfId="793" applyFont="1" applyFill="1" applyBorder="1"/>
    <xf numFmtId="0" fontId="20" fillId="3" borderId="0" xfId="793" applyFont="1" applyFill="1"/>
    <xf numFmtId="0" fontId="25" fillId="3" borderId="22" xfId="793" applyFont="1" applyFill="1" applyBorder="1"/>
    <xf numFmtId="1" fontId="10" fillId="4" borderId="16" xfId="1005" applyNumberFormat="1" applyFont="1" applyFill="1" applyBorder="1" applyAlignment="1">
      <alignment horizontal="right"/>
    </xf>
    <xf numFmtId="0" fontId="9" fillId="3" borderId="19" xfId="0" applyFont="1" applyFill="1" applyBorder="1"/>
    <xf numFmtId="3" fontId="295" fillId="3" borderId="19" xfId="0" applyNumberFormat="1" applyFont="1" applyFill="1" applyBorder="1"/>
    <xf numFmtId="3" fontId="9" fillId="3" borderId="19" xfId="0" applyNumberFormat="1" applyFont="1" applyFill="1" applyBorder="1"/>
    <xf numFmtId="0" fontId="8" fillId="81" borderId="19" xfId="0" applyFont="1" applyFill="1" applyBorder="1"/>
    <xf numFmtId="0" fontId="8" fillId="3" borderId="0" xfId="0" applyFont="1" applyFill="1"/>
    <xf numFmtId="4" fontId="9" fillId="3" borderId="0" xfId="0" applyNumberFormat="1" applyFont="1" applyFill="1"/>
    <xf numFmtId="4" fontId="9" fillId="4" borderId="0" xfId="0" applyNumberFormat="1" applyFont="1" applyFill="1"/>
    <xf numFmtId="4" fontId="321" fillId="4" borderId="0" xfId="0" applyNumberFormat="1" applyFont="1" applyFill="1"/>
    <xf numFmtId="3" fontId="343" fillId="3" borderId="0" xfId="0" applyNumberFormat="1" applyFont="1" applyFill="1" applyAlignment="1">
      <alignment horizontal="left" indent="5"/>
    </xf>
    <xf numFmtId="3" fontId="343" fillId="3" borderId="0" xfId="0" applyNumberFormat="1" applyFont="1" applyFill="1"/>
    <xf numFmtId="3" fontId="343" fillId="3" borderId="28" xfId="0" applyNumberFormat="1" applyFont="1" applyFill="1" applyBorder="1"/>
    <xf numFmtId="3" fontId="343" fillId="4" borderId="0" xfId="0" applyNumberFormat="1" applyFont="1" applyFill="1"/>
    <xf numFmtId="3" fontId="344" fillId="3" borderId="0" xfId="0" applyNumberFormat="1" applyFont="1" applyFill="1" applyAlignment="1">
      <alignment horizontal="left" indent="5"/>
    </xf>
    <xf numFmtId="3" fontId="344" fillId="3" borderId="0" xfId="0" applyNumberFormat="1" applyFont="1" applyFill="1"/>
    <xf numFmtId="3" fontId="344" fillId="3" borderId="28" xfId="0" applyNumberFormat="1" applyFont="1" applyFill="1" applyBorder="1"/>
    <xf numFmtId="3" fontId="344" fillId="4" borderId="0" xfId="0" applyNumberFormat="1" applyFont="1" applyFill="1"/>
    <xf numFmtId="0" fontId="0" fillId="3" borderId="0" xfId="0" applyFill="1" applyAlignment="1">
      <alignment wrapText="1"/>
    </xf>
    <xf numFmtId="3" fontId="45" fillId="3" borderId="0" xfId="0" applyNumberFormat="1" applyFont="1" applyFill="1" applyAlignment="1">
      <alignment wrapText="1"/>
    </xf>
    <xf numFmtId="3" fontId="45" fillId="3" borderId="153" xfId="0" applyNumberFormat="1" applyFont="1" applyFill="1" applyBorder="1" applyAlignment="1">
      <alignment wrapText="1"/>
    </xf>
    <xf numFmtId="0" fontId="47" fillId="3" borderId="76" xfId="0" applyFont="1" applyFill="1" applyBorder="1" applyAlignment="1">
      <alignment horizontal="left" wrapText="1" indent="2"/>
    </xf>
    <xf numFmtId="3" fontId="45" fillId="3" borderId="13" xfId="0" applyNumberFormat="1" applyFont="1" applyFill="1" applyBorder="1" applyAlignment="1">
      <alignment wrapText="1"/>
    </xf>
    <xf numFmtId="0" fontId="47" fillId="3" borderId="117" xfId="0" applyFont="1" applyFill="1" applyBorder="1" applyAlignment="1">
      <alignment horizontal="left" wrapText="1" indent="2"/>
    </xf>
    <xf numFmtId="3" fontId="45" fillId="3" borderId="116" xfId="0" applyNumberFormat="1" applyFont="1" applyFill="1" applyBorder="1" applyAlignment="1">
      <alignment wrapText="1"/>
    </xf>
    <xf numFmtId="0" fontId="47" fillId="3" borderId="71" xfId="0" applyFont="1" applyFill="1" applyBorder="1" applyAlignment="1">
      <alignment wrapText="1"/>
    </xf>
    <xf numFmtId="9" fontId="0" fillId="3" borderId="19" xfId="22" applyFont="1" applyFill="1" applyBorder="1" applyAlignment="1">
      <alignment wrapText="1"/>
    </xf>
    <xf numFmtId="9" fontId="0" fillId="3" borderId="17" xfId="22" applyFont="1" applyFill="1" applyBorder="1" applyAlignment="1">
      <alignment wrapText="1"/>
    </xf>
    <xf numFmtId="0" fontId="336" fillId="3" borderId="117" xfId="0" applyFont="1" applyFill="1" applyBorder="1" applyAlignment="1">
      <alignment wrapText="1"/>
    </xf>
    <xf numFmtId="9" fontId="336" fillId="3" borderId="153" xfId="22" applyFont="1" applyFill="1" applyBorder="1" applyAlignment="1">
      <alignment wrapText="1"/>
    </xf>
    <xf numFmtId="9" fontId="336" fillId="3" borderId="116" xfId="22" applyFont="1" applyFill="1" applyBorder="1" applyAlignment="1">
      <alignment wrapText="1"/>
    </xf>
    <xf numFmtId="0" fontId="160" fillId="81" borderId="71" xfId="0" applyFont="1" applyFill="1" applyBorder="1" applyAlignment="1">
      <alignment wrapText="1"/>
    </xf>
    <xf numFmtId="3" fontId="35" fillId="81" borderId="19" xfId="0" applyNumberFormat="1" applyFont="1" applyFill="1" applyBorder="1" applyAlignment="1">
      <alignment wrapText="1"/>
    </xf>
    <xf numFmtId="3" fontId="35" fillId="81" borderId="17" xfId="0" applyNumberFormat="1" applyFont="1" applyFill="1" applyBorder="1" applyAlignment="1">
      <alignment wrapText="1"/>
    </xf>
    <xf numFmtId="0" fontId="345" fillId="3" borderId="159" xfId="0" applyFont="1" applyFill="1" applyBorder="1" applyAlignment="1">
      <alignment wrapText="1"/>
    </xf>
    <xf numFmtId="0" fontId="160" fillId="3" borderId="9" xfId="0" applyFont="1" applyFill="1" applyBorder="1" applyAlignment="1">
      <alignment horizontal="center" wrapText="1"/>
    </xf>
    <xf numFmtId="0" fontId="160" fillId="3" borderId="7" xfId="0" applyFont="1" applyFill="1" applyBorder="1" applyAlignment="1">
      <alignment horizontal="center" wrapText="1"/>
    </xf>
    <xf numFmtId="0" fontId="0" fillId="3" borderId="7" xfId="0" applyFill="1" applyBorder="1" applyAlignment="1">
      <alignment wrapText="1"/>
    </xf>
    <xf numFmtId="3" fontId="0" fillId="3" borderId="17" xfId="22" applyNumberFormat="1" applyFont="1" applyFill="1" applyBorder="1" applyAlignment="1">
      <alignment wrapText="1"/>
    </xf>
    <xf numFmtId="3" fontId="336" fillId="3" borderId="116" xfId="22" applyNumberFormat="1" applyFont="1" applyFill="1" applyBorder="1" applyAlignment="1">
      <alignment wrapText="1"/>
    </xf>
    <xf numFmtId="3" fontId="285" fillId="3" borderId="0" xfId="793" applyNumberFormat="1" applyFont="1" applyFill="1"/>
    <xf numFmtId="3" fontId="346" fillId="3" borderId="0" xfId="0" applyNumberFormat="1" applyFont="1" applyFill="1" applyAlignment="1">
      <alignment horizontal="left" indent="5"/>
    </xf>
    <xf numFmtId="3" fontId="346" fillId="3" borderId="0" xfId="0" applyNumberFormat="1" applyFont="1" applyFill="1"/>
    <xf numFmtId="3" fontId="346" fillId="3" borderId="28" xfId="0" applyNumberFormat="1" applyFont="1" applyFill="1" applyBorder="1"/>
    <xf numFmtId="3" fontId="346" fillId="4" borderId="0" xfId="0" applyNumberFormat="1" applyFont="1" applyFill="1"/>
    <xf numFmtId="182" fontId="344" fillId="4" borderId="28" xfId="22" applyNumberFormat="1" applyFont="1" applyFill="1" applyBorder="1"/>
    <xf numFmtId="3" fontId="344" fillId="3" borderId="0" xfId="0" applyNumberFormat="1" applyFont="1" applyFill="1" applyAlignment="1">
      <alignment horizontal="right"/>
    </xf>
    <xf numFmtId="4" fontId="347" fillId="4" borderId="0" xfId="0" applyNumberFormat="1" applyFont="1" applyFill="1"/>
    <xf numFmtId="3" fontId="25" fillId="3" borderId="21" xfId="793" applyNumberFormat="1" applyFont="1" applyFill="1" applyBorder="1"/>
    <xf numFmtId="182" fontId="320" fillId="4" borderId="0" xfId="22" applyNumberFormat="1" applyFont="1" applyFill="1"/>
    <xf numFmtId="3" fontId="160" fillId="4" borderId="0" xfId="0" applyNumberFormat="1" applyFont="1" applyFill="1"/>
    <xf numFmtId="182" fontId="160" fillId="4" borderId="0" xfId="22" applyNumberFormat="1" applyFont="1" applyFill="1"/>
    <xf numFmtId="0" fontId="336" fillId="3" borderId="0" xfId="0" applyFont="1" applyFill="1"/>
    <xf numFmtId="0" fontId="10" fillId="7" borderId="115" xfId="0" applyFont="1" applyFill="1" applyBorder="1" applyAlignment="1">
      <alignment vertical="center"/>
    </xf>
    <xf numFmtId="0" fontId="14" fillId="3" borderId="28" xfId="1006" applyFont="1" applyFill="1" applyBorder="1" applyAlignment="1">
      <alignment horizontal="left" indent="1"/>
    </xf>
    <xf numFmtId="0" fontId="13" fillId="3" borderId="30" xfId="1005" applyFont="1" applyFill="1" applyBorder="1" applyAlignment="1">
      <alignment horizontal="left"/>
    </xf>
    <xf numFmtId="0" fontId="14" fillId="3" borderId="40" xfId="1005" applyFont="1" applyFill="1" applyBorder="1" applyAlignment="1">
      <alignment horizontal="left" indent="1"/>
    </xf>
    <xf numFmtId="3" fontId="14" fillId="3" borderId="22" xfId="1005" applyNumberFormat="1" applyFont="1" applyFill="1" applyBorder="1" applyAlignment="1">
      <alignment horizontal="right"/>
    </xf>
    <xf numFmtId="3" fontId="14" fillId="3" borderId="40" xfId="1005" applyNumberFormat="1" applyFont="1" applyFill="1" applyBorder="1" applyAlignment="1">
      <alignment horizontal="right"/>
    </xf>
    <xf numFmtId="0" fontId="14" fillId="3" borderId="22" xfId="0" applyFont="1" applyFill="1" applyBorder="1" applyAlignment="1" applyProtection="1">
      <alignment horizontal="left" vertical="center"/>
      <protection locked="0"/>
    </xf>
    <xf numFmtId="182" fontId="160" fillId="3" borderId="0" xfId="22" applyNumberFormat="1" applyFont="1" applyFill="1"/>
    <xf numFmtId="3" fontId="0" fillId="3" borderId="28" xfId="0" applyNumberFormat="1" applyFill="1" applyBorder="1"/>
    <xf numFmtId="9" fontId="321" fillId="4" borderId="0" xfId="22" applyFont="1" applyFill="1"/>
    <xf numFmtId="3" fontId="7" fillId="3" borderId="0" xfId="0" applyNumberFormat="1" applyFont="1" applyFill="1" applyAlignment="1">
      <alignment horizontal="right"/>
    </xf>
    <xf numFmtId="0" fontId="14" fillId="3" borderId="28" xfId="0" applyFont="1" applyFill="1" applyBorder="1" applyAlignment="1" applyProtection="1">
      <alignment horizontal="left" vertical="center"/>
      <protection locked="0"/>
    </xf>
    <xf numFmtId="0" fontId="14" fillId="3" borderId="40" xfId="0" applyFont="1" applyFill="1" applyBorder="1" applyAlignment="1" applyProtection="1">
      <alignment horizontal="left" vertical="center"/>
      <protection locked="0"/>
    </xf>
    <xf numFmtId="3" fontId="47" fillId="3" borderId="160" xfId="0" applyNumberFormat="1" applyFont="1" applyFill="1" applyBorder="1"/>
    <xf numFmtId="3" fontId="47" fillId="3" borderId="160" xfId="0" applyNumberFormat="1" applyFont="1" applyFill="1" applyBorder="1" applyAlignment="1">
      <alignment horizontal="center"/>
    </xf>
    <xf numFmtId="3" fontId="47" fillId="3" borderId="159" xfId="0" applyNumberFormat="1" applyFont="1" applyFill="1" applyBorder="1" applyAlignment="1">
      <alignment horizontal="center"/>
    </xf>
    <xf numFmtId="3" fontId="0" fillId="3" borderId="76" xfId="0" applyNumberFormat="1" applyFill="1" applyBorder="1"/>
    <xf numFmtId="3" fontId="47" fillId="3" borderId="161" xfId="0" applyNumberFormat="1" applyFont="1" applyFill="1" applyBorder="1" applyAlignment="1">
      <alignment horizontal="center"/>
    </xf>
    <xf numFmtId="3" fontId="0" fillId="3" borderId="13" xfId="0" applyNumberFormat="1" applyFill="1" applyBorder="1"/>
    <xf numFmtId="182" fontId="340" fillId="4" borderId="0" xfId="22" applyNumberFormat="1" applyFont="1" applyFill="1" applyAlignment="1">
      <alignment horizontal="right" vertical="center"/>
    </xf>
    <xf numFmtId="182" fontId="340" fillId="4" borderId="0" xfId="0" applyNumberFormat="1" applyFont="1" applyFill="1" applyAlignment="1">
      <alignment horizontal="right" vertical="center"/>
    </xf>
    <xf numFmtId="3" fontId="0" fillId="3" borderId="0" xfId="0" applyNumberFormat="1" applyFill="1" applyAlignment="1">
      <alignment horizontal="center"/>
    </xf>
    <xf numFmtId="10" fontId="0" fillId="3" borderId="153" xfId="22" applyNumberFormat="1" applyFont="1" applyFill="1" applyBorder="1"/>
    <xf numFmtId="0" fontId="6" fillId="3" borderId="0" xfId="0" applyFont="1" applyFill="1"/>
    <xf numFmtId="9" fontId="0" fillId="4" borderId="0" xfId="22" applyFont="1" applyFill="1"/>
    <xf numFmtId="3" fontId="296" fillId="3" borderId="19" xfId="0" applyNumberFormat="1" applyFont="1" applyFill="1" applyBorder="1"/>
    <xf numFmtId="182" fontId="160" fillId="3" borderId="0" xfId="22" applyNumberFormat="1" applyFont="1" applyFill="1" applyBorder="1"/>
    <xf numFmtId="0" fontId="13" fillId="3" borderId="32" xfId="1005" applyFont="1" applyFill="1" applyBorder="1" applyAlignment="1">
      <alignment horizontal="left"/>
    </xf>
    <xf numFmtId="3" fontId="0" fillId="3" borderId="76" xfId="0" applyNumberFormat="1" applyFill="1" applyBorder="1" applyAlignment="1">
      <alignment horizontal="right"/>
    </xf>
    <xf numFmtId="3" fontId="0" fillId="3" borderId="13" xfId="0" applyNumberFormat="1" applyFill="1" applyBorder="1" applyAlignment="1">
      <alignment horizontal="right"/>
    </xf>
    <xf numFmtId="182" fontId="320" fillId="3" borderId="0" xfId="22" applyNumberFormat="1" applyFont="1" applyFill="1" applyAlignment="1">
      <alignment horizontal="left" indent="4"/>
    </xf>
    <xf numFmtId="182" fontId="320" fillId="3" borderId="0" xfId="22" applyNumberFormat="1" applyFont="1" applyFill="1"/>
    <xf numFmtId="182" fontId="320" fillId="3" borderId="28" xfId="22" applyNumberFormat="1" applyFont="1" applyFill="1" applyBorder="1"/>
    <xf numFmtId="182" fontId="347" fillId="4" borderId="0" xfId="22" applyNumberFormat="1" applyFont="1" applyFill="1"/>
    <xf numFmtId="182" fontId="0" fillId="3" borderId="153" xfId="22" applyNumberFormat="1" applyFont="1" applyFill="1" applyBorder="1"/>
    <xf numFmtId="3" fontId="160" fillId="3" borderId="159" xfId="0" applyNumberFormat="1" applyFont="1" applyFill="1" applyBorder="1" applyAlignment="1">
      <alignment horizontal="center"/>
    </xf>
    <xf numFmtId="3" fontId="160" fillId="3" borderId="160" xfId="0" applyNumberFormat="1" applyFont="1" applyFill="1" applyBorder="1" applyAlignment="1">
      <alignment horizontal="center"/>
    </xf>
    <xf numFmtId="3" fontId="160" fillId="3" borderId="161" xfId="0" applyNumberFormat="1" applyFont="1" applyFill="1" applyBorder="1" applyAlignment="1">
      <alignment horizontal="center"/>
    </xf>
    <xf numFmtId="3" fontId="320" fillId="4" borderId="0" xfId="0" applyNumberFormat="1" applyFont="1" applyFill="1"/>
    <xf numFmtId="182" fontId="320" fillId="4" borderId="115" xfId="22" applyNumberFormat="1" applyFont="1" applyFill="1" applyBorder="1"/>
    <xf numFmtId="3" fontId="20" fillId="4" borderId="0" xfId="793" applyNumberFormat="1" applyFont="1" applyFill="1"/>
    <xf numFmtId="3" fontId="160" fillId="81" borderId="160" xfId="0" applyNumberFormat="1" applyFont="1" applyFill="1" applyBorder="1"/>
    <xf numFmtId="3" fontId="47" fillId="3" borderId="0" xfId="0" applyNumberFormat="1" applyFont="1" applyFill="1" applyAlignment="1">
      <alignment horizontal="left"/>
    </xf>
    <xf numFmtId="3" fontId="0" fillId="3" borderId="160" xfId="0" applyNumberFormat="1" applyFill="1" applyBorder="1"/>
    <xf numFmtId="3" fontId="47" fillId="3" borderId="153" xfId="0" applyNumberFormat="1" applyFont="1" applyFill="1" applyBorder="1" applyAlignment="1">
      <alignment horizontal="left"/>
    </xf>
    <xf numFmtId="182" fontId="347" fillId="4" borderId="153" xfId="22" applyNumberFormat="1" applyFont="1" applyFill="1" applyBorder="1" applyAlignment="1">
      <alignment wrapText="1"/>
    </xf>
    <xf numFmtId="3" fontId="160" fillId="3" borderId="19" xfId="0" applyNumberFormat="1" applyFont="1" applyFill="1" applyBorder="1" applyAlignment="1">
      <alignment horizontal="center"/>
    </xf>
    <xf numFmtId="182" fontId="341" fillId="3" borderId="0" xfId="22" applyNumberFormat="1" applyFont="1" applyFill="1" applyBorder="1"/>
    <xf numFmtId="3" fontId="350" fillId="3" borderId="0" xfId="0" applyNumberFormat="1" applyFont="1" applyFill="1" applyAlignment="1">
      <alignment horizontal="left" indent="2"/>
    </xf>
    <xf numFmtId="3" fontId="350" fillId="3" borderId="76" xfId="0" applyNumberFormat="1" applyFont="1" applyFill="1" applyBorder="1"/>
    <xf numFmtId="3" fontId="350" fillId="3" borderId="0" xfId="0" applyNumberFormat="1" applyFont="1" applyFill="1"/>
    <xf numFmtId="3" fontId="350" fillId="3" borderId="13" xfId="0" applyNumberFormat="1" applyFont="1" applyFill="1" applyBorder="1"/>
    <xf numFmtId="182" fontId="0" fillId="3" borderId="162" xfId="22" applyNumberFormat="1" applyFont="1" applyFill="1" applyBorder="1" applyAlignment="1">
      <alignment horizontal="right"/>
    </xf>
    <xf numFmtId="182" fontId="0" fillId="3" borderId="20" xfId="22" applyNumberFormat="1" applyFont="1" applyFill="1" applyBorder="1" applyAlignment="1">
      <alignment horizontal="right"/>
    </xf>
    <xf numFmtId="0" fontId="352" fillId="3" borderId="0" xfId="0" applyFont="1" applyFill="1" applyAlignment="1">
      <alignment wrapText="1"/>
    </xf>
    <xf numFmtId="9" fontId="0" fillId="4" borderId="19" xfId="22" applyFont="1" applyFill="1" applyBorder="1" applyAlignment="1">
      <alignment wrapText="1"/>
    </xf>
    <xf numFmtId="3" fontId="47" fillId="3" borderId="153" xfId="0" applyNumberFormat="1" applyFont="1" applyFill="1" applyBorder="1"/>
    <xf numFmtId="182" fontId="0" fillId="4" borderId="153" xfId="22" applyNumberFormat="1" applyFont="1" applyFill="1" applyBorder="1"/>
    <xf numFmtId="3" fontId="0" fillId="3" borderId="19" xfId="0" applyNumberFormat="1" applyFill="1" applyBorder="1"/>
    <xf numFmtId="3" fontId="353" fillId="3" borderId="0" xfId="0" applyNumberFormat="1" applyFont="1" applyFill="1" applyAlignment="1">
      <alignment horizontal="left" indent="2"/>
    </xf>
    <xf numFmtId="3" fontId="353" fillId="3" borderId="76" xfId="0" applyNumberFormat="1" applyFont="1" applyFill="1" applyBorder="1"/>
    <xf numFmtId="3" fontId="353" fillId="3" borderId="0" xfId="0" applyNumberFormat="1" applyFont="1" applyFill="1"/>
    <xf numFmtId="3" fontId="353" fillId="3" borderId="13" xfId="0" applyNumberFormat="1" applyFont="1" applyFill="1" applyBorder="1"/>
    <xf numFmtId="3" fontId="354" fillId="3" borderId="0" xfId="0" applyNumberFormat="1" applyFont="1" applyFill="1"/>
    <xf numFmtId="3" fontId="354" fillId="3" borderId="13" xfId="0" applyNumberFormat="1" applyFont="1" applyFill="1" applyBorder="1" applyAlignment="1">
      <alignment horizontal="right"/>
    </xf>
    <xf numFmtId="3" fontId="356" fillId="3" borderId="32" xfId="1005" applyNumberFormat="1" applyFont="1" applyFill="1" applyBorder="1" applyAlignment="1">
      <alignment horizontal="right"/>
    </xf>
    <xf numFmtId="3" fontId="354" fillId="3" borderId="0" xfId="0" applyNumberFormat="1" applyFont="1" applyFill="1" applyAlignment="1">
      <alignment horizontal="center"/>
    </xf>
    <xf numFmtId="3" fontId="355" fillId="3" borderId="19" xfId="0" applyNumberFormat="1" applyFont="1" applyFill="1" applyBorder="1"/>
    <xf numFmtId="3" fontId="355" fillId="3" borderId="19" xfId="0" applyNumberFormat="1" applyFont="1" applyFill="1" applyBorder="1" applyAlignment="1">
      <alignment horizontal="center"/>
    </xf>
    <xf numFmtId="3" fontId="354" fillId="3" borderId="153" xfId="0" applyNumberFormat="1" applyFont="1" applyFill="1" applyBorder="1"/>
    <xf numFmtId="10" fontId="354" fillId="3" borderId="153" xfId="22" applyNumberFormat="1" applyFont="1" applyFill="1" applyBorder="1"/>
    <xf numFmtId="182" fontId="354" fillId="3" borderId="0" xfId="22" applyNumberFormat="1" applyFont="1" applyFill="1"/>
    <xf numFmtId="10" fontId="354" fillId="3" borderId="0" xfId="22" applyNumberFormat="1" applyFont="1" applyFill="1"/>
    <xf numFmtId="182" fontId="354" fillId="3" borderId="153" xfId="22" applyNumberFormat="1" applyFont="1" applyFill="1" applyBorder="1"/>
    <xf numFmtId="3" fontId="354" fillId="3" borderId="19" xfId="0" applyNumberFormat="1" applyFont="1" applyFill="1" applyBorder="1" applyAlignment="1">
      <alignment horizontal="center"/>
    </xf>
    <xf numFmtId="182" fontId="0" fillId="3" borderId="0" xfId="22" applyNumberFormat="1" applyFont="1" applyFill="1" applyBorder="1"/>
    <xf numFmtId="10" fontId="0" fillId="3" borderId="0" xfId="22" applyNumberFormat="1" applyFont="1" applyFill="1" applyBorder="1"/>
    <xf numFmtId="3" fontId="320" fillId="82" borderId="0" xfId="0" applyNumberFormat="1" applyFont="1" applyFill="1"/>
    <xf numFmtId="3" fontId="336" fillId="3" borderId="160" xfId="0" applyNumberFormat="1" applyFont="1" applyFill="1" applyBorder="1"/>
    <xf numFmtId="3" fontId="336" fillId="3" borderId="161" xfId="0" applyNumberFormat="1" applyFont="1" applyFill="1" applyBorder="1" applyAlignment="1">
      <alignment horizontal="center"/>
    </xf>
    <xf numFmtId="3" fontId="336" fillId="3" borderId="160" xfId="0" applyNumberFormat="1" applyFont="1" applyFill="1" applyBorder="1" applyAlignment="1">
      <alignment horizontal="center"/>
    </xf>
    <xf numFmtId="3" fontId="336" fillId="3" borderId="13" xfId="0" applyNumberFormat="1" applyFont="1" applyFill="1" applyBorder="1"/>
    <xf numFmtId="3" fontId="346" fillId="3" borderId="0" xfId="0" applyNumberFormat="1" applyFont="1" applyFill="1" applyAlignment="1">
      <alignment horizontal="left" indent="2"/>
    </xf>
    <xf numFmtId="3" fontId="346" fillId="3" borderId="13" xfId="0" applyNumberFormat="1" applyFont="1" applyFill="1" applyBorder="1"/>
    <xf numFmtId="3" fontId="357" fillId="81" borderId="153" xfId="0" applyNumberFormat="1" applyFont="1" applyFill="1" applyBorder="1"/>
    <xf numFmtId="3" fontId="357" fillId="81" borderId="116" xfId="0" applyNumberFormat="1" applyFont="1" applyFill="1" applyBorder="1"/>
    <xf numFmtId="3" fontId="357" fillId="3" borderId="153" xfId="0" applyNumberFormat="1" applyFont="1" applyFill="1" applyBorder="1"/>
    <xf numFmtId="182" fontId="357" fillId="3" borderId="116" xfId="22" applyNumberFormat="1" applyFont="1" applyFill="1" applyBorder="1"/>
    <xf numFmtId="182" fontId="357" fillId="3" borderId="153" xfId="22" applyNumberFormat="1" applyFont="1" applyFill="1" applyBorder="1"/>
    <xf numFmtId="3" fontId="357" fillId="81" borderId="160" xfId="0" applyNumberFormat="1" applyFont="1" applyFill="1" applyBorder="1"/>
    <xf numFmtId="3" fontId="357" fillId="3" borderId="161" xfId="0" applyNumberFormat="1" applyFont="1" applyFill="1" applyBorder="1" applyAlignment="1">
      <alignment horizontal="center"/>
    </xf>
    <xf numFmtId="3" fontId="357" fillId="3" borderId="160" xfId="0" applyNumberFormat="1" applyFont="1" applyFill="1" applyBorder="1" applyAlignment="1">
      <alignment horizontal="center"/>
    </xf>
    <xf numFmtId="3" fontId="336" fillId="3" borderId="13" xfId="0" applyNumberFormat="1" applyFont="1" applyFill="1" applyBorder="1" applyAlignment="1">
      <alignment horizontal="right"/>
    </xf>
    <xf numFmtId="0" fontId="24" fillId="3" borderId="32" xfId="1005" applyFont="1" applyFill="1" applyBorder="1" applyAlignment="1">
      <alignment horizontal="left"/>
    </xf>
    <xf numFmtId="3" fontId="24" fillId="3" borderId="32" xfId="1005" applyNumberFormat="1" applyFont="1" applyFill="1" applyBorder="1" applyAlignment="1">
      <alignment horizontal="right"/>
    </xf>
    <xf numFmtId="3" fontId="336" fillId="3" borderId="22" xfId="0" applyNumberFormat="1" applyFont="1" applyFill="1" applyBorder="1"/>
    <xf numFmtId="182" fontId="336" fillId="3" borderId="20" xfId="22" applyNumberFormat="1" applyFont="1" applyFill="1" applyBorder="1" applyAlignment="1">
      <alignment horizontal="right"/>
    </xf>
    <xf numFmtId="182" fontId="336" fillId="3" borderId="22" xfId="22" applyNumberFormat="1" applyFont="1" applyFill="1" applyBorder="1"/>
    <xf numFmtId="3" fontId="357" fillId="3" borderId="0" xfId="0" applyNumberFormat="1" applyFont="1" applyFill="1"/>
    <xf numFmtId="182" fontId="357" fillId="3" borderId="0" xfId="22" applyNumberFormat="1" applyFont="1" applyFill="1" applyBorder="1"/>
    <xf numFmtId="3" fontId="336" fillId="3" borderId="0" xfId="0" applyNumberFormat="1" applyFont="1" applyFill="1" applyAlignment="1">
      <alignment horizontal="left"/>
    </xf>
    <xf numFmtId="182" fontId="336" fillId="4" borderId="0" xfId="22" applyNumberFormat="1" applyFont="1" applyFill="1"/>
    <xf numFmtId="182" fontId="358" fillId="3" borderId="0" xfId="22" applyNumberFormat="1" applyFont="1" applyFill="1" applyBorder="1"/>
    <xf numFmtId="3" fontId="358" fillId="3" borderId="0" xfId="0" applyNumberFormat="1" applyFont="1" applyFill="1"/>
    <xf numFmtId="3" fontId="336" fillId="3" borderId="153" xfId="0" applyNumberFormat="1" applyFont="1" applyFill="1" applyBorder="1" applyAlignment="1">
      <alignment horizontal="left"/>
    </xf>
    <xf numFmtId="182" fontId="357" fillId="4" borderId="153" xfId="22" applyNumberFormat="1" applyFont="1" applyFill="1" applyBorder="1" applyAlignment="1">
      <alignment wrapText="1"/>
    </xf>
    <xf numFmtId="3" fontId="47" fillId="3" borderId="0" xfId="0" applyNumberFormat="1" applyFont="1" applyFill="1" applyAlignment="1">
      <alignment horizontal="center"/>
    </xf>
    <xf numFmtId="9" fontId="350" fillId="3" borderId="0" xfId="22" applyFont="1" applyFill="1" applyBorder="1"/>
    <xf numFmtId="9" fontId="353" fillId="3" borderId="0" xfId="22" applyFont="1" applyFill="1" applyBorder="1"/>
    <xf numFmtId="9" fontId="0" fillId="3" borderId="0" xfId="22" applyFont="1" applyFill="1" applyBorder="1"/>
    <xf numFmtId="9" fontId="160" fillId="3" borderId="160" xfId="22" applyFont="1" applyFill="1" applyBorder="1" applyAlignment="1">
      <alignment horizontal="center"/>
    </xf>
    <xf numFmtId="9" fontId="13" fillId="3" borderId="32" xfId="22" applyFont="1" applyFill="1" applyBorder="1" applyAlignment="1">
      <alignment horizontal="right"/>
    </xf>
    <xf numFmtId="9" fontId="0" fillId="3" borderId="22" xfId="22" applyFont="1" applyFill="1" applyBorder="1"/>
    <xf numFmtId="3" fontId="13" fillId="3" borderId="29" xfId="1005" applyNumberFormat="1" applyFont="1" applyFill="1" applyBorder="1" applyAlignment="1">
      <alignment horizontal="right"/>
    </xf>
    <xf numFmtId="3" fontId="350" fillId="3" borderId="76" xfId="0" applyNumberFormat="1" applyFont="1" applyFill="1" applyBorder="1" applyAlignment="1">
      <alignment horizontal="right"/>
    </xf>
    <xf numFmtId="3" fontId="350" fillId="3" borderId="13" xfId="0" applyNumberFormat="1" applyFont="1" applyFill="1" applyBorder="1" applyAlignment="1">
      <alignment horizontal="right"/>
    </xf>
    <xf numFmtId="3" fontId="354" fillId="3" borderId="76" xfId="0" applyNumberFormat="1" applyFont="1" applyFill="1" applyBorder="1" applyAlignment="1">
      <alignment horizontal="right"/>
    </xf>
    <xf numFmtId="9" fontId="354" fillId="3" borderId="0" xfId="22" applyFont="1" applyFill="1" applyBorder="1"/>
    <xf numFmtId="9" fontId="296" fillId="3" borderId="0" xfId="0" applyNumberFormat="1" applyFont="1" applyFill="1"/>
    <xf numFmtId="3" fontId="359" fillId="3" borderId="0" xfId="0" applyNumberFormat="1" applyFont="1" applyFill="1"/>
    <xf numFmtId="182" fontId="359" fillId="3" borderId="0" xfId="22" applyNumberFormat="1" applyFont="1" applyFill="1"/>
    <xf numFmtId="10" fontId="160" fillId="3" borderId="46" xfId="22" applyNumberFormat="1" applyFont="1" applyFill="1" applyBorder="1"/>
    <xf numFmtId="3" fontId="47" fillId="81" borderId="0" xfId="0" applyNumberFormat="1" applyFont="1" applyFill="1"/>
    <xf numFmtId="3" fontId="47" fillId="81" borderId="76" xfId="0" applyNumberFormat="1" applyFont="1" applyFill="1" applyBorder="1"/>
    <xf numFmtId="3" fontId="47" fillId="81" borderId="13" xfId="0" applyNumberFormat="1" applyFont="1" applyFill="1" applyBorder="1"/>
    <xf numFmtId="3" fontId="47" fillId="81" borderId="153" xfId="0" applyNumberFormat="1" applyFont="1" applyFill="1" applyBorder="1"/>
    <xf numFmtId="9" fontId="47" fillId="81" borderId="153" xfId="22" applyFont="1" applyFill="1" applyBorder="1"/>
    <xf numFmtId="3" fontId="160" fillId="3" borderId="63" xfId="0" applyNumberFormat="1" applyFont="1" applyFill="1" applyBorder="1"/>
    <xf numFmtId="3" fontId="355" fillId="81" borderId="9" xfId="0" applyNumberFormat="1" applyFont="1" applyFill="1" applyBorder="1"/>
    <xf numFmtId="0" fontId="356" fillId="3" borderId="36" xfId="1006" applyFont="1" applyFill="1" applyBorder="1" applyAlignment="1">
      <alignment horizontal="left"/>
    </xf>
    <xf numFmtId="286" fontId="356" fillId="3" borderId="153" xfId="1006" applyNumberFormat="1" applyFont="1" applyFill="1" applyBorder="1" applyAlignment="1">
      <alignment horizontal="center"/>
    </xf>
    <xf numFmtId="0" fontId="360" fillId="3" borderId="35" xfId="1006" applyFont="1" applyFill="1" applyBorder="1" applyAlignment="1">
      <alignment horizontal="left" indent="1"/>
    </xf>
    <xf numFmtId="3" fontId="360" fillId="3" borderId="19" xfId="1006" applyNumberFormat="1" applyFont="1" applyFill="1" applyBorder="1"/>
    <xf numFmtId="0" fontId="360" fillId="3" borderId="28" xfId="1006" applyFont="1" applyFill="1" applyBorder="1" applyAlignment="1">
      <alignment horizontal="left" indent="1"/>
    </xf>
    <xf numFmtId="3" fontId="360" fillId="3" borderId="0" xfId="1006" applyNumberFormat="1" applyFont="1" applyFill="1"/>
    <xf numFmtId="0" fontId="360" fillId="3" borderId="28" xfId="1005" applyFont="1" applyFill="1" applyBorder="1" applyAlignment="1">
      <alignment horizontal="left" indent="1"/>
    </xf>
    <xf numFmtId="3" fontId="360" fillId="3" borderId="0" xfId="1005" applyNumberFormat="1" applyFont="1" applyFill="1" applyAlignment="1">
      <alignment horizontal="right"/>
    </xf>
    <xf numFmtId="0" fontId="360" fillId="3" borderId="40" xfId="1005" applyFont="1" applyFill="1" applyBorder="1" applyAlignment="1">
      <alignment horizontal="left" indent="1"/>
    </xf>
    <xf numFmtId="3" fontId="360" fillId="3" borderId="22" xfId="1005" applyNumberFormat="1" applyFont="1" applyFill="1" applyBorder="1" applyAlignment="1">
      <alignment horizontal="right"/>
    </xf>
    <xf numFmtId="0" fontId="356" fillId="3" borderId="30" xfId="1005" applyFont="1" applyFill="1" applyBorder="1" applyAlignment="1">
      <alignment horizontal="left"/>
    </xf>
    <xf numFmtId="0" fontId="356" fillId="3" borderId="153" xfId="0" applyFont="1" applyFill="1" applyBorder="1" applyAlignment="1" applyProtection="1">
      <alignment horizontal="left" vertical="center"/>
      <protection locked="0"/>
    </xf>
    <xf numFmtId="285" fontId="356" fillId="3" borderId="153" xfId="0" applyNumberFormat="1" applyFont="1" applyFill="1" applyBorder="1" applyAlignment="1">
      <alignment horizontal="center"/>
    </xf>
    <xf numFmtId="3" fontId="356" fillId="3" borderId="0" xfId="0" applyNumberFormat="1" applyFont="1" applyFill="1" applyAlignment="1">
      <alignment vertical="center"/>
    </xf>
    <xf numFmtId="3" fontId="360" fillId="3" borderId="0" xfId="0" applyNumberFormat="1" applyFont="1" applyFill="1" applyAlignment="1">
      <alignment vertical="center"/>
    </xf>
    <xf numFmtId="3" fontId="360" fillId="3" borderId="22" xfId="0" applyNumberFormat="1" applyFont="1" applyFill="1" applyBorder="1" applyAlignment="1">
      <alignment vertical="center"/>
    </xf>
    <xf numFmtId="3" fontId="354" fillId="3" borderId="28" xfId="0" applyNumberFormat="1" applyFont="1" applyFill="1" applyBorder="1"/>
    <xf numFmtId="286" fontId="356" fillId="3" borderId="154" xfId="1006" applyNumberFormat="1" applyFont="1" applyFill="1" applyBorder="1" applyAlignment="1">
      <alignment horizontal="center"/>
    </xf>
    <xf numFmtId="3" fontId="360" fillId="3" borderId="35" xfId="1006" applyNumberFormat="1" applyFont="1" applyFill="1" applyBorder="1"/>
    <xf numFmtId="3" fontId="360" fillId="3" borderId="28" xfId="1006" applyNumberFormat="1" applyFont="1" applyFill="1" applyBorder="1"/>
    <xf numFmtId="3" fontId="360" fillId="3" borderId="28" xfId="1005" applyNumberFormat="1" applyFont="1" applyFill="1" applyBorder="1" applyAlignment="1">
      <alignment horizontal="right"/>
    </xf>
    <xf numFmtId="3" fontId="360" fillId="3" borderId="40" xfId="1005" applyNumberFormat="1" applyFont="1" applyFill="1" applyBorder="1" applyAlignment="1">
      <alignment horizontal="right"/>
    </xf>
    <xf numFmtId="3" fontId="356" fillId="3" borderId="30" xfId="1005" applyNumberFormat="1" applyFont="1" applyFill="1" applyBorder="1" applyAlignment="1">
      <alignment horizontal="right"/>
    </xf>
    <xf numFmtId="285" fontId="356" fillId="3" borderId="154" xfId="0" applyNumberFormat="1" applyFont="1" applyFill="1" applyBorder="1" applyAlignment="1">
      <alignment horizontal="center"/>
    </xf>
    <xf numFmtId="0" fontId="356" fillId="3" borderId="0" xfId="0" applyFont="1" applyFill="1" applyAlignment="1" applyProtection="1">
      <alignment horizontal="left" vertical="center"/>
      <protection locked="0"/>
    </xf>
    <xf numFmtId="3" fontId="356" fillId="3" borderId="28" xfId="0" applyNumberFormat="1" applyFont="1" applyFill="1" applyBorder="1" applyAlignment="1">
      <alignment vertical="center"/>
    </xf>
    <xf numFmtId="0" fontId="360" fillId="3" borderId="0" xfId="0" applyFont="1" applyFill="1" applyAlignment="1" applyProtection="1">
      <alignment horizontal="left" vertical="center"/>
      <protection locked="0"/>
    </xf>
    <xf numFmtId="3" fontId="360" fillId="3" borderId="28" xfId="0" applyNumberFormat="1" applyFont="1" applyFill="1" applyBorder="1" applyAlignment="1">
      <alignment vertical="center"/>
    </xf>
    <xf numFmtId="0" fontId="360" fillId="3" borderId="22" xfId="0" applyFont="1" applyFill="1" applyBorder="1" applyAlignment="1" applyProtection="1">
      <alignment horizontal="left" vertical="center"/>
      <protection locked="0"/>
    </xf>
    <xf numFmtId="3" fontId="360" fillId="3" borderId="40" xfId="0" applyNumberFormat="1" applyFont="1" applyFill="1" applyBorder="1" applyAlignment="1">
      <alignment vertical="center"/>
    </xf>
    <xf numFmtId="3" fontId="5" fillId="3" borderId="0" xfId="0" applyNumberFormat="1" applyFont="1" applyFill="1"/>
    <xf numFmtId="3" fontId="0" fillId="3" borderId="153" xfId="22" applyNumberFormat="1" applyFont="1" applyFill="1" applyBorder="1"/>
    <xf numFmtId="3" fontId="0" fillId="3" borderId="0" xfId="22" applyNumberFormat="1" applyFont="1" applyFill="1" applyBorder="1"/>
    <xf numFmtId="3" fontId="0" fillId="3" borderId="0" xfId="0" applyNumberFormat="1" applyFill="1" applyAlignment="1">
      <alignment wrapText="1"/>
    </xf>
    <xf numFmtId="3" fontId="35" fillId="3" borderId="0" xfId="0" applyNumberFormat="1" applyFont="1" applyFill="1" applyAlignment="1">
      <alignment wrapText="1"/>
    </xf>
    <xf numFmtId="9" fontId="0" fillId="3" borderId="0" xfId="22" applyFont="1" applyFill="1" applyAlignment="1">
      <alignment wrapText="1"/>
    </xf>
    <xf numFmtId="0" fontId="45" fillId="3" borderId="0" xfId="0" applyFont="1" applyFill="1" applyAlignment="1">
      <alignment wrapText="1"/>
    </xf>
    <xf numFmtId="0" fontId="35" fillId="3" borderId="0" xfId="0" applyFont="1" applyFill="1" applyAlignment="1">
      <alignment wrapText="1"/>
    </xf>
    <xf numFmtId="182" fontId="0" fillId="3" borderId="0" xfId="22" applyNumberFormat="1" applyFont="1" applyFill="1" applyAlignment="1">
      <alignment wrapText="1"/>
    </xf>
    <xf numFmtId="4" fontId="0" fillId="3" borderId="0" xfId="0" applyNumberFormat="1" applyFill="1" applyAlignment="1">
      <alignment wrapText="1"/>
    </xf>
    <xf numFmtId="293" fontId="348" fillId="3" borderId="0" xfId="0" applyNumberFormat="1" applyFont="1" applyFill="1" applyAlignment="1">
      <alignment wrapText="1"/>
    </xf>
    <xf numFmtId="293" fontId="35" fillId="3" borderId="0" xfId="0" applyNumberFormat="1" applyFont="1" applyFill="1" applyAlignment="1">
      <alignment wrapText="1"/>
    </xf>
    <xf numFmtId="0" fontId="45" fillId="3" borderId="0" xfId="0" applyFont="1" applyFill="1" applyAlignment="1">
      <alignment horizontal="left" vertical="top" wrapText="1"/>
    </xf>
    <xf numFmtId="0" fontId="348" fillId="3" borderId="0" xfId="0" applyFont="1" applyFill="1" applyAlignment="1">
      <alignment wrapText="1"/>
    </xf>
    <xf numFmtId="0" fontId="35" fillId="3" borderId="0" xfId="0" applyFont="1" applyFill="1"/>
    <xf numFmtId="9" fontId="348" fillId="3" borderId="0" xfId="22" applyFont="1" applyFill="1" applyAlignment="1">
      <alignment wrapText="1"/>
    </xf>
    <xf numFmtId="0" fontId="47" fillId="3" borderId="0" xfId="0" applyFont="1" applyFill="1" applyAlignment="1">
      <alignment wrapText="1"/>
    </xf>
    <xf numFmtId="0" fontId="20" fillId="3" borderId="0" xfId="1012" applyFont="1" applyFill="1"/>
    <xf numFmtId="184" fontId="20" fillId="3" borderId="13" xfId="275" applyFont="1" applyFill="1" applyBorder="1" applyAlignment="1">
      <alignment horizontal="left" wrapText="1" indent="2"/>
    </xf>
    <xf numFmtId="3" fontId="20" fillId="3" borderId="28" xfId="1007" applyNumberFormat="1" applyFont="1" applyFill="1" applyBorder="1"/>
    <xf numFmtId="3" fontId="20" fillId="3" borderId="0" xfId="1007" applyNumberFormat="1" applyFont="1" applyFill="1"/>
    <xf numFmtId="3" fontId="318" fillId="3" borderId="0" xfId="0" applyNumberFormat="1" applyFont="1" applyFill="1" applyAlignment="1">
      <alignment horizontal="left" indent="5"/>
    </xf>
    <xf numFmtId="3" fontId="318" fillId="3" borderId="28" xfId="0" applyNumberFormat="1" applyFont="1" applyFill="1" applyBorder="1"/>
    <xf numFmtId="3" fontId="318" fillId="4" borderId="0" xfId="0" applyNumberFormat="1" applyFont="1" applyFill="1"/>
    <xf numFmtId="182" fontId="318" fillId="3" borderId="0" xfId="22" applyNumberFormat="1" applyFont="1" applyFill="1"/>
    <xf numFmtId="9" fontId="4" fillId="3" borderId="0" xfId="22" applyFont="1" applyFill="1"/>
    <xf numFmtId="0" fontId="4" fillId="3" borderId="0" xfId="0" applyFont="1" applyFill="1"/>
    <xf numFmtId="286" fontId="325" fillId="6" borderId="32" xfId="0" applyNumberFormat="1" applyFont="1" applyFill="1" applyBorder="1"/>
    <xf numFmtId="286" fontId="326" fillId="6" borderId="32" xfId="0" applyNumberFormat="1" applyFont="1" applyFill="1" applyBorder="1"/>
    <xf numFmtId="3" fontId="0" fillId="3" borderId="19" xfId="0" applyNumberFormat="1" applyFill="1" applyBorder="1" applyAlignment="1">
      <alignment horizontal="left" indent="2"/>
    </xf>
    <xf numFmtId="3" fontId="364" fillId="3" borderId="0" xfId="0" applyNumberFormat="1" applyFont="1" applyFill="1"/>
    <xf numFmtId="3" fontId="364" fillId="3" borderId="28" xfId="0" applyNumberFormat="1" applyFont="1" applyFill="1" applyBorder="1"/>
    <xf numFmtId="3" fontId="365" fillId="3" borderId="0" xfId="0" applyNumberFormat="1" applyFont="1" applyFill="1"/>
    <xf numFmtId="3" fontId="350" fillId="3" borderId="22" xfId="0" applyNumberFormat="1" applyFont="1" applyFill="1" applyBorder="1" applyAlignment="1">
      <alignment horizontal="left" indent="2"/>
    </xf>
    <xf numFmtId="3" fontId="364" fillId="3" borderId="22" xfId="0" applyNumberFormat="1" applyFont="1" applyFill="1" applyBorder="1"/>
    <xf numFmtId="3" fontId="364" fillId="3" borderId="40" xfId="0" applyNumberFormat="1" applyFont="1" applyFill="1" applyBorder="1"/>
    <xf numFmtId="211" fontId="350" fillId="3" borderId="22" xfId="0" applyNumberFormat="1" applyFont="1" applyFill="1" applyBorder="1"/>
    <xf numFmtId="3" fontId="350" fillId="3" borderId="153" xfId="0" applyNumberFormat="1" applyFont="1" applyFill="1" applyBorder="1" applyAlignment="1">
      <alignment horizontal="left" indent="2"/>
    </xf>
    <xf numFmtId="3" fontId="350" fillId="3" borderId="117" xfId="0" applyNumberFormat="1" applyFont="1" applyFill="1" applyBorder="1"/>
    <xf numFmtId="3" fontId="350" fillId="3" borderId="116" xfId="0" applyNumberFormat="1" applyFont="1" applyFill="1" applyBorder="1"/>
    <xf numFmtId="3" fontId="350" fillId="3" borderId="153" xfId="0" applyNumberFormat="1" applyFont="1" applyFill="1" applyBorder="1"/>
    <xf numFmtId="4" fontId="0" fillId="3" borderId="76" xfId="0" applyNumberFormat="1" applyFill="1" applyBorder="1" applyAlignment="1">
      <alignment horizontal="right"/>
    </xf>
    <xf numFmtId="4" fontId="0" fillId="3" borderId="13" xfId="0" applyNumberFormat="1" applyFill="1" applyBorder="1" applyAlignment="1">
      <alignment horizontal="right"/>
    </xf>
    <xf numFmtId="0" fontId="350" fillId="3" borderId="0" xfId="0" applyFont="1" applyFill="1"/>
    <xf numFmtId="3" fontId="350" fillId="3" borderId="0" xfId="0" applyNumberFormat="1" applyFont="1" applyFill="1" applyAlignment="1">
      <alignment horizontal="left" indent="4"/>
    </xf>
    <xf numFmtId="3" fontId="350" fillId="3" borderId="0" xfId="0" applyNumberFormat="1" applyFont="1" applyFill="1" applyAlignment="1">
      <alignment horizontal="left" indent="5"/>
    </xf>
    <xf numFmtId="3" fontId="350" fillId="3" borderId="15" xfId="0" applyNumberFormat="1" applyFont="1" applyFill="1" applyBorder="1" applyAlignment="1">
      <alignment horizontal="left" indent="2"/>
    </xf>
    <xf numFmtId="3" fontId="359" fillId="3" borderId="15" xfId="0" applyNumberFormat="1" applyFont="1" applyFill="1" applyBorder="1"/>
    <xf numFmtId="3" fontId="359" fillId="3" borderId="22" xfId="0" applyNumberFormat="1" applyFont="1" applyFill="1" applyBorder="1"/>
    <xf numFmtId="0" fontId="320" fillId="0" borderId="0" xfId="0" applyFont="1" applyAlignment="1">
      <alignment vertical="center"/>
    </xf>
    <xf numFmtId="3" fontId="320" fillId="0" borderId="0" xfId="0" applyNumberFormat="1" applyFont="1" applyAlignment="1">
      <alignment vertical="center"/>
    </xf>
    <xf numFmtId="182" fontId="0" fillId="0" borderId="0" xfId="22" applyNumberFormat="1" applyFont="1" applyAlignment="1">
      <alignment horizontal="left" vertical="center"/>
    </xf>
    <xf numFmtId="182" fontId="30" fillId="0" borderId="0" xfId="22" applyNumberFormat="1" applyFont="1" applyAlignment="1">
      <alignment horizontal="left" vertical="center"/>
    </xf>
    <xf numFmtId="182" fontId="0" fillId="0" borderId="48" xfId="22" applyNumberFormat="1" applyFont="1" applyBorder="1" applyAlignment="1">
      <alignment horizontal="right" vertical="center"/>
    </xf>
    <xf numFmtId="182" fontId="0" fillId="0" borderId="0" xfId="22" applyNumberFormat="1" applyFont="1" applyAlignment="1">
      <alignment vertical="center"/>
    </xf>
    <xf numFmtId="3" fontId="326" fillId="3" borderId="0" xfId="0" applyNumberFormat="1" applyFont="1" applyFill="1"/>
    <xf numFmtId="3" fontId="326" fillId="3" borderId="22" xfId="0" applyNumberFormat="1" applyFont="1" applyFill="1" applyBorder="1"/>
    <xf numFmtId="3" fontId="47" fillId="3" borderId="22" xfId="0" applyNumberFormat="1" applyFont="1" applyFill="1" applyBorder="1" applyAlignment="1">
      <alignment horizontal="left" indent="2"/>
    </xf>
    <xf numFmtId="3" fontId="359" fillId="81" borderId="0" xfId="0" applyNumberFormat="1" applyFont="1" applyFill="1"/>
    <xf numFmtId="10" fontId="47" fillId="3" borderId="46" xfId="22" applyNumberFormat="1" applyFont="1" applyFill="1" applyBorder="1"/>
    <xf numFmtId="3" fontId="47" fillId="3" borderId="63" xfId="0" applyNumberFormat="1" applyFont="1" applyFill="1" applyBorder="1"/>
    <xf numFmtId="292" fontId="47" fillId="3" borderId="163" xfId="0" applyNumberFormat="1" applyFont="1" applyFill="1" applyBorder="1"/>
    <xf numFmtId="10" fontId="160" fillId="3" borderId="27" xfId="22" applyNumberFormat="1" applyFont="1" applyFill="1" applyBorder="1"/>
    <xf numFmtId="292" fontId="160" fillId="3" borderId="1" xfId="0" applyNumberFormat="1" applyFont="1" applyFill="1" applyBorder="1"/>
    <xf numFmtId="10" fontId="47" fillId="3" borderId="0" xfId="22" applyNumberFormat="1" applyFont="1" applyFill="1" applyBorder="1"/>
    <xf numFmtId="10" fontId="47" fillId="3" borderId="45" xfId="22" applyNumberFormat="1" applyFont="1" applyFill="1" applyBorder="1"/>
    <xf numFmtId="3" fontId="47" fillId="3" borderId="68" xfId="0" applyNumberFormat="1" applyFont="1" applyFill="1" applyBorder="1"/>
    <xf numFmtId="292" fontId="47" fillId="3" borderId="47" xfId="0" applyNumberFormat="1" applyFont="1" applyFill="1" applyBorder="1"/>
    <xf numFmtId="3" fontId="47" fillId="3" borderId="0" xfId="0" applyNumberFormat="1" applyFont="1" applyFill="1" applyAlignment="1">
      <alignment wrapText="1"/>
    </xf>
    <xf numFmtId="3" fontId="0" fillId="3" borderId="0" xfId="0" applyNumberFormat="1" applyFill="1" applyAlignment="1">
      <alignment horizontal="center" wrapText="1"/>
    </xf>
    <xf numFmtId="3" fontId="47" fillId="3" borderId="0" xfId="0" applyNumberFormat="1" applyFont="1" applyFill="1" applyAlignment="1">
      <alignment horizontal="left" wrapText="1"/>
    </xf>
    <xf numFmtId="3" fontId="0" fillId="3" borderId="0" xfId="0" applyNumberFormat="1" applyFill="1" applyAlignment="1">
      <alignment horizontal="left" wrapText="1"/>
    </xf>
    <xf numFmtId="3" fontId="47" fillId="3" borderId="153" xfId="0" applyNumberFormat="1" applyFont="1" applyFill="1" applyBorder="1" applyAlignment="1">
      <alignment horizontal="left" wrapText="1"/>
    </xf>
    <xf numFmtId="3" fontId="0" fillId="3" borderId="154" xfId="0" applyNumberFormat="1" applyFill="1" applyBorder="1"/>
    <xf numFmtId="0" fontId="318" fillId="3" borderId="0" xfId="0" applyFont="1" applyFill="1" applyAlignment="1">
      <alignment wrapText="1"/>
    </xf>
    <xf numFmtId="3" fontId="318" fillId="3" borderId="0" xfId="0" applyNumberFormat="1" applyFont="1" applyFill="1" applyAlignment="1">
      <alignment horizontal="center" wrapText="1"/>
    </xf>
    <xf numFmtId="3" fontId="318" fillId="3" borderId="0" xfId="0" applyNumberFormat="1" applyFont="1" applyFill="1" applyAlignment="1">
      <alignment wrapText="1"/>
    </xf>
    <xf numFmtId="3" fontId="367" fillId="6" borderId="165" xfId="0" applyNumberFormat="1" applyFont="1" applyFill="1" applyBorder="1" applyAlignment="1">
      <alignment wrapText="1"/>
    </xf>
    <xf numFmtId="3" fontId="160" fillId="3" borderId="153" xfId="0" applyNumberFormat="1" applyFont="1" applyFill="1" applyBorder="1"/>
    <xf numFmtId="182" fontId="160" fillId="0" borderId="48" xfId="22" applyNumberFormat="1" applyFont="1" applyBorder="1" applyAlignment="1">
      <alignment horizontal="right" vertical="center"/>
    </xf>
    <xf numFmtId="182" fontId="347" fillId="3" borderId="153" xfId="22" applyNumberFormat="1" applyFont="1" applyFill="1" applyBorder="1" applyAlignment="1">
      <alignment wrapText="1"/>
    </xf>
    <xf numFmtId="3" fontId="320" fillId="3" borderId="28" xfId="0" applyNumberFormat="1" applyFont="1" applyFill="1" applyBorder="1"/>
    <xf numFmtId="3" fontId="347" fillId="3" borderId="0" xfId="0" applyNumberFormat="1" applyFont="1" applyFill="1"/>
    <xf numFmtId="182" fontId="321" fillId="4" borderId="0" xfId="22" applyNumberFormat="1" applyFont="1" applyFill="1"/>
    <xf numFmtId="182" fontId="368" fillId="3" borderId="0" xfId="22" applyNumberFormat="1" applyFont="1" applyFill="1" applyBorder="1"/>
    <xf numFmtId="3" fontId="320" fillId="3" borderId="0" xfId="0" applyNumberFormat="1" applyFont="1" applyFill="1" applyAlignment="1">
      <alignment horizontal="left" indent="2"/>
    </xf>
    <xf numFmtId="3" fontId="347" fillId="3" borderId="22" xfId="0" applyNumberFormat="1" applyFont="1" applyFill="1" applyBorder="1"/>
    <xf numFmtId="3" fontId="3" fillId="3" borderId="0" xfId="0" applyNumberFormat="1" applyFont="1" applyFill="1"/>
    <xf numFmtId="3" fontId="3" fillId="3" borderId="28" xfId="0" applyNumberFormat="1" applyFont="1" applyFill="1" applyBorder="1"/>
    <xf numFmtId="3" fontId="321" fillId="3" borderId="0" xfId="0" applyNumberFormat="1" applyFont="1" applyFill="1"/>
    <xf numFmtId="182" fontId="0" fillId="4" borderId="0" xfId="22" applyNumberFormat="1" applyFont="1" applyFill="1" applyBorder="1"/>
    <xf numFmtId="3" fontId="0" fillId="3" borderId="166" xfId="0" applyNumberFormat="1" applyFill="1" applyBorder="1"/>
    <xf numFmtId="10" fontId="0" fillId="4" borderId="0" xfId="22" applyNumberFormat="1" applyFont="1" applyFill="1" applyBorder="1"/>
    <xf numFmtId="10" fontId="47" fillId="4" borderId="0" xfId="22" applyNumberFormat="1" applyFont="1" applyFill="1" applyBorder="1"/>
    <xf numFmtId="3" fontId="0" fillId="3" borderId="153" xfId="0" applyNumberFormat="1" applyFill="1" applyBorder="1" applyAlignment="1">
      <alignment horizontal="left" indent="2"/>
    </xf>
    <xf numFmtId="0" fontId="47" fillId="3" borderId="153" xfId="0" applyFont="1" applyFill="1" applyBorder="1"/>
    <xf numFmtId="0" fontId="0" fillId="3" borderId="153" xfId="0" applyFill="1" applyBorder="1"/>
    <xf numFmtId="3" fontId="341" fillId="3" borderId="153" xfId="0" applyNumberFormat="1" applyFont="1" applyFill="1" applyBorder="1"/>
    <xf numFmtId="3" fontId="45" fillId="4" borderId="153" xfId="0" applyNumberFormat="1" applyFont="1" applyFill="1" applyBorder="1" applyAlignment="1">
      <alignment wrapText="1"/>
    </xf>
    <xf numFmtId="3" fontId="45" fillId="4" borderId="0" xfId="0" applyNumberFormat="1" applyFont="1" applyFill="1" applyAlignment="1">
      <alignment wrapText="1"/>
    </xf>
    <xf numFmtId="3" fontId="351" fillId="3" borderId="0" xfId="0" applyNumberFormat="1" applyFont="1" applyFill="1" applyAlignment="1">
      <alignment wrapText="1"/>
    </xf>
    <xf numFmtId="3" fontId="347" fillId="3" borderId="0" xfId="0" applyNumberFormat="1" applyFont="1" applyFill="1" applyAlignment="1">
      <alignment wrapText="1"/>
    </xf>
    <xf numFmtId="182" fontId="160" fillId="3" borderId="0" xfId="22" applyNumberFormat="1" applyFont="1" applyFill="1" applyAlignment="1">
      <alignment wrapText="1"/>
    </xf>
    <xf numFmtId="182" fontId="347" fillId="3" borderId="0" xfId="22" applyNumberFormat="1" applyFont="1" applyFill="1" applyAlignment="1">
      <alignment wrapText="1"/>
    </xf>
    <xf numFmtId="3" fontId="14" fillId="2" borderId="0" xfId="1006" applyNumberFormat="1" applyFont="1" applyFill="1"/>
    <xf numFmtId="0" fontId="369" fillId="3" borderId="0" xfId="0" applyFont="1" applyFill="1" applyAlignment="1">
      <alignment wrapText="1"/>
    </xf>
    <xf numFmtId="3" fontId="369" fillId="3" borderId="0" xfId="0" applyNumberFormat="1" applyFont="1" applyFill="1" applyAlignment="1">
      <alignment wrapText="1"/>
    </xf>
    <xf numFmtId="3" fontId="370" fillId="3" borderId="0" xfId="0" applyNumberFormat="1" applyFont="1" applyFill="1" applyAlignment="1">
      <alignment wrapText="1"/>
    </xf>
    <xf numFmtId="0" fontId="375" fillId="3" borderId="0" xfId="0" applyFont="1" applyFill="1" applyAlignment="1">
      <alignment wrapText="1"/>
    </xf>
    <xf numFmtId="3" fontId="47" fillId="3" borderId="0" xfId="0" applyNumberFormat="1" applyFont="1" applyFill="1" applyAlignment="1">
      <alignment horizontal="right" wrapText="1"/>
    </xf>
    <xf numFmtId="182" fontId="160" fillId="4" borderId="0" xfId="22" applyNumberFormat="1" applyFont="1" applyFill="1" applyAlignment="1">
      <alignment wrapText="1"/>
    </xf>
    <xf numFmtId="9" fontId="13" fillId="4" borderId="32" xfId="22" applyFont="1" applyFill="1" applyBorder="1" applyAlignment="1">
      <alignment horizontal="right"/>
    </xf>
    <xf numFmtId="0" fontId="345" fillId="3" borderId="0" xfId="0" applyFont="1" applyFill="1" applyAlignment="1">
      <alignment wrapText="1"/>
    </xf>
    <xf numFmtId="0" fontId="345" fillId="81" borderId="159" xfId="0" applyFont="1" applyFill="1" applyBorder="1" applyAlignment="1">
      <alignment wrapText="1"/>
    </xf>
    <xf numFmtId="9" fontId="47" fillId="81" borderId="0" xfId="22" applyFont="1" applyFill="1" applyAlignment="1">
      <alignment wrapText="1"/>
    </xf>
    <xf numFmtId="3" fontId="0" fillId="81" borderId="0" xfId="0" applyNumberFormat="1" applyFill="1" applyAlignment="1">
      <alignment wrapText="1"/>
    </xf>
    <xf numFmtId="182" fontId="22" fillId="4" borderId="0" xfId="1059" applyNumberFormat="1" applyFont="1" applyFill="1"/>
    <xf numFmtId="3" fontId="376" fillId="81" borderId="19" xfId="0" applyNumberFormat="1" applyFont="1" applyFill="1" applyBorder="1" applyAlignment="1">
      <alignment wrapText="1"/>
    </xf>
    <xf numFmtId="3" fontId="377" fillId="3" borderId="0" xfId="0" applyNumberFormat="1" applyFont="1" applyFill="1" applyAlignment="1">
      <alignment wrapText="1"/>
    </xf>
    <xf numFmtId="3" fontId="377" fillId="3" borderId="153" xfId="0" applyNumberFormat="1" applyFont="1" applyFill="1" applyBorder="1" applyAlignment="1">
      <alignment wrapText="1"/>
    </xf>
    <xf numFmtId="0" fontId="378" fillId="3" borderId="0" xfId="0" applyFont="1" applyFill="1" applyAlignment="1">
      <alignment wrapText="1"/>
    </xf>
    <xf numFmtId="9" fontId="336" fillId="3" borderId="0" xfId="22" applyFont="1" applyFill="1" applyBorder="1" applyAlignment="1">
      <alignment wrapText="1"/>
    </xf>
    <xf numFmtId="182" fontId="378" fillId="3" borderId="164" xfId="22" applyNumberFormat="1" applyFont="1" applyFill="1" applyBorder="1" applyAlignment="1">
      <alignment wrapText="1"/>
    </xf>
    <xf numFmtId="0" fontId="47" fillId="3" borderId="0" xfId="0" applyFont="1" applyFill="1" applyAlignment="1">
      <alignment horizontal="left" indent="2"/>
    </xf>
    <xf numFmtId="10" fontId="47" fillId="3" borderId="27" xfId="22" applyNumberFormat="1" applyFont="1" applyFill="1" applyBorder="1"/>
    <xf numFmtId="292" fontId="47" fillId="3" borderId="1" xfId="0" applyNumberFormat="1" applyFont="1" applyFill="1" applyBorder="1"/>
    <xf numFmtId="3" fontId="0" fillId="4" borderId="0" xfId="0" applyNumberFormat="1" applyFill="1" applyAlignment="1">
      <alignment wrapText="1"/>
    </xf>
    <xf numFmtId="3" fontId="47" fillId="3" borderId="165" xfId="0" applyNumberFormat="1" applyFont="1" applyFill="1" applyBorder="1"/>
    <xf numFmtId="3" fontId="0" fillId="3" borderId="7" xfId="0" applyNumberFormat="1" applyFill="1" applyBorder="1"/>
    <xf numFmtId="182" fontId="0" fillId="3" borderId="166" xfId="22" applyNumberFormat="1" applyFont="1" applyFill="1" applyBorder="1"/>
    <xf numFmtId="292" fontId="160" fillId="3" borderId="163" xfId="0" applyNumberFormat="1" applyFont="1" applyFill="1" applyBorder="1" applyAlignment="1">
      <alignment horizontal="right"/>
    </xf>
    <xf numFmtId="3" fontId="160" fillId="3" borderId="0" xfId="0" applyNumberFormat="1" applyFont="1" applyFill="1" applyAlignment="1">
      <alignment horizontal="right"/>
    </xf>
    <xf numFmtId="3" fontId="160" fillId="3" borderId="68" xfId="0" applyNumberFormat="1" applyFont="1" applyFill="1" applyBorder="1" applyAlignment="1">
      <alignment horizontal="right"/>
    </xf>
    <xf numFmtId="0" fontId="347" fillId="3" borderId="0" xfId="0" applyFont="1" applyFill="1" applyAlignment="1">
      <alignment horizontal="left" indent="2"/>
    </xf>
    <xf numFmtId="3" fontId="222" fillId="93" borderId="0" xfId="0" applyNumberFormat="1" applyFont="1" applyFill="1" applyAlignment="1">
      <alignment horizontal="right" vertical="center"/>
    </xf>
    <xf numFmtId="0" fontId="47" fillId="0" borderId="0" xfId="0" applyFont="1" applyAlignment="1">
      <alignment vertical="center"/>
    </xf>
    <xf numFmtId="9" fontId="341" fillId="3" borderId="0" xfId="22" applyFont="1" applyFill="1"/>
    <xf numFmtId="9" fontId="331" fillId="3" borderId="48" xfId="22" applyFont="1" applyFill="1" applyBorder="1" applyAlignment="1">
      <alignment horizontal="right" vertical="center"/>
    </xf>
    <xf numFmtId="0" fontId="334" fillId="84" borderId="0" xfId="0" applyFont="1" applyFill="1" applyAlignment="1">
      <alignment horizontal="center" vertical="center"/>
    </xf>
    <xf numFmtId="0" fontId="308" fillId="84" borderId="0" xfId="0" applyFont="1" applyFill="1" applyAlignment="1">
      <alignment vertical="center"/>
    </xf>
    <xf numFmtId="0" fontId="308" fillId="84" borderId="0" xfId="0" applyFont="1" applyFill="1" applyAlignment="1">
      <alignment horizontal="right" vertical="center"/>
    </xf>
    <xf numFmtId="3" fontId="308" fillId="84" borderId="0" xfId="0" applyNumberFormat="1" applyFont="1" applyFill="1" applyAlignment="1">
      <alignment horizontal="right" vertical="center"/>
    </xf>
    <xf numFmtId="0" fontId="296" fillId="84" borderId="0" xfId="0" applyFont="1" applyFill="1" applyAlignment="1">
      <alignment vertical="center"/>
    </xf>
    <xf numFmtId="3" fontId="308" fillId="4" borderId="0" xfId="0" applyNumberFormat="1" applyFont="1" applyFill="1" applyAlignment="1">
      <alignment horizontal="right" vertical="center"/>
    </xf>
    <xf numFmtId="0" fontId="20" fillId="2" borderId="0" xfId="1008" applyFont="1" applyFill="1"/>
    <xf numFmtId="0" fontId="302" fillId="0" borderId="30" xfId="1005" applyFont="1" applyBorder="1" applyAlignment="1">
      <alignment horizontal="left"/>
    </xf>
    <xf numFmtId="10" fontId="302" fillId="3" borderId="32" xfId="22" applyNumberFormat="1" applyFont="1" applyFill="1" applyBorder="1" applyAlignment="1">
      <alignment horizontal="right"/>
    </xf>
    <xf numFmtId="10" fontId="302" fillId="3" borderId="31" xfId="22" applyNumberFormat="1" applyFont="1" applyFill="1" applyBorder="1" applyAlignment="1">
      <alignment horizontal="right"/>
    </xf>
    <xf numFmtId="0" fontId="20" fillId="3" borderId="0" xfId="1008" applyFont="1" applyFill="1"/>
    <xf numFmtId="10" fontId="302" fillId="4" borderId="31" xfId="22" applyNumberFormat="1" applyFont="1" applyFill="1" applyBorder="1" applyAlignment="1">
      <alignment horizontal="right"/>
    </xf>
    <xf numFmtId="292" fontId="47" fillId="3" borderId="163" xfId="0" applyNumberFormat="1" applyFont="1" applyFill="1" applyBorder="1" applyAlignment="1">
      <alignment horizontal="right"/>
    </xf>
    <xf numFmtId="3" fontId="320" fillId="3" borderId="167" xfId="0" applyNumberFormat="1" applyFont="1" applyFill="1" applyBorder="1"/>
    <xf numFmtId="3" fontId="320" fillId="3" borderId="158" xfId="0" applyNumberFormat="1" applyFont="1" applyFill="1" applyBorder="1"/>
    <xf numFmtId="3" fontId="320" fillId="3" borderId="57" xfId="0" applyNumberFormat="1" applyFont="1" applyFill="1" applyBorder="1"/>
    <xf numFmtId="3" fontId="0" fillId="3" borderId="146" xfId="0" applyNumberFormat="1" applyFill="1" applyBorder="1"/>
    <xf numFmtId="3" fontId="160" fillId="4" borderId="153" xfId="0" applyNumberFormat="1" applyFont="1" applyFill="1" applyBorder="1"/>
    <xf numFmtId="3" fontId="0" fillId="4" borderId="0" xfId="0" applyNumberFormat="1" applyFill="1" applyAlignment="1">
      <alignment horizontal="right"/>
    </xf>
    <xf numFmtId="10" fontId="0" fillId="3" borderId="0" xfId="0" applyNumberFormat="1" applyFill="1"/>
    <xf numFmtId="10" fontId="0" fillId="3" borderId="0" xfId="22" applyNumberFormat="1" applyFont="1" applyFill="1"/>
    <xf numFmtId="0" fontId="20" fillId="3" borderId="0" xfId="1005" applyFont="1" applyFill="1" applyAlignment="1">
      <alignment horizontal="left" indent="1"/>
    </xf>
    <xf numFmtId="3" fontId="20" fillId="3" borderId="0" xfId="1005" applyNumberFormat="1" applyFont="1" applyFill="1"/>
    <xf numFmtId="3" fontId="20" fillId="2" borderId="0" xfId="1008" applyNumberFormat="1" applyFont="1" applyFill="1"/>
    <xf numFmtId="182" fontId="14" fillId="4" borderId="0" xfId="22" applyNumberFormat="1" applyFont="1" applyFill="1" applyBorder="1"/>
    <xf numFmtId="3" fontId="0" fillId="4" borderId="0" xfId="22" applyNumberFormat="1" applyFont="1" applyFill="1" applyBorder="1"/>
    <xf numFmtId="10" fontId="0" fillId="4" borderId="153" xfId="22" applyNumberFormat="1" applyFont="1" applyFill="1" applyBorder="1"/>
    <xf numFmtId="3" fontId="47" fillId="3" borderId="166" xfId="0" applyNumberFormat="1" applyFont="1" applyFill="1" applyBorder="1" applyAlignment="1">
      <alignment horizontal="left" wrapText="1"/>
    </xf>
    <xf numFmtId="3" fontId="0" fillId="3" borderId="169" xfId="0" applyNumberFormat="1" applyFill="1" applyBorder="1"/>
    <xf numFmtId="0" fontId="0" fillId="3" borderId="170" xfId="0" applyFill="1" applyBorder="1"/>
    <xf numFmtId="0" fontId="0" fillId="3" borderId="171" xfId="0" applyFill="1" applyBorder="1"/>
    <xf numFmtId="10" fontId="160" fillId="3" borderId="173" xfId="22" applyNumberFormat="1" applyFont="1" applyFill="1" applyBorder="1"/>
    <xf numFmtId="3" fontId="160" fillId="3" borderId="173" xfId="0" applyNumberFormat="1" applyFont="1" applyFill="1" applyBorder="1"/>
    <xf numFmtId="292" fontId="47" fillId="3" borderId="1" xfId="0" applyNumberFormat="1" applyFont="1" applyFill="1" applyBorder="1" applyAlignment="1">
      <alignment horizontal="right"/>
    </xf>
    <xf numFmtId="292" fontId="160" fillId="3" borderId="174" xfId="0" applyNumberFormat="1" applyFont="1" applyFill="1" applyBorder="1" applyAlignment="1">
      <alignment horizontal="right"/>
    </xf>
    <xf numFmtId="3" fontId="2" fillId="3" borderId="0" xfId="0" applyNumberFormat="1" applyFont="1" applyFill="1"/>
    <xf numFmtId="10" fontId="0" fillId="4" borderId="0" xfId="22" applyNumberFormat="1" applyFont="1" applyFill="1" applyAlignment="1">
      <alignment wrapText="1"/>
    </xf>
    <xf numFmtId="182" fontId="0" fillId="4" borderId="0" xfId="22" applyNumberFormat="1" applyFont="1" applyFill="1" applyAlignment="1">
      <alignment wrapText="1"/>
    </xf>
    <xf numFmtId="182" fontId="0" fillId="3" borderId="32" xfId="22" applyNumberFormat="1" applyFont="1" applyFill="1" applyBorder="1"/>
    <xf numFmtId="0" fontId="379" fillId="2" borderId="0" xfId="1008" applyFont="1" applyFill="1"/>
    <xf numFmtId="0" fontId="379" fillId="3" borderId="0" xfId="1005" applyFont="1" applyFill="1" applyAlignment="1">
      <alignment horizontal="left" indent="1"/>
    </xf>
    <xf numFmtId="3" fontId="379" fillId="3" borderId="0" xfId="1005" applyNumberFormat="1" applyFont="1" applyFill="1"/>
    <xf numFmtId="0" fontId="379" fillId="3" borderId="0" xfId="1008" applyFont="1" applyFill="1"/>
    <xf numFmtId="10" fontId="302" fillId="3" borderId="0" xfId="22" applyNumberFormat="1" applyFont="1" applyFill="1" applyBorder="1" applyAlignment="1">
      <alignment horizontal="right"/>
    </xf>
    <xf numFmtId="10" fontId="302" fillId="3" borderId="16" xfId="22" applyNumberFormat="1" applyFont="1" applyFill="1" applyBorder="1" applyAlignment="1">
      <alignment horizontal="right"/>
    </xf>
    <xf numFmtId="0" fontId="303" fillId="0" borderId="30" xfId="1005" applyFont="1" applyBorder="1" applyAlignment="1">
      <alignment horizontal="left"/>
    </xf>
    <xf numFmtId="10" fontId="303" fillId="4" borderId="31" xfId="22" applyNumberFormat="1" applyFont="1" applyFill="1" applyBorder="1" applyAlignment="1">
      <alignment horizontal="right"/>
    </xf>
    <xf numFmtId="10" fontId="303" fillId="3" borderId="32" xfId="22" applyNumberFormat="1" applyFont="1" applyFill="1" applyBorder="1" applyAlignment="1">
      <alignment horizontal="right"/>
    </xf>
    <xf numFmtId="10" fontId="303" fillId="3" borderId="31" xfId="22" applyNumberFormat="1" applyFont="1" applyFill="1" applyBorder="1" applyAlignment="1">
      <alignment horizontal="right"/>
    </xf>
    <xf numFmtId="0" fontId="379" fillId="2" borderId="28" xfId="1005" applyFont="1" applyFill="1" applyBorder="1" applyAlignment="1">
      <alignment horizontal="left" indent="1"/>
    </xf>
    <xf numFmtId="2" fontId="379" fillId="2" borderId="16" xfId="1005" applyNumberFormat="1" applyFont="1" applyFill="1" applyBorder="1" applyAlignment="1">
      <alignment horizontal="right"/>
    </xf>
    <xf numFmtId="2" fontId="379" fillId="3" borderId="0" xfId="1005" applyNumberFormat="1" applyFont="1" applyFill="1" applyAlignment="1">
      <alignment horizontal="right"/>
    </xf>
    <xf numFmtId="2" fontId="379" fillId="3" borderId="16" xfId="1005" applyNumberFormat="1" applyFont="1" applyFill="1" applyBorder="1" applyAlignment="1">
      <alignment horizontal="right"/>
    </xf>
    <xf numFmtId="3" fontId="380" fillId="101" borderId="164" xfId="0" applyNumberFormat="1" applyFont="1" applyFill="1" applyBorder="1"/>
    <xf numFmtId="286" fontId="380" fillId="101" borderId="32" xfId="0" applyNumberFormat="1" applyFont="1" applyFill="1" applyBorder="1"/>
    <xf numFmtId="3" fontId="160" fillId="102" borderId="22" xfId="0" applyNumberFormat="1" applyFont="1" applyFill="1" applyBorder="1"/>
    <xf numFmtId="3" fontId="160" fillId="102" borderId="0" xfId="0" applyNumberFormat="1" applyFont="1" applyFill="1"/>
    <xf numFmtId="3" fontId="381" fillId="101" borderId="146" xfId="0" applyNumberFormat="1" applyFont="1" applyFill="1" applyBorder="1" applyAlignment="1">
      <alignment horizontal="center" wrapText="1"/>
    </xf>
    <xf numFmtId="3" fontId="382" fillId="101" borderId="120" xfId="0" applyNumberFormat="1" applyFont="1" applyFill="1" applyBorder="1" applyAlignment="1">
      <alignment horizontal="center" wrapText="1"/>
    </xf>
    <xf numFmtId="3" fontId="382" fillId="101" borderId="146" xfId="0" applyNumberFormat="1" applyFont="1" applyFill="1" applyBorder="1" applyAlignment="1">
      <alignment horizontal="center" wrapText="1"/>
    </xf>
    <xf numFmtId="3" fontId="160" fillId="103" borderId="153" xfId="0" applyNumberFormat="1" applyFont="1" applyFill="1" applyBorder="1" applyAlignment="1">
      <alignment horizontal="left" wrapText="1"/>
    </xf>
    <xf numFmtId="3" fontId="160" fillId="103" borderId="154" xfId="0" applyNumberFormat="1" applyFont="1" applyFill="1" applyBorder="1"/>
    <xf numFmtId="3" fontId="160" fillId="103" borderId="153" xfId="0" applyNumberFormat="1" applyFont="1" applyFill="1" applyBorder="1"/>
    <xf numFmtId="3" fontId="380" fillId="101" borderId="32" xfId="0" applyNumberFormat="1" applyFont="1" applyFill="1" applyBorder="1"/>
    <xf numFmtId="3" fontId="380" fillId="101" borderId="146" xfId="0" applyNumberFormat="1" applyFont="1" applyFill="1" applyBorder="1" applyAlignment="1">
      <alignment wrapText="1"/>
    </xf>
    <xf numFmtId="3" fontId="2" fillId="102" borderId="165" xfId="0" applyNumberFormat="1" applyFont="1" applyFill="1" applyBorder="1" applyAlignment="1">
      <alignment horizontal="center" wrapText="1"/>
    </xf>
    <xf numFmtId="3" fontId="2" fillId="102" borderId="7" xfId="0" applyNumberFormat="1" applyFont="1" applyFill="1" applyBorder="1" applyAlignment="1">
      <alignment horizontal="center" wrapText="1"/>
    </xf>
    <xf numFmtId="3" fontId="2" fillId="102" borderId="146" xfId="0" applyNumberFormat="1" applyFont="1" applyFill="1" applyBorder="1" applyAlignment="1">
      <alignment horizontal="center" wrapText="1"/>
    </xf>
    <xf numFmtId="0" fontId="13" fillId="103" borderId="32" xfId="1005" applyFont="1" applyFill="1" applyBorder="1" applyAlignment="1">
      <alignment horizontal="left"/>
    </xf>
    <xf numFmtId="3" fontId="47" fillId="102" borderId="165" xfId="0" applyNumberFormat="1" applyFont="1" applyFill="1" applyBorder="1" applyAlignment="1">
      <alignment horizontal="center" wrapText="1"/>
    </xf>
    <xf numFmtId="3" fontId="47" fillId="102" borderId="7" xfId="0" applyNumberFormat="1" applyFont="1" applyFill="1" applyBorder="1" applyAlignment="1">
      <alignment horizontal="center" wrapText="1"/>
    </xf>
    <xf numFmtId="3" fontId="47" fillId="102" borderId="146" xfId="0" applyNumberFormat="1" applyFont="1" applyFill="1" applyBorder="1" applyAlignment="1">
      <alignment horizontal="center" wrapText="1"/>
    </xf>
    <xf numFmtId="0" fontId="382" fillId="101" borderId="171" xfId="0" applyFont="1" applyFill="1" applyBorder="1" applyAlignment="1">
      <alignment horizontal="center"/>
    </xf>
    <xf numFmtId="0" fontId="382" fillId="101" borderId="172" xfId="0" applyFont="1" applyFill="1" applyBorder="1" applyAlignment="1">
      <alignment horizontal="center"/>
    </xf>
    <xf numFmtId="0" fontId="383" fillId="101" borderId="0" xfId="0" applyFont="1" applyFill="1"/>
    <xf numFmtId="3" fontId="380" fillId="101" borderId="146" xfId="0" applyNumberFormat="1" applyFont="1" applyFill="1" applyBorder="1"/>
    <xf numFmtId="3" fontId="383" fillId="101" borderId="0" xfId="0" applyNumberFormat="1" applyFont="1" applyFill="1"/>
    <xf numFmtId="0" fontId="13" fillId="102" borderId="154" xfId="1006" applyFont="1" applyFill="1" applyBorder="1" applyAlignment="1">
      <alignment horizontal="left"/>
    </xf>
    <xf numFmtId="0" fontId="14" fillId="3" borderId="169" xfId="1006" applyFont="1" applyFill="1" applyBorder="1" applyAlignment="1">
      <alignment horizontal="left" indent="1"/>
    </xf>
    <xf numFmtId="0" fontId="13" fillId="103" borderId="30" xfId="1005" applyFont="1" applyFill="1" applyBorder="1" applyAlignment="1">
      <alignment horizontal="left"/>
    </xf>
    <xf numFmtId="0" fontId="17" fillId="101" borderId="153" xfId="0" applyFont="1" applyFill="1" applyBorder="1" applyAlignment="1" applyProtection="1">
      <alignment horizontal="left" vertical="center"/>
      <protection locked="0"/>
    </xf>
    <xf numFmtId="285" fontId="17" fillId="101" borderId="153" xfId="0" applyNumberFormat="1" applyFont="1" applyFill="1" applyBorder="1" applyAlignment="1">
      <alignment horizontal="center"/>
    </xf>
    <xf numFmtId="0" fontId="13" fillId="102" borderId="169" xfId="0" applyFont="1" applyFill="1" applyBorder="1" applyAlignment="1" applyProtection="1">
      <alignment horizontal="left" vertical="center"/>
      <protection locked="0"/>
    </xf>
    <xf numFmtId="3" fontId="13" fillId="3" borderId="0" xfId="0" applyNumberFormat="1" applyFont="1" applyFill="1" applyAlignment="1">
      <alignment vertical="center"/>
    </xf>
    <xf numFmtId="3" fontId="14" fillId="3" borderId="0" xfId="0" applyNumberFormat="1" applyFont="1" applyFill="1" applyAlignment="1">
      <alignment vertical="center"/>
    </xf>
    <xf numFmtId="3" fontId="14" fillId="3" borderId="22" xfId="0" applyNumberFormat="1" applyFont="1" applyFill="1" applyBorder="1" applyAlignment="1">
      <alignment vertical="center"/>
    </xf>
    <xf numFmtId="3" fontId="321" fillId="103" borderId="146" xfId="0" applyNumberFormat="1" applyFont="1" applyFill="1" applyBorder="1"/>
    <xf numFmtId="0" fontId="17" fillId="101" borderId="154" xfId="1006" applyFont="1" applyFill="1" applyBorder="1" applyAlignment="1">
      <alignment horizontal="left"/>
    </xf>
    <xf numFmtId="286" fontId="17" fillId="101" borderId="153" xfId="1006" applyNumberFormat="1" applyFont="1" applyFill="1" applyBorder="1" applyAlignment="1">
      <alignment horizontal="center"/>
    </xf>
    <xf numFmtId="286" fontId="17" fillId="101" borderId="154" xfId="1006" applyNumberFormat="1" applyFont="1" applyFill="1" applyBorder="1" applyAlignment="1">
      <alignment horizontal="center"/>
    </xf>
    <xf numFmtId="3" fontId="14" fillId="3" borderId="169" xfId="1006" applyNumberFormat="1" applyFont="1" applyFill="1" applyBorder="1"/>
    <xf numFmtId="285" fontId="13" fillId="3" borderId="153" xfId="0" applyNumberFormat="1" applyFont="1" applyFill="1" applyBorder="1" applyAlignment="1">
      <alignment horizontal="center"/>
    </xf>
    <xf numFmtId="285" fontId="17" fillId="101" borderId="154" xfId="0" applyNumberFormat="1" applyFont="1" applyFill="1" applyBorder="1" applyAlignment="1">
      <alignment horizontal="center"/>
    </xf>
    <xf numFmtId="0" fontId="13" fillId="102" borderId="0" xfId="0" applyFont="1" applyFill="1" applyAlignment="1" applyProtection="1">
      <alignment horizontal="left" vertical="center"/>
      <protection locked="0"/>
    </xf>
    <xf numFmtId="3" fontId="13" fillId="3" borderId="28" xfId="0" applyNumberFormat="1" applyFont="1" applyFill="1" applyBorder="1" applyAlignment="1">
      <alignment vertical="center"/>
    </xf>
    <xf numFmtId="3" fontId="14" fillId="3" borderId="28" xfId="0" applyNumberFormat="1" applyFont="1" applyFill="1" applyBorder="1" applyAlignment="1">
      <alignment vertical="center"/>
    </xf>
    <xf numFmtId="3" fontId="14" fillId="3" borderId="40" xfId="0" applyNumberFormat="1" applyFont="1" applyFill="1" applyBorder="1" applyAlignment="1">
      <alignment vertical="center"/>
    </xf>
    <xf numFmtId="3" fontId="160" fillId="103" borderId="146" xfId="0" applyNumberFormat="1" applyFont="1" applyFill="1" applyBorder="1"/>
    <xf numFmtId="0" fontId="380" fillId="101" borderId="153" xfId="0" applyFont="1" applyFill="1" applyBorder="1"/>
    <xf numFmtId="3" fontId="0" fillId="102" borderId="0" xfId="0" applyNumberFormat="1" applyFill="1"/>
    <xf numFmtId="0" fontId="160" fillId="102" borderId="0" xfId="0" applyFont="1" applyFill="1"/>
    <xf numFmtId="0" fontId="0" fillId="3" borderId="19" xfId="0" applyFill="1" applyBorder="1"/>
    <xf numFmtId="0" fontId="47" fillId="3" borderId="19" xfId="0" applyFont="1" applyFill="1" applyBorder="1" applyAlignment="1">
      <alignment horizontal="left"/>
    </xf>
    <xf numFmtId="182" fontId="0" fillId="4" borderId="19" xfId="22" applyNumberFormat="1" applyFont="1" applyFill="1" applyBorder="1"/>
    <xf numFmtId="0" fontId="380" fillId="101" borderId="168" xfId="0" applyFont="1" applyFill="1" applyBorder="1" applyAlignment="1">
      <alignment horizontal="center"/>
    </xf>
    <xf numFmtId="3" fontId="380" fillId="101" borderId="168" xfId="0" applyNumberFormat="1" applyFont="1" applyFill="1" applyBorder="1" applyAlignment="1">
      <alignment horizontal="center"/>
    </xf>
    <xf numFmtId="0" fontId="1" fillId="0" borderId="0" xfId="1460"/>
    <xf numFmtId="9" fontId="385" fillId="0" borderId="0" xfId="1460" applyNumberFormat="1" applyFont="1"/>
    <xf numFmtId="0" fontId="385" fillId="0" borderId="0" xfId="1460" applyFont="1"/>
    <xf numFmtId="0" fontId="386" fillId="104" borderId="180" xfId="1460" applyFont="1" applyFill="1" applyBorder="1" applyAlignment="1">
      <alignment vertical="center"/>
    </xf>
    <xf numFmtId="0" fontId="1" fillId="106" borderId="176" xfId="1460" applyFill="1" applyBorder="1" applyAlignment="1">
      <alignment vertical="center"/>
    </xf>
    <xf numFmtId="0" fontId="1" fillId="106" borderId="175" xfId="1460" applyFill="1" applyBorder="1" applyAlignment="1">
      <alignment vertical="center" wrapText="1"/>
    </xf>
    <xf numFmtId="0" fontId="1" fillId="107" borderId="176" xfId="1460" applyFill="1" applyBorder="1" applyAlignment="1">
      <alignment vertical="center"/>
    </xf>
    <xf numFmtId="0" fontId="1" fillId="107" borderId="175" xfId="1460" applyFill="1" applyBorder="1" applyAlignment="1">
      <alignment vertical="center" wrapText="1"/>
    </xf>
    <xf numFmtId="0" fontId="384" fillId="0" borderId="0" xfId="1460" applyFont="1" applyAlignment="1">
      <alignment horizontal="right"/>
    </xf>
    <xf numFmtId="0" fontId="384" fillId="0" borderId="0" xfId="1460" applyFont="1"/>
    <xf numFmtId="9" fontId="0" fillId="106" borderId="175" xfId="1461" applyFont="1" applyFill="1" applyBorder="1" applyAlignment="1">
      <alignment horizontal="center" vertical="center"/>
    </xf>
    <xf numFmtId="0" fontId="1" fillId="106" borderId="175" xfId="1460" applyFill="1" applyBorder="1" applyAlignment="1">
      <alignment horizontal="center" vertical="center"/>
    </xf>
    <xf numFmtId="9" fontId="0" fillId="107" borderId="175" xfId="1461" applyFont="1" applyFill="1" applyBorder="1" applyAlignment="1">
      <alignment horizontal="center" vertical="center"/>
    </xf>
    <xf numFmtId="0" fontId="1" fillId="107" borderId="175" xfId="1460" applyFill="1" applyBorder="1" applyAlignment="1">
      <alignment horizontal="center" vertical="center"/>
    </xf>
    <xf numFmtId="9" fontId="387" fillId="105" borderId="177" xfId="1461" applyFont="1" applyFill="1" applyBorder="1" applyAlignment="1">
      <alignment horizontal="center" vertical="center"/>
    </xf>
    <xf numFmtId="2" fontId="387" fillId="105" borderId="177" xfId="1460" applyNumberFormat="1" applyFont="1" applyFill="1" applyBorder="1" applyAlignment="1">
      <alignment horizontal="center" vertical="center"/>
    </xf>
    <xf numFmtId="2" fontId="384" fillId="0" borderId="0" xfId="1460" applyNumberFormat="1" applyFont="1" applyAlignment="1">
      <alignment horizontal="center" vertical="center"/>
    </xf>
    <xf numFmtId="3" fontId="390" fillId="0" borderId="0" xfId="0" applyNumberFormat="1" applyFont="1" applyAlignment="1">
      <alignment horizontal="right" readingOrder="1"/>
    </xf>
    <xf numFmtId="3" fontId="349" fillId="3" borderId="0" xfId="0" applyNumberFormat="1" applyFont="1" applyFill="1" applyAlignment="1">
      <alignment wrapText="1"/>
    </xf>
    <xf numFmtId="3" fontId="349" fillId="3" borderId="0" xfId="0" applyNumberFormat="1" applyFont="1" applyFill="1" applyAlignment="1">
      <alignment horizontal="right" wrapText="1"/>
    </xf>
    <xf numFmtId="0" fontId="45" fillId="3" borderId="183" xfId="0" applyFont="1" applyFill="1" applyBorder="1" applyAlignment="1">
      <alignment wrapText="1"/>
    </xf>
    <xf numFmtId="0" fontId="45" fillId="3" borderId="184" xfId="0" applyFont="1" applyFill="1" applyBorder="1" applyAlignment="1">
      <alignment wrapText="1"/>
    </xf>
    <xf numFmtId="0" fontId="45" fillId="3" borderId="166" xfId="0" applyFont="1" applyFill="1" applyBorder="1" applyAlignment="1">
      <alignment wrapText="1"/>
    </xf>
    <xf numFmtId="3" fontId="45" fillId="3" borderId="166" xfId="0" applyNumberFormat="1" applyFont="1" applyFill="1" applyBorder="1" applyAlignment="1">
      <alignment wrapText="1"/>
    </xf>
    <xf numFmtId="3" fontId="45" fillId="3" borderId="183" xfId="0" applyNumberFormat="1" applyFont="1" applyFill="1" applyBorder="1" applyAlignment="1">
      <alignment wrapText="1"/>
    </xf>
    <xf numFmtId="0" fontId="35" fillId="3" borderId="184" xfId="0" applyFont="1" applyFill="1" applyBorder="1" applyAlignment="1">
      <alignment wrapText="1"/>
    </xf>
    <xf numFmtId="0" fontId="369" fillId="3" borderId="166" xfId="0" applyFont="1" applyFill="1" applyBorder="1" applyAlignment="1">
      <alignment wrapText="1"/>
    </xf>
    <xf numFmtId="0" fontId="35" fillId="3" borderId="183" xfId="0" applyFont="1" applyFill="1" applyBorder="1" applyAlignment="1">
      <alignment wrapText="1"/>
    </xf>
    <xf numFmtId="182" fontId="45" fillId="3" borderId="184" xfId="22" applyNumberFormat="1" applyFont="1" applyFill="1" applyBorder="1" applyAlignment="1">
      <alignment wrapText="1"/>
    </xf>
    <xf numFmtId="0" fontId="45" fillId="3" borderId="167" xfId="0" applyFont="1" applyFill="1" applyBorder="1" applyAlignment="1">
      <alignment wrapText="1"/>
    </xf>
    <xf numFmtId="0" fontId="35" fillId="3" borderId="167" xfId="0" applyFont="1" applyFill="1" applyBorder="1" applyAlignment="1">
      <alignment wrapText="1"/>
    </xf>
    <xf numFmtId="0" fontId="0" fillId="3" borderId="184" xfId="0" applyFill="1" applyBorder="1" applyAlignment="1">
      <alignment wrapText="1"/>
    </xf>
    <xf numFmtId="0" fontId="0" fillId="3" borderId="166" xfId="0" applyFill="1" applyBorder="1" applyAlignment="1">
      <alignment wrapText="1"/>
    </xf>
    <xf numFmtId="0" fontId="0" fillId="3" borderId="183" xfId="0" applyFill="1" applyBorder="1" applyAlignment="1">
      <alignment wrapText="1"/>
    </xf>
    <xf numFmtId="0" fontId="366" fillId="3" borderId="10" xfId="0" applyFont="1" applyFill="1" applyBorder="1" applyAlignment="1">
      <alignment wrapText="1"/>
    </xf>
    <xf numFmtId="0" fontId="391" fillId="3" borderId="185" xfId="0" applyFont="1" applyFill="1" applyBorder="1" applyAlignment="1">
      <alignment wrapText="1"/>
    </xf>
    <xf numFmtId="0" fontId="366" fillId="3" borderId="12" xfId="0" applyFont="1" applyFill="1" applyBorder="1" applyAlignment="1">
      <alignment wrapText="1"/>
    </xf>
    <xf numFmtId="0" fontId="318" fillId="3" borderId="12" xfId="0" applyFont="1" applyFill="1" applyBorder="1" applyAlignment="1">
      <alignment wrapText="1"/>
    </xf>
    <xf numFmtId="0" fontId="391" fillId="3" borderId="10" xfId="0" applyFont="1" applyFill="1" applyBorder="1" applyAlignment="1">
      <alignment wrapText="1"/>
    </xf>
    <xf numFmtId="3" fontId="391" fillId="3" borderId="185" xfId="0" applyNumberFormat="1" applyFont="1" applyFill="1" applyBorder="1" applyAlignment="1">
      <alignment horizontal="center" vertical="center" wrapText="1"/>
    </xf>
    <xf numFmtId="3" fontId="391" fillId="3" borderId="12" xfId="0" applyNumberFormat="1" applyFont="1" applyFill="1" applyBorder="1" applyAlignment="1">
      <alignment horizontal="center" vertical="center" wrapText="1"/>
    </xf>
    <xf numFmtId="3" fontId="391" fillId="3" borderId="10" xfId="0" applyNumberFormat="1" applyFont="1" applyFill="1" applyBorder="1" applyAlignment="1">
      <alignment horizontal="center" vertical="center" wrapText="1"/>
    </xf>
    <xf numFmtId="3" fontId="391" fillId="3" borderId="185" xfId="0" applyNumberFormat="1" applyFont="1" applyFill="1" applyBorder="1" applyAlignment="1">
      <alignment wrapText="1"/>
    </xf>
    <xf numFmtId="3" fontId="391" fillId="3" borderId="12" xfId="0" applyNumberFormat="1" applyFont="1" applyFill="1" applyBorder="1" applyAlignment="1">
      <alignment wrapText="1"/>
    </xf>
    <xf numFmtId="3" fontId="391" fillId="3" borderId="10" xfId="0" applyNumberFormat="1" applyFont="1" applyFill="1" applyBorder="1" applyAlignment="1">
      <alignment wrapText="1"/>
    </xf>
    <xf numFmtId="3" fontId="367" fillId="3" borderId="185" xfId="0" applyNumberFormat="1" applyFont="1" applyFill="1" applyBorder="1" applyAlignment="1">
      <alignment wrapText="1"/>
    </xf>
    <xf numFmtId="3" fontId="366" fillId="3" borderId="12" xfId="0" applyNumberFormat="1" applyFont="1" applyFill="1" applyBorder="1" applyAlignment="1">
      <alignment wrapText="1"/>
    </xf>
    <xf numFmtId="3" fontId="367" fillId="3" borderId="10" xfId="0" applyNumberFormat="1" applyFont="1" applyFill="1" applyBorder="1" applyAlignment="1">
      <alignment wrapText="1"/>
    </xf>
    <xf numFmtId="182" fontId="318" fillId="3" borderId="185" xfId="22" applyNumberFormat="1" applyFont="1" applyFill="1" applyBorder="1" applyAlignment="1">
      <alignment wrapText="1"/>
    </xf>
    <xf numFmtId="3" fontId="318" fillId="3" borderId="10" xfId="0" applyNumberFormat="1" applyFont="1" applyFill="1" applyBorder="1" applyAlignment="1">
      <alignment wrapText="1"/>
    </xf>
    <xf numFmtId="3" fontId="318" fillId="3" borderId="186" xfId="0" applyNumberFormat="1" applyFont="1" applyFill="1" applyBorder="1" applyAlignment="1">
      <alignment wrapText="1"/>
    </xf>
    <xf numFmtId="3" fontId="367" fillId="3" borderId="186" xfId="0" applyNumberFormat="1" applyFont="1" applyFill="1" applyBorder="1" applyAlignment="1">
      <alignment wrapText="1"/>
    </xf>
    <xf numFmtId="3" fontId="318" fillId="3" borderId="186" xfId="0" applyNumberFormat="1" applyFont="1" applyFill="1" applyBorder="1" applyAlignment="1">
      <alignment horizontal="center" wrapText="1"/>
    </xf>
    <xf numFmtId="3" fontId="318" fillId="3" borderId="12" xfId="0" applyNumberFormat="1" applyFont="1" applyFill="1" applyBorder="1" applyAlignment="1">
      <alignment wrapText="1"/>
    </xf>
    <xf numFmtId="9" fontId="318" fillId="3" borderId="185" xfId="22" applyFont="1" applyFill="1" applyBorder="1" applyAlignment="1">
      <alignment wrapText="1"/>
    </xf>
    <xf numFmtId="9" fontId="318" fillId="3" borderId="12" xfId="22" applyFont="1" applyFill="1" applyBorder="1" applyAlignment="1">
      <alignment wrapText="1"/>
    </xf>
    <xf numFmtId="9" fontId="318" fillId="3" borderId="10" xfId="22" applyFont="1" applyFill="1" applyBorder="1" applyAlignment="1">
      <alignment wrapText="1"/>
    </xf>
    <xf numFmtId="3" fontId="318" fillId="3" borderId="185" xfId="0" applyNumberFormat="1" applyFont="1" applyFill="1" applyBorder="1" applyAlignment="1">
      <alignment wrapText="1"/>
    </xf>
    <xf numFmtId="0" fontId="366" fillId="3" borderId="29" xfId="0" applyFont="1" applyFill="1" applyBorder="1" applyAlignment="1">
      <alignment wrapText="1"/>
    </xf>
    <xf numFmtId="0" fontId="391" fillId="3" borderId="137" xfId="0" applyFont="1" applyFill="1" applyBorder="1" applyAlignment="1">
      <alignment wrapText="1"/>
    </xf>
    <xf numFmtId="0" fontId="366" fillId="3" borderId="32" xfId="0" applyFont="1" applyFill="1" applyBorder="1" applyAlignment="1">
      <alignment wrapText="1"/>
    </xf>
    <xf numFmtId="0" fontId="392" fillId="3" borderId="32" xfId="0" applyFont="1" applyFill="1" applyBorder="1" applyAlignment="1">
      <alignment wrapText="1"/>
    </xf>
    <xf numFmtId="0" fontId="391" fillId="3" borderId="29" xfId="0" applyFont="1" applyFill="1" applyBorder="1" applyAlignment="1">
      <alignment wrapText="1"/>
    </xf>
    <xf numFmtId="3" fontId="391" fillId="3" borderId="137" xfId="0" applyNumberFormat="1" applyFont="1" applyFill="1" applyBorder="1" applyAlignment="1">
      <alignment horizontal="center" vertical="center" wrapText="1"/>
    </xf>
    <xf numFmtId="3" fontId="391" fillId="3" borderId="32" xfId="0" applyNumberFormat="1" applyFont="1" applyFill="1" applyBorder="1" applyAlignment="1">
      <alignment horizontal="center" vertical="center" wrapText="1"/>
    </xf>
    <xf numFmtId="3" fontId="391" fillId="3" borderId="29" xfId="0" applyNumberFormat="1" applyFont="1" applyFill="1" applyBorder="1" applyAlignment="1">
      <alignment horizontal="center" vertical="center" wrapText="1"/>
    </xf>
    <xf numFmtId="3" fontId="391" fillId="3" borderId="137" xfId="0" applyNumberFormat="1" applyFont="1" applyFill="1" applyBorder="1" applyAlignment="1">
      <alignment wrapText="1"/>
    </xf>
    <xf numFmtId="3" fontId="391" fillId="3" borderId="32" xfId="0" applyNumberFormat="1" applyFont="1" applyFill="1" applyBorder="1" applyAlignment="1">
      <alignment horizontal="right" wrapText="1"/>
    </xf>
    <xf numFmtId="3" fontId="391" fillId="3" borderId="29" xfId="0" applyNumberFormat="1" applyFont="1" applyFill="1" applyBorder="1" applyAlignment="1">
      <alignment horizontal="right" wrapText="1"/>
    </xf>
    <xf numFmtId="3" fontId="367" fillId="3" borderId="137" xfId="0" applyNumberFormat="1" applyFont="1" applyFill="1" applyBorder="1" applyAlignment="1">
      <alignment wrapText="1"/>
    </xf>
    <xf numFmtId="3" fontId="366" fillId="3" borderId="32" xfId="0" applyNumberFormat="1" applyFont="1" applyFill="1" applyBorder="1" applyAlignment="1">
      <alignment wrapText="1"/>
    </xf>
    <xf numFmtId="3" fontId="367" fillId="3" borderId="29" xfId="0" applyNumberFormat="1" applyFont="1" applyFill="1" applyBorder="1" applyAlignment="1">
      <alignment wrapText="1"/>
    </xf>
    <xf numFmtId="182" fontId="318" fillId="3" borderId="137" xfId="22" applyNumberFormat="1" applyFont="1" applyFill="1" applyBorder="1" applyAlignment="1">
      <alignment wrapText="1"/>
    </xf>
    <xf numFmtId="3" fontId="318" fillId="3" borderId="29" xfId="0" applyNumberFormat="1" applyFont="1" applyFill="1" applyBorder="1" applyAlignment="1">
      <alignment wrapText="1"/>
    </xf>
    <xf numFmtId="3" fontId="318" fillId="3" borderId="187" xfId="0" applyNumberFormat="1" applyFont="1" applyFill="1" applyBorder="1" applyAlignment="1">
      <alignment wrapText="1"/>
    </xf>
    <xf numFmtId="3" fontId="367" fillId="3" borderId="187" xfId="0" applyNumberFormat="1" applyFont="1" applyFill="1" applyBorder="1" applyAlignment="1">
      <alignment wrapText="1"/>
    </xf>
    <xf numFmtId="3" fontId="318" fillId="3" borderId="187" xfId="0" applyNumberFormat="1" applyFont="1" applyFill="1" applyBorder="1" applyAlignment="1">
      <alignment horizontal="center" wrapText="1"/>
    </xf>
    <xf numFmtId="3" fontId="318" fillId="3" borderId="32" xfId="0" applyNumberFormat="1" applyFont="1" applyFill="1" applyBorder="1" applyAlignment="1">
      <alignment wrapText="1"/>
    </xf>
    <xf numFmtId="9" fontId="318" fillId="3" borderId="137" xfId="22" applyFont="1" applyFill="1" applyBorder="1" applyAlignment="1">
      <alignment wrapText="1"/>
    </xf>
    <xf numFmtId="9" fontId="318" fillId="3" borderId="32" xfId="22" applyFont="1" applyFill="1" applyBorder="1" applyAlignment="1">
      <alignment wrapText="1"/>
    </xf>
    <xf numFmtId="9" fontId="318" fillId="3" borderId="29" xfId="22" applyFont="1" applyFill="1" applyBorder="1" applyAlignment="1">
      <alignment wrapText="1"/>
    </xf>
    <xf numFmtId="3" fontId="318" fillId="3" borderId="137" xfId="0" applyNumberFormat="1" applyFont="1" applyFill="1" applyBorder="1" applyAlignment="1">
      <alignment wrapText="1"/>
    </xf>
    <xf numFmtId="0" fontId="318" fillId="3" borderId="32" xfId="0" applyFont="1" applyFill="1" applyBorder="1" applyAlignment="1">
      <alignment wrapText="1"/>
    </xf>
    <xf numFmtId="0" fontId="366" fillId="3" borderId="188" xfId="0" applyFont="1" applyFill="1" applyBorder="1" applyAlignment="1">
      <alignment wrapText="1"/>
    </xf>
    <xf numFmtId="0" fontId="391" fillId="3" borderId="189" xfId="0" applyFont="1" applyFill="1" applyBorder="1" applyAlignment="1">
      <alignment wrapText="1"/>
    </xf>
    <xf numFmtId="0" fontId="366" fillId="3" borderId="38" xfId="0" applyFont="1" applyFill="1" applyBorder="1" applyAlignment="1">
      <alignment wrapText="1"/>
    </xf>
    <xf numFmtId="0" fontId="392" fillId="3" borderId="38" xfId="0" applyFont="1" applyFill="1" applyBorder="1" applyAlignment="1">
      <alignment wrapText="1"/>
    </xf>
    <xf numFmtId="0" fontId="391" fillId="3" borderId="188" xfId="0" applyFont="1" applyFill="1" applyBorder="1" applyAlignment="1">
      <alignment wrapText="1"/>
    </xf>
    <xf numFmtId="3" fontId="391" fillId="3" borderId="189" xfId="0" applyNumberFormat="1" applyFont="1" applyFill="1" applyBorder="1" applyAlignment="1">
      <alignment wrapText="1"/>
    </xf>
    <xf numFmtId="3" fontId="367" fillId="3" borderId="189" xfId="0" applyNumberFormat="1" applyFont="1" applyFill="1" applyBorder="1" applyAlignment="1">
      <alignment wrapText="1"/>
    </xf>
    <xf numFmtId="3" fontId="366" fillId="3" borderId="38" xfId="0" applyNumberFormat="1" applyFont="1" applyFill="1" applyBorder="1" applyAlignment="1">
      <alignment wrapText="1"/>
    </xf>
    <xf numFmtId="3" fontId="367" fillId="3" borderId="188" xfId="0" applyNumberFormat="1" applyFont="1" applyFill="1" applyBorder="1" applyAlignment="1">
      <alignment wrapText="1"/>
    </xf>
    <xf numFmtId="182" fontId="318" fillId="3" borderId="189" xfId="22" applyNumberFormat="1" applyFont="1" applyFill="1" applyBorder="1" applyAlignment="1">
      <alignment wrapText="1"/>
    </xf>
    <xf numFmtId="3" fontId="318" fillId="3" borderId="188" xfId="0" applyNumberFormat="1" applyFont="1" applyFill="1" applyBorder="1" applyAlignment="1">
      <alignment wrapText="1"/>
    </xf>
    <xf numFmtId="3" fontId="318" fillId="3" borderId="190" xfId="0" applyNumberFormat="1" applyFont="1" applyFill="1" applyBorder="1" applyAlignment="1">
      <alignment wrapText="1"/>
    </xf>
    <xf numFmtId="3" fontId="367" fillId="3" borderId="190" xfId="0" applyNumberFormat="1" applyFont="1" applyFill="1" applyBorder="1" applyAlignment="1">
      <alignment wrapText="1"/>
    </xf>
    <xf numFmtId="3" fontId="318" fillId="3" borderId="190" xfId="0" applyNumberFormat="1" applyFont="1" applyFill="1" applyBorder="1" applyAlignment="1">
      <alignment horizontal="center" wrapText="1"/>
    </xf>
    <xf numFmtId="3" fontId="318" fillId="3" borderId="38" xfId="0" applyNumberFormat="1" applyFont="1" applyFill="1" applyBorder="1" applyAlignment="1">
      <alignment wrapText="1"/>
    </xf>
    <xf numFmtId="9" fontId="318" fillId="3" borderId="189" xfId="22" applyFont="1" applyFill="1" applyBorder="1" applyAlignment="1">
      <alignment wrapText="1"/>
    </xf>
    <xf numFmtId="9" fontId="318" fillId="3" borderId="38" xfId="22" applyFont="1" applyFill="1" applyBorder="1" applyAlignment="1">
      <alignment wrapText="1"/>
    </xf>
    <xf numFmtId="9" fontId="318" fillId="3" borderId="188" xfId="22" applyFont="1" applyFill="1" applyBorder="1" applyAlignment="1">
      <alignment wrapText="1"/>
    </xf>
    <xf numFmtId="3" fontId="318" fillId="3" borderId="189" xfId="0" applyNumberFormat="1" applyFont="1" applyFill="1" applyBorder="1" applyAlignment="1">
      <alignment wrapText="1"/>
    </xf>
    <xf numFmtId="0" fontId="318" fillId="3" borderId="38" xfId="0" applyFont="1" applyFill="1" applyBorder="1" applyAlignment="1">
      <alignment wrapText="1"/>
    </xf>
    <xf numFmtId="3" fontId="391" fillId="3" borderId="189" xfId="0" applyNumberFormat="1" applyFont="1" applyFill="1" applyBorder="1" applyAlignment="1">
      <alignment horizontal="center" vertical="center" wrapText="1"/>
    </xf>
    <xf numFmtId="3" fontId="391" fillId="3" borderId="38" xfId="0" applyNumberFormat="1" applyFont="1" applyFill="1" applyBorder="1" applyAlignment="1">
      <alignment horizontal="center" vertical="center" wrapText="1"/>
    </xf>
    <xf numFmtId="3" fontId="391" fillId="3" borderId="188" xfId="0" applyNumberFormat="1" applyFont="1" applyFill="1" applyBorder="1" applyAlignment="1">
      <alignment horizontal="center" vertical="center" wrapText="1"/>
    </xf>
    <xf numFmtId="3" fontId="391" fillId="3" borderId="38" xfId="0" applyNumberFormat="1" applyFont="1" applyFill="1" applyBorder="1" applyAlignment="1">
      <alignment horizontal="right" wrapText="1"/>
    </xf>
    <xf numFmtId="3" fontId="391" fillId="3" borderId="188" xfId="0" applyNumberFormat="1" applyFont="1" applyFill="1" applyBorder="1" applyAlignment="1">
      <alignment horizontal="right" wrapText="1"/>
    </xf>
    <xf numFmtId="0" fontId="361" fillId="3" borderId="0" xfId="0" applyFont="1" applyFill="1" applyAlignment="1">
      <alignment wrapText="1"/>
    </xf>
    <xf numFmtId="0" fontId="349" fillId="3" borderId="0" xfId="0" applyFont="1" applyFill="1" applyAlignment="1">
      <alignment wrapText="1"/>
    </xf>
    <xf numFmtId="0" fontId="362" fillId="3" borderId="0" xfId="0" applyFont="1" applyFill="1" applyAlignment="1">
      <alignment wrapText="1"/>
    </xf>
    <xf numFmtId="3" fontId="349" fillId="3" borderId="0" xfId="0" applyNumberFormat="1" applyFont="1" applyFill="1" applyAlignment="1">
      <alignment horizontal="center" vertical="center" wrapText="1"/>
    </xf>
    <xf numFmtId="182" fontId="0" fillId="3" borderId="0" xfId="22" applyNumberFormat="1" applyFont="1" applyFill="1" applyBorder="1" applyAlignment="1">
      <alignment wrapText="1"/>
    </xf>
    <xf numFmtId="9" fontId="0" fillId="3" borderId="0" xfId="22" applyFont="1" applyFill="1" applyBorder="1" applyAlignment="1">
      <alignment wrapText="1"/>
    </xf>
    <xf numFmtId="0" fontId="45" fillId="3" borderId="7" xfId="0" applyFont="1" applyFill="1" applyBorder="1" applyAlignment="1">
      <alignment wrapText="1"/>
    </xf>
    <xf numFmtId="0" fontId="349" fillId="3" borderId="165" xfId="0" applyFont="1" applyFill="1" applyBorder="1" applyAlignment="1">
      <alignment wrapText="1"/>
    </xf>
    <xf numFmtId="0" fontId="45" fillId="3" borderId="146" xfId="0" applyFont="1" applyFill="1" applyBorder="1" applyAlignment="1">
      <alignment wrapText="1"/>
    </xf>
    <xf numFmtId="0" fontId="296" fillId="3" borderId="146" xfId="0" applyFont="1" applyFill="1" applyBorder="1" applyAlignment="1">
      <alignment wrapText="1"/>
    </xf>
    <xf numFmtId="0" fontId="349" fillId="3" borderId="7" xfId="0" applyFont="1" applyFill="1" applyBorder="1" applyAlignment="1">
      <alignment wrapText="1"/>
    </xf>
    <xf numFmtId="3" fontId="349" fillId="3" borderId="165" xfId="0" applyNumberFormat="1" applyFont="1" applyFill="1" applyBorder="1" applyAlignment="1">
      <alignment horizontal="center" vertical="center" wrapText="1"/>
    </xf>
    <xf numFmtId="3" fontId="349" fillId="3" borderId="146" xfId="0" applyNumberFormat="1" applyFont="1" applyFill="1" applyBorder="1" applyAlignment="1">
      <alignment horizontal="center" vertical="center" wrapText="1"/>
    </xf>
    <xf numFmtId="3" fontId="349" fillId="3" borderId="7" xfId="0" applyNumberFormat="1" applyFont="1" applyFill="1" applyBorder="1" applyAlignment="1">
      <alignment horizontal="center" vertical="center" wrapText="1"/>
    </xf>
    <xf numFmtId="3" fontId="349" fillId="3" borderId="165" xfId="0" applyNumberFormat="1" applyFont="1" applyFill="1" applyBorder="1" applyAlignment="1">
      <alignment wrapText="1"/>
    </xf>
    <xf numFmtId="3" fontId="349" fillId="3" borderId="146" xfId="0" applyNumberFormat="1" applyFont="1" applyFill="1" applyBorder="1" applyAlignment="1">
      <alignment wrapText="1"/>
    </xf>
    <xf numFmtId="3" fontId="349" fillId="3" borderId="7" xfId="0" applyNumberFormat="1" applyFont="1" applyFill="1" applyBorder="1" applyAlignment="1">
      <alignment wrapText="1"/>
    </xf>
    <xf numFmtId="3" fontId="35" fillId="3" borderId="165" xfId="0" applyNumberFormat="1" applyFont="1" applyFill="1" applyBorder="1" applyAlignment="1">
      <alignment wrapText="1"/>
    </xf>
    <xf numFmtId="3" fontId="45" fillId="3" borderId="146" xfId="0" applyNumberFormat="1" applyFont="1" applyFill="1" applyBorder="1" applyAlignment="1">
      <alignment wrapText="1"/>
    </xf>
    <xf numFmtId="3" fontId="35" fillId="3" borderId="7" xfId="0" applyNumberFormat="1" applyFont="1" applyFill="1" applyBorder="1" applyAlignment="1">
      <alignment wrapText="1"/>
    </xf>
    <xf numFmtId="182" fontId="296" fillId="3" borderId="165" xfId="22" applyNumberFormat="1" applyFont="1" applyFill="1" applyBorder="1" applyAlignment="1">
      <alignment wrapText="1"/>
    </xf>
    <xf numFmtId="3" fontId="296" fillId="3" borderId="7" xfId="0" applyNumberFormat="1" applyFont="1" applyFill="1" applyBorder="1" applyAlignment="1">
      <alignment wrapText="1"/>
    </xf>
    <xf numFmtId="3" fontId="296" fillId="3" borderId="66" xfId="0" applyNumberFormat="1" applyFont="1" applyFill="1" applyBorder="1" applyAlignment="1">
      <alignment wrapText="1"/>
    </xf>
    <xf numFmtId="3" fontId="35" fillId="3" borderId="66" xfId="0" applyNumberFormat="1" applyFont="1" applyFill="1" applyBorder="1" applyAlignment="1">
      <alignment wrapText="1"/>
    </xf>
    <xf numFmtId="3" fontId="296" fillId="3" borderId="66" xfId="0" applyNumberFormat="1" applyFont="1" applyFill="1" applyBorder="1" applyAlignment="1">
      <alignment horizontal="center" wrapText="1"/>
    </xf>
    <xf numFmtId="3" fontId="296" fillId="3" borderId="146" xfId="0" applyNumberFormat="1" applyFont="1" applyFill="1" applyBorder="1" applyAlignment="1">
      <alignment wrapText="1"/>
    </xf>
    <xf numFmtId="9" fontId="296" fillId="3" borderId="165" xfId="22" applyFont="1" applyFill="1" applyBorder="1" applyAlignment="1">
      <alignment wrapText="1"/>
    </xf>
    <xf numFmtId="9" fontId="296" fillId="3" borderId="146" xfId="22" applyFont="1" applyFill="1" applyBorder="1" applyAlignment="1">
      <alignment wrapText="1"/>
    </xf>
    <xf numFmtId="9" fontId="296" fillId="3" borderId="7" xfId="22" applyFont="1" applyFill="1" applyBorder="1" applyAlignment="1">
      <alignment wrapText="1"/>
    </xf>
    <xf numFmtId="3" fontId="296" fillId="3" borderId="165" xfId="0" applyNumberFormat="1" applyFont="1" applyFill="1" applyBorder="1" applyAlignment="1">
      <alignment wrapText="1"/>
    </xf>
    <xf numFmtId="0" fontId="45" fillId="3" borderId="10" xfId="0" applyFont="1" applyFill="1" applyBorder="1" applyAlignment="1">
      <alignment wrapText="1"/>
    </xf>
    <xf numFmtId="0" fontId="349" fillId="3" borderId="185" xfId="0" applyFont="1" applyFill="1" applyBorder="1" applyAlignment="1">
      <alignment wrapText="1"/>
    </xf>
    <xf numFmtId="0" fontId="45" fillId="3" borderId="12" xfId="0" applyFont="1" applyFill="1" applyBorder="1" applyAlignment="1">
      <alignment wrapText="1"/>
    </xf>
    <xf numFmtId="0" fontId="296" fillId="3" borderId="12" xfId="0" applyFont="1" applyFill="1" applyBorder="1" applyAlignment="1">
      <alignment wrapText="1"/>
    </xf>
    <xf numFmtId="0" fontId="349" fillId="3" borderId="10" xfId="0" applyFont="1" applyFill="1" applyBorder="1" applyAlignment="1">
      <alignment wrapText="1"/>
    </xf>
    <xf numFmtId="3" fontId="349" fillId="3" borderId="185" xfId="0" applyNumberFormat="1" applyFont="1" applyFill="1" applyBorder="1" applyAlignment="1">
      <alignment horizontal="center" vertical="center" wrapText="1"/>
    </xf>
    <xf numFmtId="3" fontId="349" fillId="3" borderId="12" xfId="0" applyNumberFormat="1" applyFont="1" applyFill="1" applyBorder="1" applyAlignment="1">
      <alignment horizontal="center" vertical="center" wrapText="1"/>
    </xf>
    <xf numFmtId="3" fontId="349" fillId="3" borderId="10" xfId="0" applyNumberFormat="1" applyFont="1" applyFill="1" applyBorder="1" applyAlignment="1">
      <alignment horizontal="center" vertical="center" wrapText="1"/>
    </xf>
    <xf numFmtId="3" fontId="349" fillId="3" borderId="185" xfId="0" applyNumberFormat="1" applyFont="1" applyFill="1" applyBorder="1" applyAlignment="1">
      <alignment wrapText="1"/>
    </xf>
    <xf numFmtId="3" fontId="349" fillId="3" borderId="12" xfId="0" applyNumberFormat="1" applyFont="1" applyFill="1" applyBorder="1" applyAlignment="1">
      <alignment wrapText="1"/>
    </xf>
    <xf numFmtId="3" fontId="349" fillId="3" borderId="10" xfId="0" applyNumberFormat="1" applyFont="1" applyFill="1" applyBorder="1" applyAlignment="1">
      <alignment wrapText="1"/>
    </xf>
    <xf numFmtId="3" fontId="35" fillId="3" borderId="185" xfId="0" applyNumberFormat="1" applyFont="1" applyFill="1" applyBorder="1" applyAlignment="1">
      <alignment wrapText="1"/>
    </xf>
    <xf numFmtId="3" fontId="45" fillId="3" borderId="12" xfId="0" applyNumberFormat="1" applyFont="1" applyFill="1" applyBorder="1" applyAlignment="1">
      <alignment wrapText="1"/>
    </xf>
    <xf numFmtId="3" fontId="35" fillId="3" borderId="10" xfId="0" applyNumberFormat="1" applyFont="1" applyFill="1" applyBorder="1" applyAlignment="1">
      <alignment wrapText="1"/>
    </xf>
    <xf numFmtId="182" fontId="296" fillId="3" borderId="185" xfId="22" applyNumberFormat="1" applyFont="1" applyFill="1" applyBorder="1" applyAlignment="1">
      <alignment wrapText="1"/>
    </xf>
    <xf numFmtId="3" fontId="296" fillId="3" borderId="10" xfId="0" applyNumberFormat="1" applyFont="1" applyFill="1" applyBorder="1" applyAlignment="1">
      <alignment wrapText="1"/>
    </xf>
    <xf numFmtId="3" fontId="296" fillId="3" borderId="186" xfId="0" applyNumberFormat="1" applyFont="1" applyFill="1" applyBorder="1" applyAlignment="1">
      <alignment wrapText="1"/>
    </xf>
    <xf numFmtId="3" fontId="35" fillId="3" borderId="186" xfId="0" applyNumberFormat="1" applyFont="1" applyFill="1" applyBorder="1" applyAlignment="1">
      <alignment wrapText="1"/>
    </xf>
    <xf numFmtId="3" fontId="296" fillId="3" borderId="186" xfId="0" applyNumberFormat="1" applyFont="1" applyFill="1" applyBorder="1" applyAlignment="1">
      <alignment horizontal="center" wrapText="1"/>
    </xf>
    <xf numFmtId="3" fontId="296" fillId="3" borderId="12" xfId="0" applyNumberFormat="1" applyFont="1" applyFill="1" applyBorder="1" applyAlignment="1">
      <alignment wrapText="1"/>
    </xf>
    <xf numFmtId="9" fontId="296" fillId="3" borderId="185" xfId="22" applyFont="1" applyFill="1" applyBorder="1" applyAlignment="1">
      <alignment wrapText="1"/>
    </xf>
    <xf numFmtId="9" fontId="296" fillId="3" borderId="12" xfId="22" applyFont="1" applyFill="1" applyBorder="1" applyAlignment="1">
      <alignment wrapText="1"/>
    </xf>
    <xf numFmtId="9" fontId="296" fillId="3" borderId="10" xfId="22" applyFont="1" applyFill="1" applyBorder="1" applyAlignment="1">
      <alignment wrapText="1"/>
    </xf>
    <xf numFmtId="3" fontId="296" fillId="3" borderId="185" xfId="0" applyNumberFormat="1" applyFont="1" applyFill="1" applyBorder="1" applyAlignment="1">
      <alignment wrapText="1"/>
    </xf>
    <xf numFmtId="0" fontId="45" fillId="3" borderId="29" xfId="0" applyFont="1" applyFill="1" applyBorder="1" applyAlignment="1">
      <alignment wrapText="1"/>
    </xf>
    <xf numFmtId="0" fontId="349" fillId="3" borderId="137" xfId="0" applyFont="1" applyFill="1" applyBorder="1" applyAlignment="1">
      <alignment wrapText="1"/>
    </xf>
    <xf numFmtId="0" fontId="45" fillId="3" borderId="32" xfId="0" applyFont="1" applyFill="1" applyBorder="1" applyAlignment="1">
      <alignment wrapText="1"/>
    </xf>
    <xf numFmtId="0" fontId="362" fillId="3" borderId="32" xfId="0" applyFont="1" applyFill="1" applyBorder="1" applyAlignment="1">
      <alignment wrapText="1"/>
    </xf>
    <xf numFmtId="0" fontId="349" fillId="3" borderId="29" xfId="0" applyFont="1" applyFill="1" applyBorder="1" applyAlignment="1">
      <alignment wrapText="1"/>
    </xf>
    <xf numFmtId="3" fontId="349" fillId="3" borderId="137" xfId="0" applyNumberFormat="1" applyFont="1" applyFill="1" applyBorder="1" applyAlignment="1">
      <alignment horizontal="center" vertical="center" wrapText="1"/>
    </xf>
    <xf numFmtId="3" fontId="349" fillId="3" borderId="32" xfId="0" applyNumberFormat="1" applyFont="1" applyFill="1" applyBorder="1" applyAlignment="1">
      <alignment horizontal="center" vertical="center" wrapText="1"/>
    </xf>
    <xf numFmtId="3" fontId="349" fillId="3" borderId="29" xfId="0" applyNumberFormat="1" applyFont="1" applyFill="1" applyBorder="1" applyAlignment="1">
      <alignment horizontal="center" vertical="center" wrapText="1"/>
    </xf>
    <xf numFmtId="3" fontId="349" fillId="3" borderId="137" xfId="0" applyNumberFormat="1" applyFont="1" applyFill="1" applyBorder="1" applyAlignment="1">
      <alignment wrapText="1"/>
    </xf>
    <xf numFmtId="3" fontId="349" fillId="3" borderId="32" xfId="0" applyNumberFormat="1" applyFont="1" applyFill="1" applyBorder="1" applyAlignment="1">
      <alignment horizontal="right" wrapText="1"/>
    </xf>
    <xf numFmtId="3" fontId="349" fillId="3" borderId="29" xfId="0" applyNumberFormat="1" applyFont="1" applyFill="1" applyBorder="1" applyAlignment="1">
      <alignment horizontal="right" wrapText="1"/>
    </xf>
    <xf numFmtId="3" fontId="35" fillId="3" borderId="137" xfId="0" applyNumberFormat="1" applyFont="1" applyFill="1" applyBorder="1" applyAlignment="1">
      <alignment wrapText="1"/>
    </xf>
    <xf numFmtId="3" fontId="45" fillId="3" borderId="32" xfId="0" applyNumberFormat="1" applyFont="1" applyFill="1" applyBorder="1" applyAlignment="1">
      <alignment wrapText="1"/>
    </xf>
    <xf numFmtId="3" fontId="35" fillId="3" borderId="29" xfId="0" applyNumberFormat="1" applyFont="1" applyFill="1" applyBorder="1" applyAlignment="1">
      <alignment wrapText="1"/>
    </xf>
    <xf numFmtId="182" fontId="296" fillId="3" borderId="137" xfId="22" applyNumberFormat="1" applyFont="1" applyFill="1" applyBorder="1" applyAlignment="1">
      <alignment wrapText="1"/>
    </xf>
    <xf numFmtId="3" fontId="296" fillId="3" borderId="29" xfId="0" applyNumberFormat="1" applyFont="1" applyFill="1" applyBorder="1" applyAlignment="1">
      <alignment wrapText="1"/>
    </xf>
    <xf numFmtId="3" fontId="296" fillId="3" borderId="187" xfId="0" applyNumberFormat="1" applyFont="1" applyFill="1" applyBorder="1" applyAlignment="1">
      <alignment wrapText="1"/>
    </xf>
    <xf numFmtId="3" fontId="35" fillId="3" borderId="187" xfId="0" applyNumberFormat="1" applyFont="1" applyFill="1" applyBorder="1" applyAlignment="1">
      <alignment wrapText="1"/>
    </xf>
    <xf numFmtId="3" fontId="296" fillId="3" borderId="187" xfId="0" applyNumberFormat="1" applyFont="1" applyFill="1" applyBorder="1" applyAlignment="1">
      <alignment horizontal="center" wrapText="1"/>
    </xf>
    <xf numFmtId="3" fontId="296" fillId="3" borderId="32" xfId="0" applyNumberFormat="1" applyFont="1" applyFill="1" applyBorder="1" applyAlignment="1">
      <alignment wrapText="1"/>
    </xf>
    <xf numFmtId="9" fontId="296" fillId="3" borderId="137" xfId="22" applyFont="1" applyFill="1" applyBorder="1" applyAlignment="1">
      <alignment wrapText="1"/>
    </xf>
    <xf numFmtId="9" fontId="296" fillId="3" borderId="32" xfId="22" applyFont="1" applyFill="1" applyBorder="1" applyAlignment="1">
      <alignment wrapText="1"/>
    </xf>
    <xf numFmtId="9" fontId="296" fillId="3" borderId="29" xfId="22" applyFont="1" applyFill="1" applyBorder="1" applyAlignment="1">
      <alignment wrapText="1"/>
    </xf>
    <xf numFmtId="3" fontId="296" fillId="3" borderId="137" xfId="0" applyNumberFormat="1" applyFont="1" applyFill="1" applyBorder="1" applyAlignment="1">
      <alignment wrapText="1"/>
    </xf>
    <xf numFmtId="0" fontId="296" fillId="3" borderId="32" xfId="0" applyFont="1" applyFill="1" applyBorder="1" applyAlignment="1">
      <alignment wrapText="1"/>
    </xf>
    <xf numFmtId="0" fontId="45" fillId="3" borderId="188" xfId="0" applyFont="1" applyFill="1" applyBorder="1" applyAlignment="1">
      <alignment wrapText="1"/>
    </xf>
    <xf numFmtId="0" fontId="349" fillId="3" borderId="189" xfId="0" applyFont="1" applyFill="1" applyBorder="1" applyAlignment="1">
      <alignment wrapText="1"/>
    </xf>
    <xf numFmtId="0" fontId="45" fillId="3" borderId="38" xfId="0" applyFont="1" applyFill="1" applyBorder="1" applyAlignment="1">
      <alignment wrapText="1"/>
    </xf>
    <xf numFmtId="0" fontId="362" fillId="3" borderId="38" xfId="0" applyFont="1" applyFill="1" applyBorder="1" applyAlignment="1">
      <alignment wrapText="1"/>
    </xf>
    <xf numFmtId="0" fontId="349" fillId="3" borderId="188" xfId="0" applyFont="1" applyFill="1" applyBorder="1" applyAlignment="1">
      <alignment wrapText="1"/>
    </xf>
    <xf numFmtId="3" fontId="349" fillId="3" borderId="189" xfId="0" applyNumberFormat="1" applyFont="1" applyFill="1" applyBorder="1" applyAlignment="1">
      <alignment wrapText="1"/>
    </xf>
    <xf numFmtId="3" fontId="349" fillId="3" borderId="38" xfId="0" applyNumberFormat="1" applyFont="1" applyFill="1" applyBorder="1" applyAlignment="1">
      <alignment wrapText="1"/>
    </xf>
    <xf numFmtId="3" fontId="349" fillId="3" borderId="188" xfId="0" applyNumberFormat="1" applyFont="1" applyFill="1" applyBorder="1" applyAlignment="1">
      <alignment wrapText="1"/>
    </xf>
    <xf numFmtId="3" fontId="35" fillId="3" borderId="189" xfId="0" applyNumberFormat="1" applyFont="1" applyFill="1" applyBorder="1" applyAlignment="1">
      <alignment wrapText="1"/>
    </xf>
    <xf numFmtId="3" fontId="45" fillId="3" borderId="38" xfId="0" applyNumberFormat="1" applyFont="1" applyFill="1" applyBorder="1" applyAlignment="1">
      <alignment wrapText="1"/>
    </xf>
    <xf numFmtId="3" fontId="35" fillId="3" borderId="188" xfId="0" applyNumberFormat="1" applyFont="1" applyFill="1" applyBorder="1" applyAlignment="1">
      <alignment wrapText="1"/>
    </xf>
    <xf numFmtId="182" fontId="296" fillId="3" borderId="189" xfId="22" applyNumberFormat="1" applyFont="1" applyFill="1" applyBorder="1" applyAlignment="1">
      <alignment wrapText="1"/>
    </xf>
    <xf numFmtId="3" fontId="296" fillId="3" borderId="188" xfId="0" applyNumberFormat="1" applyFont="1" applyFill="1" applyBorder="1" applyAlignment="1">
      <alignment wrapText="1"/>
    </xf>
    <xf numFmtId="3" fontId="296" fillId="3" borderId="190" xfId="0" applyNumberFormat="1" applyFont="1" applyFill="1" applyBorder="1" applyAlignment="1">
      <alignment wrapText="1"/>
    </xf>
    <xf numFmtId="3" fontId="35" fillId="3" borderId="190" xfId="0" applyNumberFormat="1" applyFont="1" applyFill="1" applyBorder="1" applyAlignment="1">
      <alignment wrapText="1"/>
    </xf>
    <xf numFmtId="3" fontId="296" fillId="3" borderId="190" xfId="0" applyNumberFormat="1" applyFont="1" applyFill="1" applyBorder="1" applyAlignment="1">
      <alignment horizontal="center" wrapText="1"/>
    </xf>
    <xf numFmtId="3" fontId="296" fillId="3" borderId="38" xfId="0" applyNumberFormat="1" applyFont="1" applyFill="1" applyBorder="1" applyAlignment="1">
      <alignment wrapText="1"/>
    </xf>
    <xf numFmtId="9" fontId="296" fillId="3" borderId="189" xfId="22" applyFont="1" applyFill="1" applyBorder="1" applyAlignment="1">
      <alignment wrapText="1"/>
    </xf>
    <xf numFmtId="9" fontId="296" fillId="3" borderId="38" xfId="22" applyFont="1" applyFill="1" applyBorder="1" applyAlignment="1">
      <alignment wrapText="1"/>
    </xf>
    <xf numFmtId="9" fontId="296" fillId="3" borderId="188" xfId="22" applyFont="1" applyFill="1" applyBorder="1" applyAlignment="1">
      <alignment wrapText="1"/>
    </xf>
    <xf numFmtId="3" fontId="296" fillId="3" borderId="189" xfId="0" applyNumberFormat="1" applyFont="1" applyFill="1" applyBorder="1" applyAlignment="1">
      <alignment wrapText="1"/>
    </xf>
    <xf numFmtId="0" fontId="296" fillId="3" borderId="38" xfId="0" applyFont="1" applyFill="1" applyBorder="1" applyAlignment="1">
      <alignment wrapText="1"/>
    </xf>
    <xf numFmtId="3" fontId="349" fillId="3" borderId="189" xfId="0" applyNumberFormat="1" applyFont="1" applyFill="1" applyBorder="1" applyAlignment="1">
      <alignment horizontal="center" vertical="center" wrapText="1"/>
    </xf>
    <xf numFmtId="3" fontId="349" fillId="3" borderId="38" xfId="0" applyNumberFormat="1" applyFont="1" applyFill="1" applyBorder="1" applyAlignment="1">
      <alignment horizontal="center" vertical="center" wrapText="1"/>
    </xf>
    <xf numFmtId="3" fontId="349" fillId="3" borderId="188" xfId="0" applyNumberFormat="1" applyFont="1" applyFill="1" applyBorder="1" applyAlignment="1">
      <alignment horizontal="center" vertical="center" wrapText="1"/>
    </xf>
    <xf numFmtId="3" fontId="349" fillId="3" borderId="38" xfId="0" applyNumberFormat="1" applyFont="1" applyFill="1" applyBorder="1" applyAlignment="1">
      <alignment horizontal="right" wrapText="1"/>
    </xf>
    <xf numFmtId="3" fontId="349" fillId="3" borderId="188" xfId="0" applyNumberFormat="1" applyFont="1" applyFill="1" applyBorder="1" applyAlignment="1">
      <alignment horizontal="right" wrapText="1"/>
    </xf>
    <xf numFmtId="3" fontId="35" fillId="6" borderId="111" xfId="0" applyNumberFormat="1" applyFont="1" applyFill="1" applyBorder="1" applyAlignment="1">
      <alignment wrapText="1"/>
    </xf>
    <xf numFmtId="3" fontId="367" fillId="6" borderId="117" xfId="0" applyNumberFormat="1" applyFont="1" applyFill="1" applyBorder="1" applyAlignment="1">
      <alignment wrapText="1"/>
    </xf>
    <xf numFmtId="3" fontId="367" fillId="6" borderId="153" xfId="0" applyNumberFormat="1" applyFont="1" applyFill="1" applyBorder="1" applyAlignment="1">
      <alignment wrapText="1"/>
    </xf>
    <xf numFmtId="3" fontId="367" fillId="6" borderId="116" xfId="0" applyNumberFormat="1" applyFont="1" applyFill="1" applyBorder="1" applyAlignment="1">
      <alignment wrapText="1"/>
    </xf>
    <xf numFmtId="0" fontId="371" fillId="3" borderId="10" xfId="0" applyFont="1" applyFill="1" applyBorder="1" applyAlignment="1">
      <alignment wrapText="1"/>
    </xf>
    <xf numFmtId="0" fontId="372" fillId="3" borderId="185" xfId="0" applyFont="1" applyFill="1" applyBorder="1" applyAlignment="1">
      <alignment wrapText="1"/>
    </xf>
    <xf numFmtId="0" fontId="371" fillId="3" borderId="12" xfId="0" applyFont="1" applyFill="1" applyBorder="1" applyAlignment="1">
      <alignment wrapText="1"/>
    </xf>
    <xf numFmtId="0" fontId="372" fillId="3" borderId="12" xfId="0" applyFont="1" applyFill="1" applyBorder="1" applyAlignment="1">
      <alignment wrapText="1"/>
    </xf>
    <xf numFmtId="0" fontId="372" fillId="3" borderId="10" xfId="0" applyFont="1" applyFill="1" applyBorder="1" applyAlignment="1">
      <alignment wrapText="1"/>
    </xf>
    <xf numFmtId="3" fontId="372" fillId="3" borderId="185" xfId="0" applyNumberFormat="1" applyFont="1" applyFill="1" applyBorder="1" applyAlignment="1">
      <alignment horizontal="center" vertical="center" wrapText="1"/>
    </xf>
    <xf numFmtId="3" fontId="372" fillId="3" borderId="12" xfId="0" applyNumberFormat="1" applyFont="1" applyFill="1" applyBorder="1" applyAlignment="1">
      <alignment horizontal="center" vertical="center" wrapText="1"/>
    </xf>
    <xf numFmtId="3" fontId="372" fillId="3" borderId="10" xfId="0" applyNumberFormat="1" applyFont="1" applyFill="1" applyBorder="1" applyAlignment="1">
      <alignment wrapText="1"/>
    </xf>
    <xf numFmtId="3" fontId="372" fillId="3" borderId="185" xfId="0" applyNumberFormat="1" applyFont="1" applyFill="1" applyBorder="1" applyAlignment="1">
      <alignment wrapText="1"/>
    </xf>
    <xf numFmtId="3" fontId="372" fillId="3" borderId="12" xfId="0" applyNumberFormat="1" applyFont="1" applyFill="1" applyBorder="1" applyAlignment="1">
      <alignment wrapText="1"/>
    </xf>
    <xf numFmtId="3" fontId="373" fillId="3" borderId="185" xfId="0" applyNumberFormat="1" applyFont="1" applyFill="1" applyBorder="1" applyAlignment="1">
      <alignment wrapText="1"/>
    </xf>
    <xf numFmtId="3" fontId="371" fillId="3" borderId="12" xfId="0" applyNumberFormat="1" applyFont="1" applyFill="1" applyBorder="1" applyAlignment="1">
      <alignment wrapText="1"/>
    </xf>
    <xf numFmtId="3" fontId="373" fillId="3" borderId="10" xfId="0" applyNumberFormat="1" applyFont="1" applyFill="1" applyBorder="1" applyAlignment="1">
      <alignment wrapText="1"/>
    </xf>
    <xf numFmtId="182" fontId="374" fillId="3" borderId="185" xfId="22" applyNumberFormat="1" applyFont="1" applyFill="1" applyBorder="1" applyAlignment="1">
      <alignment wrapText="1"/>
    </xf>
    <xf numFmtId="3" fontId="374" fillId="3" borderId="10" xfId="0" applyNumberFormat="1" applyFont="1" applyFill="1" applyBorder="1" applyAlignment="1">
      <alignment wrapText="1"/>
    </xf>
    <xf numFmtId="3" fontId="374" fillId="3" borderId="186" xfId="0" applyNumberFormat="1" applyFont="1" applyFill="1" applyBorder="1" applyAlignment="1">
      <alignment wrapText="1"/>
    </xf>
    <xf numFmtId="3" fontId="373" fillId="3" borderId="186" xfId="0" applyNumberFormat="1" applyFont="1" applyFill="1" applyBorder="1" applyAlignment="1">
      <alignment wrapText="1"/>
    </xf>
    <xf numFmtId="3" fontId="374" fillId="3" borderId="186" xfId="0" applyNumberFormat="1" applyFont="1" applyFill="1" applyBorder="1" applyAlignment="1">
      <alignment horizontal="center" wrapText="1"/>
    </xf>
    <xf numFmtId="3" fontId="374" fillId="3" borderId="12" xfId="0" applyNumberFormat="1" applyFont="1" applyFill="1" applyBorder="1" applyAlignment="1">
      <alignment wrapText="1"/>
    </xf>
    <xf numFmtId="9" fontId="374" fillId="3" borderId="185" xfId="22" applyFont="1" applyFill="1" applyBorder="1" applyAlignment="1">
      <alignment wrapText="1"/>
    </xf>
    <xf numFmtId="9" fontId="374" fillId="3" borderId="12" xfId="22" applyFont="1" applyFill="1" applyBorder="1" applyAlignment="1">
      <alignment wrapText="1"/>
    </xf>
    <xf numFmtId="9" fontId="374" fillId="3" borderId="10" xfId="22" applyFont="1" applyFill="1" applyBorder="1" applyAlignment="1">
      <alignment wrapText="1"/>
    </xf>
    <xf numFmtId="3" fontId="374" fillId="3" borderId="185" xfId="0" applyNumberFormat="1" applyFont="1" applyFill="1" applyBorder="1" applyAlignment="1">
      <alignment wrapText="1"/>
    </xf>
    <xf numFmtId="0" fontId="374" fillId="3" borderId="12" xfId="0" applyFont="1" applyFill="1" applyBorder="1" applyAlignment="1">
      <alignment wrapText="1"/>
    </xf>
    <xf numFmtId="0" fontId="371" fillId="3" borderId="29" xfId="0" applyFont="1" applyFill="1" applyBorder="1" applyAlignment="1">
      <alignment wrapText="1"/>
    </xf>
    <xf numFmtId="0" fontId="372" fillId="3" borderId="137" xfId="0" applyFont="1" applyFill="1" applyBorder="1" applyAlignment="1">
      <alignment wrapText="1"/>
    </xf>
    <xf numFmtId="0" fontId="371" fillId="3" borderId="32" xfId="0" applyFont="1" applyFill="1" applyBorder="1" applyAlignment="1">
      <alignment wrapText="1"/>
    </xf>
    <xf numFmtId="0" fontId="372" fillId="3" borderId="32" xfId="0" applyFont="1" applyFill="1" applyBorder="1" applyAlignment="1">
      <alignment wrapText="1"/>
    </xf>
    <xf numFmtId="0" fontId="372" fillId="3" borderId="29" xfId="0" applyFont="1" applyFill="1" applyBorder="1" applyAlignment="1">
      <alignment wrapText="1"/>
    </xf>
    <xf numFmtId="3" fontId="372" fillId="3" borderId="137" xfId="0" applyNumberFormat="1" applyFont="1" applyFill="1" applyBorder="1" applyAlignment="1">
      <alignment wrapText="1"/>
    </xf>
    <xf numFmtId="3" fontId="372" fillId="3" borderId="32" xfId="0" applyNumberFormat="1" applyFont="1" applyFill="1" applyBorder="1" applyAlignment="1">
      <alignment wrapText="1"/>
    </xf>
    <xf numFmtId="3" fontId="372" fillId="3" borderId="29" xfId="0" applyNumberFormat="1" applyFont="1" applyFill="1" applyBorder="1" applyAlignment="1">
      <alignment wrapText="1"/>
    </xf>
    <xf numFmtId="3" fontId="373" fillId="3" borderId="137" xfId="0" applyNumberFormat="1" applyFont="1" applyFill="1" applyBorder="1" applyAlignment="1">
      <alignment wrapText="1"/>
    </xf>
    <xf numFmtId="3" fontId="371" fillId="3" borderId="32" xfId="0" applyNumberFormat="1" applyFont="1" applyFill="1" applyBorder="1" applyAlignment="1">
      <alignment wrapText="1"/>
    </xf>
    <xf numFmtId="3" fontId="373" fillId="3" borderId="29" xfId="0" applyNumberFormat="1" applyFont="1" applyFill="1" applyBorder="1" applyAlignment="1">
      <alignment wrapText="1"/>
    </xf>
    <xf numFmtId="182" fontId="374" fillId="3" borderId="137" xfId="22" applyNumberFormat="1" applyFont="1" applyFill="1" applyBorder="1" applyAlignment="1">
      <alignment wrapText="1"/>
    </xf>
    <xf numFmtId="3" fontId="374" fillId="3" borderId="29" xfId="0" applyNumberFormat="1" applyFont="1" applyFill="1" applyBorder="1" applyAlignment="1">
      <alignment wrapText="1"/>
    </xf>
    <xf numFmtId="3" fontId="374" fillId="3" borderId="187" xfId="0" applyNumberFormat="1" applyFont="1" applyFill="1" applyBorder="1" applyAlignment="1">
      <alignment wrapText="1"/>
    </xf>
    <xf numFmtId="3" fontId="373" fillId="3" borderId="187" xfId="0" applyNumberFormat="1" applyFont="1" applyFill="1" applyBorder="1" applyAlignment="1">
      <alignment wrapText="1"/>
    </xf>
    <xf numFmtId="3" fontId="374" fillId="3" borderId="187" xfId="0" applyNumberFormat="1" applyFont="1" applyFill="1" applyBorder="1" applyAlignment="1">
      <alignment horizontal="center" wrapText="1"/>
    </xf>
    <xf numFmtId="3" fontId="374" fillId="3" borderId="32" xfId="0" applyNumberFormat="1" applyFont="1" applyFill="1" applyBorder="1" applyAlignment="1">
      <alignment wrapText="1"/>
    </xf>
    <xf numFmtId="9" fontId="374" fillId="3" borderId="137" xfId="22" applyFont="1" applyFill="1" applyBorder="1" applyAlignment="1">
      <alignment wrapText="1"/>
    </xf>
    <xf numFmtId="9" fontId="374" fillId="3" borderId="32" xfId="22" applyFont="1" applyFill="1" applyBorder="1" applyAlignment="1">
      <alignment wrapText="1"/>
    </xf>
    <xf numFmtId="9" fontId="374" fillId="3" borderId="29" xfId="22" applyFont="1" applyFill="1" applyBorder="1" applyAlignment="1">
      <alignment wrapText="1"/>
    </xf>
    <xf numFmtId="3" fontId="374" fillId="3" borderId="137" xfId="0" applyNumberFormat="1" applyFont="1" applyFill="1" applyBorder="1" applyAlignment="1">
      <alignment wrapText="1"/>
    </xf>
    <xf numFmtId="0" fontId="374" fillId="3" borderId="32" xfId="0" applyFont="1" applyFill="1" applyBorder="1" applyAlignment="1">
      <alignment wrapText="1"/>
    </xf>
    <xf numFmtId="3" fontId="372" fillId="3" borderId="137" xfId="0" applyNumberFormat="1" applyFont="1" applyFill="1" applyBorder="1" applyAlignment="1">
      <alignment horizontal="center" vertical="center" wrapText="1"/>
    </xf>
    <xf numFmtId="3" fontId="372" fillId="3" borderId="32" xfId="0" applyNumberFormat="1" applyFont="1" applyFill="1" applyBorder="1" applyAlignment="1">
      <alignment horizontal="center" vertical="center" wrapText="1"/>
    </xf>
    <xf numFmtId="3" fontId="372" fillId="3" borderId="137" xfId="0" applyNumberFormat="1" applyFont="1" applyFill="1" applyBorder="1" applyAlignment="1">
      <alignment horizontal="center" wrapText="1"/>
    </xf>
    <xf numFmtId="3" fontId="372" fillId="3" borderId="32" xfId="0" applyNumberFormat="1" applyFont="1" applyFill="1" applyBorder="1" applyAlignment="1">
      <alignment horizontal="center" wrapText="1"/>
    </xf>
    <xf numFmtId="0" fontId="371" fillId="3" borderId="137" xfId="0" applyFont="1" applyFill="1" applyBorder="1" applyAlignment="1">
      <alignment wrapText="1"/>
    </xf>
    <xf numFmtId="3" fontId="371" fillId="3" borderId="137" xfId="0" applyNumberFormat="1" applyFont="1" applyFill="1" applyBorder="1" applyAlignment="1">
      <alignment horizontal="center" wrapText="1"/>
    </xf>
    <xf numFmtId="3" fontId="371" fillId="3" borderId="32" xfId="0" applyNumberFormat="1" applyFont="1" applyFill="1" applyBorder="1" applyAlignment="1">
      <alignment horizontal="center" wrapText="1"/>
    </xf>
    <xf numFmtId="3" fontId="371" fillId="3" borderId="29" xfId="0" applyNumberFormat="1" applyFont="1" applyFill="1" applyBorder="1" applyAlignment="1">
      <alignment wrapText="1"/>
    </xf>
    <xf numFmtId="182" fontId="371" fillId="3" borderId="137" xfId="22" applyNumberFormat="1" applyFont="1" applyFill="1" applyBorder="1" applyAlignment="1">
      <alignment wrapText="1"/>
    </xf>
    <xf numFmtId="3" fontId="371" fillId="3" borderId="187" xfId="0" applyNumberFormat="1" applyFont="1" applyFill="1" applyBorder="1" applyAlignment="1">
      <alignment wrapText="1"/>
    </xf>
    <xf numFmtId="3" fontId="371" fillId="3" borderId="187" xfId="0" applyNumberFormat="1" applyFont="1" applyFill="1" applyBorder="1" applyAlignment="1">
      <alignment horizontal="center" wrapText="1"/>
    </xf>
    <xf numFmtId="9" fontId="371" fillId="3" borderId="137" xfId="22" applyFont="1" applyFill="1" applyBorder="1" applyAlignment="1">
      <alignment wrapText="1"/>
    </xf>
    <xf numFmtId="9" fontId="371" fillId="3" borderId="32" xfId="22" applyFont="1" applyFill="1" applyBorder="1" applyAlignment="1">
      <alignment wrapText="1"/>
    </xf>
    <xf numFmtId="9" fontId="371" fillId="3" borderId="29" xfId="22" applyFont="1" applyFill="1" applyBorder="1" applyAlignment="1">
      <alignment wrapText="1"/>
    </xf>
    <xf numFmtId="3" fontId="371" fillId="3" borderId="137" xfId="0" applyNumberFormat="1" applyFont="1" applyFill="1" applyBorder="1" applyAlignment="1">
      <alignment wrapText="1"/>
    </xf>
    <xf numFmtId="0" fontId="371" fillId="3" borderId="188" xfId="0" applyFont="1" applyFill="1" applyBorder="1" applyAlignment="1">
      <alignment wrapText="1"/>
    </xf>
    <xf numFmtId="0" fontId="371" fillId="3" borderId="189" xfId="0" applyFont="1" applyFill="1" applyBorder="1" applyAlignment="1">
      <alignment wrapText="1"/>
    </xf>
    <xf numFmtId="0" fontId="371" fillId="3" borderId="38" xfId="0" applyFont="1" applyFill="1" applyBorder="1" applyAlignment="1">
      <alignment wrapText="1"/>
    </xf>
    <xf numFmtId="3" fontId="371" fillId="3" borderId="189" xfId="0" applyNumberFormat="1" applyFont="1" applyFill="1" applyBorder="1" applyAlignment="1">
      <alignment horizontal="center" wrapText="1"/>
    </xf>
    <xf numFmtId="3" fontId="371" fillId="3" borderId="38" xfId="0" applyNumberFormat="1" applyFont="1" applyFill="1" applyBorder="1" applyAlignment="1">
      <alignment horizontal="center" wrapText="1"/>
    </xf>
    <xf numFmtId="3" fontId="371" fillId="3" borderId="188" xfId="0" applyNumberFormat="1" applyFont="1" applyFill="1" applyBorder="1" applyAlignment="1">
      <alignment wrapText="1"/>
    </xf>
    <xf numFmtId="3" fontId="371" fillId="3" borderId="189" xfId="0" applyNumberFormat="1" applyFont="1" applyFill="1" applyBorder="1" applyAlignment="1">
      <alignment wrapText="1"/>
    </xf>
    <xf numFmtId="3" fontId="371" fillId="3" borderId="38" xfId="0" applyNumberFormat="1" applyFont="1" applyFill="1" applyBorder="1" applyAlignment="1">
      <alignment wrapText="1"/>
    </xf>
    <xf numFmtId="3" fontId="373" fillId="3" borderId="189" xfId="0" applyNumberFormat="1" applyFont="1" applyFill="1" applyBorder="1" applyAlignment="1">
      <alignment wrapText="1"/>
    </xf>
    <xf numFmtId="3" fontId="373" fillId="3" borderId="188" xfId="0" applyNumberFormat="1" applyFont="1" applyFill="1" applyBorder="1" applyAlignment="1">
      <alignment wrapText="1"/>
    </xf>
    <xf numFmtId="182" fontId="371" fillId="3" borderId="189" xfId="22" applyNumberFormat="1" applyFont="1" applyFill="1" applyBorder="1" applyAlignment="1">
      <alignment wrapText="1"/>
    </xf>
    <xf numFmtId="3" fontId="371" fillId="3" borderId="190" xfId="0" applyNumberFormat="1" applyFont="1" applyFill="1" applyBorder="1" applyAlignment="1">
      <alignment wrapText="1"/>
    </xf>
    <xf numFmtId="3" fontId="373" fillId="3" borderId="190" xfId="0" applyNumberFormat="1" applyFont="1" applyFill="1" applyBorder="1" applyAlignment="1">
      <alignment wrapText="1"/>
    </xf>
    <xf numFmtId="3" fontId="371" fillId="3" borderId="190" xfId="0" applyNumberFormat="1" applyFont="1" applyFill="1" applyBorder="1" applyAlignment="1">
      <alignment horizontal="center" wrapText="1"/>
    </xf>
    <xf numFmtId="3" fontId="374" fillId="3" borderId="38" xfId="0" applyNumberFormat="1" applyFont="1" applyFill="1" applyBorder="1" applyAlignment="1">
      <alignment wrapText="1"/>
    </xf>
    <xf numFmtId="9" fontId="371" fillId="3" borderId="189" xfId="22" applyFont="1" applyFill="1" applyBorder="1" applyAlignment="1">
      <alignment wrapText="1"/>
    </xf>
    <xf numFmtId="9" fontId="371" fillId="3" borderId="38" xfId="22" applyFont="1" applyFill="1" applyBorder="1" applyAlignment="1">
      <alignment wrapText="1"/>
    </xf>
    <xf numFmtId="9" fontId="371" fillId="3" borderId="188" xfId="22" applyFont="1" applyFill="1" applyBorder="1" applyAlignment="1">
      <alignment wrapText="1"/>
    </xf>
    <xf numFmtId="0" fontId="374" fillId="3" borderId="38" xfId="0" applyFont="1" applyFill="1" applyBorder="1" applyAlignment="1">
      <alignment wrapText="1"/>
    </xf>
    <xf numFmtId="3" fontId="374" fillId="3" borderId="189" xfId="0" applyNumberFormat="1" applyFont="1" applyFill="1" applyBorder="1" applyAlignment="1">
      <alignment wrapText="1"/>
    </xf>
    <xf numFmtId="3" fontId="374" fillId="3" borderId="188" xfId="0" applyNumberFormat="1" applyFont="1" applyFill="1" applyBorder="1" applyAlignment="1">
      <alignment wrapText="1"/>
    </xf>
    <xf numFmtId="182" fontId="375" fillId="3" borderId="137" xfId="22" applyNumberFormat="1" applyFont="1" applyFill="1" applyBorder="1" applyAlignment="1">
      <alignment wrapText="1"/>
    </xf>
    <xf numFmtId="182" fontId="373" fillId="3" borderId="137" xfId="22" applyNumberFormat="1" applyFont="1" applyFill="1" applyBorder="1" applyAlignment="1">
      <alignment wrapText="1"/>
    </xf>
    <xf numFmtId="0" fontId="296" fillId="3" borderId="0" xfId="0" applyFont="1" applyFill="1" applyAlignment="1">
      <alignment wrapText="1"/>
    </xf>
    <xf numFmtId="0" fontId="374" fillId="3" borderId="0" xfId="0" applyFont="1" applyFill="1" applyAlignment="1">
      <alignment wrapText="1"/>
    </xf>
    <xf numFmtId="0" fontId="371" fillId="3" borderId="0" xfId="0" applyFont="1" applyFill="1" applyAlignment="1">
      <alignment wrapText="1"/>
    </xf>
    <xf numFmtId="3" fontId="349" fillId="3" borderId="165" xfId="0" applyNumberFormat="1" applyFont="1" applyFill="1" applyBorder="1" applyAlignment="1">
      <alignment horizontal="right" vertical="center" wrapText="1"/>
    </xf>
    <xf numFmtId="3" fontId="349" fillId="3" borderId="146" xfId="0" applyNumberFormat="1" applyFont="1" applyFill="1" applyBorder="1" applyAlignment="1">
      <alignment horizontal="right" vertical="center" wrapText="1"/>
    </xf>
    <xf numFmtId="3" fontId="349" fillId="3" borderId="7" xfId="0" applyNumberFormat="1" applyFont="1" applyFill="1" applyBorder="1" applyAlignment="1">
      <alignment horizontal="right" vertical="center" wrapText="1"/>
    </xf>
    <xf numFmtId="3" fontId="349" fillId="3" borderId="185" xfId="0" applyNumberFormat="1" applyFont="1" applyFill="1" applyBorder="1" applyAlignment="1">
      <alignment horizontal="right" vertical="center" wrapText="1"/>
    </xf>
    <xf numFmtId="3" fontId="349" fillId="3" borderId="12" xfId="0" applyNumberFormat="1" applyFont="1" applyFill="1" applyBorder="1" applyAlignment="1">
      <alignment horizontal="right" vertical="center" wrapText="1"/>
    </xf>
    <xf numFmtId="3" fontId="349" fillId="3" borderId="10" xfId="0" applyNumberFormat="1" applyFont="1" applyFill="1" applyBorder="1" applyAlignment="1">
      <alignment horizontal="right" vertical="center" wrapText="1"/>
    </xf>
    <xf numFmtId="3" fontId="349" fillId="3" borderId="137" xfId="0" applyNumberFormat="1" applyFont="1" applyFill="1" applyBorder="1" applyAlignment="1">
      <alignment horizontal="right" vertical="center" wrapText="1"/>
    </xf>
    <xf numFmtId="3" fontId="349" fillId="3" borderId="32" xfId="0" applyNumberFormat="1" applyFont="1" applyFill="1" applyBorder="1" applyAlignment="1">
      <alignment horizontal="right" vertical="center" wrapText="1"/>
    </xf>
    <xf numFmtId="3" fontId="349" fillId="3" borderId="29" xfId="0" applyNumberFormat="1" applyFont="1" applyFill="1" applyBorder="1" applyAlignment="1">
      <alignment horizontal="right" vertical="center" wrapText="1"/>
    </xf>
    <xf numFmtId="3" fontId="349" fillId="3" borderId="189" xfId="0" applyNumberFormat="1" applyFont="1" applyFill="1" applyBorder="1" applyAlignment="1">
      <alignment horizontal="right" wrapText="1"/>
    </xf>
    <xf numFmtId="3" fontId="349" fillId="3" borderId="189" xfId="0" applyNumberFormat="1" applyFont="1" applyFill="1" applyBorder="1" applyAlignment="1">
      <alignment horizontal="right" vertical="center" wrapText="1"/>
    </xf>
    <xf numFmtId="3" fontId="349" fillId="3" borderId="38" xfId="0" applyNumberFormat="1" applyFont="1" applyFill="1" applyBorder="1" applyAlignment="1">
      <alignment horizontal="right" vertical="center" wrapText="1"/>
    </xf>
    <xf numFmtId="3" fontId="349" fillId="3" borderId="188" xfId="0" applyNumberFormat="1" applyFont="1" applyFill="1" applyBorder="1" applyAlignment="1">
      <alignment horizontal="right" vertical="center" wrapText="1"/>
    </xf>
    <xf numFmtId="3" fontId="349" fillId="3" borderId="0" xfId="0" applyNumberFormat="1" applyFont="1" applyFill="1" applyAlignment="1">
      <alignment horizontal="right" vertical="center" wrapText="1"/>
    </xf>
    <xf numFmtId="3" fontId="391" fillId="3" borderId="185" xfId="0" applyNumberFormat="1" applyFont="1" applyFill="1" applyBorder="1" applyAlignment="1">
      <alignment horizontal="right" vertical="center" wrapText="1"/>
    </xf>
    <xf numFmtId="3" fontId="391" fillId="3" borderId="12" xfId="0" applyNumberFormat="1" applyFont="1" applyFill="1" applyBorder="1" applyAlignment="1">
      <alignment horizontal="right" vertical="center" wrapText="1"/>
    </xf>
    <xf numFmtId="3" fontId="391" fillId="3" borderId="10" xfId="0" applyNumberFormat="1" applyFont="1" applyFill="1" applyBorder="1" applyAlignment="1">
      <alignment horizontal="right" vertical="center" wrapText="1"/>
    </xf>
    <xf numFmtId="3" fontId="391" fillId="3" borderId="137" xfId="0" applyNumberFormat="1" applyFont="1" applyFill="1" applyBorder="1" applyAlignment="1">
      <alignment horizontal="right" vertical="center" wrapText="1"/>
    </xf>
    <xf numFmtId="3" fontId="391" fillId="3" borderId="32" xfId="0" applyNumberFormat="1" applyFont="1" applyFill="1" applyBorder="1" applyAlignment="1">
      <alignment horizontal="right" vertical="center" wrapText="1"/>
    </xf>
    <xf numFmtId="3" fontId="391" fillId="3" borderId="29" xfId="0" applyNumberFormat="1" applyFont="1" applyFill="1" applyBorder="1" applyAlignment="1">
      <alignment horizontal="right" vertical="center" wrapText="1"/>
    </xf>
    <xf numFmtId="3" fontId="391" fillId="3" borderId="189" xfId="0" applyNumberFormat="1" applyFont="1" applyFill="1" applyBorder="1" applyAlignment="1">
      <alignment horizontal="right" vertical="center" wrapText="1"/>
    </xf>
    <xf numFmtId="3" fontId="391" fillId="3" borderId="38" xfId="0" applyNumberFormat="1" applyFont="1" applyFill="1" applyBorder="1" applyAlignment="1">
      <alignment horizontal="right" vertical="center" wrapText="1"/>
    </xf>
    <xf numFmtId="3" fontId="391" fillId="3" borderId="188" xfId="0" applyNumberFormat="1" applyFont="1" applyFill="1" applyBorder="1" applyAlignment="1">
      <alignment horizontal="right" vertical="center" wrapText="1"/>
    </xf>
    <xf numFmtId="3" fontId="372" fillId="3" borderId="185" xfId="0" applyNumberFormat="1" applyFont="1" applyFill="1" applyBorder="1" applyAlignment="1">
      <alignment horizontal="right" vertical="center" wrapText="1"/>
    </xf>
    <xf numFmtId="3" fontId="372" fillId="3" borderId="12" xfId="0" applyNumberFormat="1" applyFont="1" applyFill="1" applyBorder="1" applyAlignment="1">
      <alignment horizontal="right" vertical="center" wrapText="1"/>
    </xf>
    <xf numFmtId="3" fontId="372" fillId="3" borderId="10" xfId="0" applyNumberFormat="1" applyFont="1" applyFill="1" applyBorder="1" applyAlignment="1">
      <alignment horizontal="right" wrapText="1"/>
    </xf>
    <xf numFmtId="3" fontId="372" fillId="3" borderId="137" xfId="0" applyNumberFormat="1" applyFont="1" applyFill="1" applyBorder="1" applyAlignment="1">
      <alignment horizontal="right" wrapText="1"/>
    </xf>
    <xf numFmtId="3" fontId="372" fillId="3" borderId="32" xfId="0" applyNumberFormat="1" applyFont="1" applyFill="1" applyBorder="1" applyAlignment="1">
      <alignment horizontal="right" wrapText="1"/>
    </xf>
    <xf numFmtId="3" fontId="372" fillId="3" borderId="29" xfId="0" applyNumberFormat="1" applyFont="1" applyFill="1" applyBorder="1" applyAlignment="1">
      <alignment horizontal="right" wrapText="1"/>
    </xf>
    <xf numFmtId="3" fontId="372" fillId="3" borderId="137" xfId="0" applyNumberFormat="1" applyFont="1" applyFill="1" applyBorder="1" applyAlignment="1">
      <alignment horizontal="right" vertical="center" wrapText="1"/>
    </xf>
    <xf numFmtId="3" fontId="372" fillId="3" borderId="32" xfId="0" applyNumberFormat="1" applyFont="1" applyFill="1" applyBorder="1" applyAlignment="1">
      <alignment horizontal="right" vertical="center" wrapText="1"/>
    </xf>
    <xf numFmtId="3" fontId="371" fillId="3" borderId="137" xfId="0" applyNumberFormat="1" applyFont="1" applyFill="1" applyBorder="1" applyAlignment="1">
      <alignment horizontal="right" wrapText="1"/>
    </xf>
    <xf numFmtId="3" fontId="371" fillId="3" borderId="32" xfId="0" applyNumberFormat="1" applyFont="1" applyFill="1" applyBorder="1" applyAlignment="1">
      <alignment horizontal="right" wrapText="1"/>
    </xf>
    <xf numFmtId="3" fontId="371" fillId="3" borderId="29" xfId="0" applyNumberFormat="1" applyFont="1" applyFill="1" applyBorder="1" applyAlignment="1">
      <alignment horizontal="right" wrapText="1"/>
    </xf>
    <xf numFmtId="3" fontId="371" fillId="3" borderId="189" xfId="0" applyNumberFormat="1" applyFont="1" applyFill="1" applyBorder="1" applyAlignment="1">
      <alignment horizontal="right" wrapText="1"/>
    </xf>
    <xf numFmtId="3" fontId="371" fillId="3" borderId="38" xfId="0" applyNumberFormat="1" applyFont="1" applyFill="1" applyBorder="1" applyAlignment="1">
      <alignment horizontal="right" wrapText="1"/>
    </xf>
    <xf numFmtId="3" fontId="371" fillId="3" borderId="188" xfId="0" applyNumberFormat="1" applyFont="1" applyFill="1" applyBorder="1" applyAlignment="1">
      <alignment horizontal="right" wrapText="1"/>
    </xf>
    <xf numFmtId="0" fontId="45" fillId="3" borderId="19" xfId="0" applyFont="1" applyFill="1" applyBorder="1" applyAlignment="1">
      <alignment wrapText="1"/>
    </xf>
    <xf numFmtId="0" fontId="45" fillId="3" borderId="17" xfId="0" applyFont="1" applyFill="1" applyBorder="1" applyAlignment="1">
      <alignment wrapText="1"/>
    </xf>
    <xf numFmtId="0" fontId="45" fillId="3" borderId="83" xfId="0" applyFont="1" applyFill="1" applyBorder="1" applyAlignment="1">
      <alignment wrapText="1"/>
    </xf>
    <xf numFmtId="0" fontId="45" fillId="3" borderId="66" xfId="0" applyFont="1" applyFill="1" applyBorder="1" applyAlignment="1">
      <alignment wrapText="1"/>
    </xf>
    <xf numFmtId="0" fontId="45" fillId="3" borderId="186" xfId="0" applyFont="1" applyFill="1" applyBorder="1" applyAlignment="1">
      <alignment wrapText="1"/>
    </xf>
    <xf numFmtId="0" fontId="45" fillId="3" borderId="187" xfId="0" applyFont="1" applyFill="1" applyBorder="1" applyAlignment="1">
      <alignment wrapText="1"/>
    </xf>
    <xf numFmtId="0" fontId="45" fillId="3" borderId="190" xfId="0" applyFont="1" applyFill="1" applyBorder="1" applyAlignment="1">
      <alignment wrapText="1"/>
    </xf>
    <xf numFmtId="0" fontId="361" fillId="3" borderId="76" xfId="0" applyFont="1" applyFill="1" applyBorder="1" applyAlignment="1">
      <alignment wrapText="1"/>
    </xf>
    <xf numFmtId="0" fontId="366" fillId="3" borderId="186" xfId="0" applyFont="1" applyFill="1" applyBorder="1" applyAlignment="1">
      <alignment wrapText="1"/>
    </xf>
    <xf numFmtId="0" fontId="366" fillId="3" borderId="187" xfId="0" applyFont="1" applyFill="1" applyBorder="1" applyAlignment="1">
      <alignment wrapText="1"/>
    </xf>
    <xf numFmtId="0" fontId="366" fillId="3" borderId="190" xfId="0" applyFont="1" applyFill="1" applyBorder="1" applyAlignment="1">
      <alignment wrapText="1"/>
    </xf>
    <xf numFmtId="0" fontId="371" fillId="3" borderId="186" xfId="0" applyFont="1" applyFill="1" applyBorder="1" applyAlignment="1">
      <alignment wrapText="1"/>
    </xf>
    <xf numFmtId="0" fontId="371" fillId="3" borderId="187" xfId="0" applyFont="1" applyFill="1" applyBorder="1" applyAlignment="1">
      <alignment wrapText="1"/>
    </xf>
    <xf numFmtId="0" fontId="371" fillId="3" borderId="190" xfId="0" applyFont="1" applyFill="1" applyBorder="1" applyAlignment="1">
      <alignment wrapText="1"/>
    </xf>
    <xf numFmtId="0" fontId="395" fillId="108" borderId="192" xfId="0" applyFont="1" applyFill="1" applyBorder="1" applyAlignment="1">
      <alignment horizontal="center" wrapText="1" readingOrder="1"/>
    </xf>
    <xf numFmtId="0" fontId="395" fillId="108" borderId="193" xfId="0" applyFont="1" applyFill="1" applyBorder="1" applyAlignment="1">
      <alignment horizontal="center" wrapText="1" readingOrder="1"/>
    </xf>
    <xf numFmtId="0" fontId="396" fillId="34" borderId="191" xfId="0" applyFont="1" applyFill="1" applyBorder="1" applyAlignment="1">
      <alignment horizontal="left" wrapText="1" readingOrder="1"/>
    </xf>
    <xf numFmtId="0" fontId="396" fillId="34" borderId="191" xfId="0" applyFont="1" applyFill="1" applyBorder="1" applyAlignment="1">
      <alignment horizontal="center" wrapText="1" readingOrder="1"/>
    </xf>
    <xf numFmtId="0" fontId="397" fillId="109" borderId="191" xfId="0" applyFont="1" applyFill="1" applyBorder="1" applyAlignment="1">
      <alignment horizontal="center" wrapText="1" readingOrder="1"/>
    </xf>
    <xf numFmtId="0" fontId="393" fillId="108" borderId="191" xfId="0" applyFont="1" applyFill="1" applyBorder="1" applyAlignment="1">
      <alignment vertical="center" wrapText="1"/>
    </xf>
    <xf numFmtId="0" fontId="399" fillId="108" borderId="191" xfId="0" applyFont="1" applyFill="1" applyBorder="1" applyAlignment="1">
      <alignment horizontal="center" wrapText="1" readingOrder="1"/>
    </xf>
    <xf numFmtId="0" fontId="393" fillId="108" borderId="191" xfId="0" applyFont="1" applyFill="1" applyBorder="1" applyAlignment="1">
      <alignment horizontal="center" vertical="center" wrapText="1"/>
    </xf>
    <xf numFmtId="182" fontId="398" fillId="110" borderId="191" xfId="22" applyNumberFormat="1" applyFont="1" applyFill="1" applyBorder="1" applyAlignment="1">
      <alignment horizontal="center" wrapText="1" readingOrder="1"/>
    </xf>
    <xf numFmtId="3" fontId="396" fillId="34" borderId="191" xfId="0" applyNumberFormat="1" applyFont="1" applyFill="1" applyBorder="1" applyAlignment="1">
      <alignment horizontal="center" wrapText="1" readingOrder="1"/>
    </xf>
    <xf numFmtId="3" fontId="399" fillId="108" borderId="191" xfId="0" applyNumberFormat="1" applyFont="1" applyFill="1" applyBorder="1" applyAlignment="1">
      <alignment horizontal="center" wrapText="1" readingOrder="1"/>
    </xf>
    <xf numFmtId="182" fontId="399" fillId="108" borderId="191" xfId="22" applyNumberFormat="1" applyFont="1" applyFill="1" applyBorder="1" applyAlignment="1">
      <alignment horizontal="center" wrapText="1" readingOrder="1"/>
    </xf>
    <xf numFmtId="251" fontId="399" fillId="108" borderId="191" xfId="0" applyNumberFormat="1" applyFont="1" applyFill="1" applyBorder="1" applyAlignment="1">
      <alignment horizontal="center" wrapText="1" readingOrder="1"/>
    </xf>
    <xf numFmtId="10" fontId="13" fillId="4" borderId="31" xfId="22" applyNumberFormat="1" applyFont="1" applyFill="1" applyBorder="1" applyAlignment="1">
      <alignment horizontal="right"/>
    </xf>
    <xf numFmtId="0" fontId="23" fillId="2" borderId="35" xfId="1005" applyFont="1" applyFill="1" applyBorder="1" applyAlignment="1">
      <alignment horizontal="left" indent="1"/>
    </xf>
    <xf numFmtId="182" fontId="23" fillId="3" borderId="18" xfId="22" applyNumberFormat="1" applyFont="1" applyFill="1" applyBorder="1" applyAlignment="1">
      <alignment horizontal="right"/>
    </xf>
    <xf numFmtId="182" fontId="23" fillId="3" borderId="19" xfId="22" applyNumberFormat="1" applyFont="1" applyFill="1" applyBorder="1" applyAlignment="1">
      <alignment horizontal="right"/>
    </xf>
    <xf numFmtId="0" fontId="23" fillId="2" borderId="0" xfId="1008" applyFont="1" applyFill="1"/>
    <xf numFmtId="0" fontId="23" fillId="2" borderId="28" xfId="1005" applyFont="1" applyFill="1" applyBorder="1" applyAlignment="1">
      <alignment horizontal="left" indent="1"/>
    </xf>
    <xf numFmtId="2" fontId="23" fillId="3" borderId="16" xfId="22" applyNumberFormat="1" applyFont="1" applyFill="1" applyBorder="1" applyAlignment="1">
      <alignment horizontal="right"/>
    </xf>
    <xf numFmtId="4" fontId="23" fillId="3" borderId="0" xfId="1006" applyNumberFormat="1" applyFont="1" applyFill="1" applyAlignment="1">
      <alignment horizontal="right"/>
    </xf>
    <xf numFmtId="4" fontId="23" fillId="3" borderId="16" xfId="1006" applyNumberFormat="1" applyFont="1" applyFill="1" applyBorder="1" applyAlignment="1">
      <alignment horizontal="right"/>
    </xf>
    <xf numFmtId="182" fontId="23" fillId="3" borderId="16" xfId="22" applyNumberFormat="1" applyFont="1" applyFill="1" applyBorder="1" applyAlignment="1">
      <alignment horizontal="right"/>
    </xf>
    <xf numFmtId="182" fontId="23" fillId="3" borderId="0" xfId="22" applyNumberFormat="1" applyFont="1" applyFill="1" applyBorder="1" applyAlignment="1">
      <alignment horizontal="right"/>
    </xf>
    <xf numFmtId="182" fontId="23" fillId="4" borderId="16" xfId="22" applyNumberFormat="1" applyFont="1" applyFill="1" applyBorder="1" applyAlignment="1">
      <alignment horizontal="right"/>
    </xf>
    <xf numFmtId="182" fontId="0" fillId="4" borderId="146" xfId="22" applyNumberFormat="1" applyFont="1" applyFill="1" applyBorder="1"/>
    <xf numFmtId="3" fontId="160" fillId="102" borderId="68" xfId="0" applyNumberFormat="1" applyFont="1" applyFill="1" applyBorder="1" applyAlignment="1">
      <alignment horizontal="right"/>
    </xf>
    <xf numFmtId="3" fontId="160" fillId="102" borderId="0" xfId="0" applyNumberFormat="1" applyFont="1" applyFill="1" applyAlignment="1">
      <alignment horizontal="right"/>
    </xf>
    <xf numFmtId="3" fontId="160" fillId="102" borderId="47" xfId="0" applyNumberFormat="1" applyFont="1" applyFill="1" applyBorder="1" applyAlignment="1">
      <alignment horizontal="right"/>
    </xf>
    <xf numFmtId="3" fontId="160" fillId="102" borderId="1" xfId="0" applyNumberFormat="1" applyFont="1" applyFill="1" applyBorder="1" applyAlignment="1">
      <alignment horizontal="right"/>
    </xf>
    <xf numFmtId="3" fontId="160" fillId="102" borderId="45" xfId="0" applyNumberFormat="1" applyFont="1" applyFill="1" applyBorder="1" applyAlignment="1">
      <alignment horizontal="right"/>
    </xf>
    <xf numFmtId="3" fontId="160" fillId="102" borderId="27" xfId="0" applyNumberFormat="1" applyFont="1" applyFill="1" applyBorder="1" applyAlignment="1">
      <alignment horizontal="right"/>
    </xf>
    <xf numFmtId="0" fontId="387" fillId="105" borderId="179" xfId="1460" applyFont="1" applyFill="1" applyBorder="1" applyAlignment="1">
      <alignment horizontal="left" vertical="center"/>
    </xf>
    <xf numFmtId="0" fontId="387" fillId="105" borderId="178" xfId="1460" applyFont="1" applyFill="1" applyBorder="1" applyAlignment="1">
      <alignment horizontal="left" vertical="center"/>
    </xf>
    <xf numFmtId="0" fontId="386" fillId="104" borderId="182" xfId="1460" applyFont="1" applyFill="1" applyBorder="1" applyAlignment="1">
      <alignment horizontal="left" vertical="center"/>
    </xf>
    <xf numFmtId="0" fontId="386" fillId="104" borderId="181" xfId="1460" applyFont="1" applyFill="1" applyBorder="1" applyAlignment="1">
      <alignment horizontal="left" vertical="center"/>
    </xf>
    <xf numFmtId="3" fontId="160" fillId="3" borderId="45" xfId="0" applyNumberFormat="1" applyFont="1" applyFill="1" applyBorder="1" applyAlignment="1">
      <alignment horizontal="right"/>
    </xf>
    <xf numFmtId="3" fontId="160" fillId="3" borderId="27" xfId="0" applyNumberFormat="1" applyFont="1" applyFill="1" applyBorder="1" applyAlignment="1">
      <alignment horizontal="right"/>
    </xf>
    <xf numFmtId="3" fontId="160" fillId="3" borderId="68" xfId="0" applyNumberFormat="1" applyFont="1" applyFill="1" applyBorder="1" applyAlignment="1">
      <alignment horizontal="right"/>
    </xf>
    <xf numFmtId="3" fontId="160" fillId="3" borderId="0" xfId="0" applyNumberFormat="1" applyFont="1" applyFill="1" applyAlignment="1">
      <alignment horizontal="right"/>
    </xf>
    <xf numFmtId="3" fontId="160" fillId="3" borderId="47" xfId="0" applyNumberFormat="1" applyFont="1" applyFill="1" applyBorder="1" applyAlignment="1">
      <alignment horizontal="right"/>
    </xf>
    <xf numFmtId="3" fontId="160" fillId="3" borderId="1" xfId="0" applyNumberFormat="1" applyFont="1" applyFill="1" applyBorder="1" applyAlignment="1">
      <alignment horizontal="right"/>
    </xf>
    <xf numFmtId="49" fontId="322" fillId="83" borderId="122" xfId="1459" applyNumberFormat="1" applyFont="1" applyFill="1" applyBorder="1" applyAlignment="1">
      <alignment horizontal="center" vertical="center" wrapText="1"/>
    </xf>
    <xf numFmtId="49" fontId="322" fillId="83" borderId="114" xfId="1459" applyNumberFormat="1" applyFont="1" applyFill="1" applyBorder="1" applyAlignment="1">
      <alignment horizontal="center" vertical="center" wrapText="1"/>
    </xf>
    <xf numFmtId="49" fontId="322" fillId="85" borderId="122" xfId="1459" applyNumberFormat="1" applyFont="1" applyFill="1" applyBorder="1" applyAlignment="1">
      <alignment horizontal="center" vertical="center" wrapText="1"/>
    </xf>
    <xf numFmtId="49" fontId="322" fillId="85" borderId="114" xfId="1459" applyNumberFormat="1" applyFont="1" applyFill="1" applyBorder="1" applyAlignment="1">
      <alignment horizontal="center" vertical="center" wrapText="1"/>
    </xf>
    <xf numFmtId="49" fontId="322" fillId="86" borderId="122" xfId="1459" applyNumberFormat="1" applyFont="1" applyFill="1" applyBorder="1" applyAlignment="1">
      <alignment horizontal="center" vertical="center" wrapText="1"/>
    </xf>
    <xf numFmtId="49" fontId="322" fillId="86" borderId="114" xfId="1459" applyNumberFormat="1" applyFont="1" applyFill="1" applyBorder="1" applyAlignment="1">
      <alignment horizontal="center" vertical="center" wrapText="1"/>
    </xf>
    <xf numFmtId="49" fontId="322" fillId="87" borderId="122" xfId="1459" applyNumberFormat="1" applyFont="1" applyFill="1" applyBorder="1" applyAlignment="1">
      <alignment horizontal="center" vertical="center" wrapText="1"/>
    </xf>
    <xf numFmtId="49" fontId="322" fillId="87" borderId="114" xfId="1459" applyNumberFormat="1" applyFont="1" applyFill="1" applyBorder="1" applyAlignment="1">
      <alignment horizontal="center" vertical="center" wrapText="1"/>
    </xf>
    <xf numFmtId="49" fontId="322" fillId="88" borderId="122" xfId="1459" applyNumberFormat="1" applyFont="1" applyFill="1" applyBorder="1" applyAlignment="1">
      <alignment horizontal="center" vertical="center" wrapText="1"/>
    </xf>
    <xf numFmtId="49" fontId="322" fillId="88" borderId="114" xfId="1459" applyNumberFormat="1" applyFont="1" applyFill="1" applyBorder="1" applyAlignment="1">
      <alignment horizontal="center" vertical="center" wrapText="1"/>
    </xf>
    <xf numFmtId="0" fontId="394" fillId="108" borderId="192" xfId="0" applyFont="1" applyFill="1" applyBorder="1" applyAlignment="1">
      <alignment horizontal="left" wrapText="1" readingOrder="1"/>
    </xf>
    <xf numFmtId="0" fontId="394" fillId="108" borderId="193" xfId="0" applyFont="1" applyFill="1" applyBorder="1" applyAlignment="1">
      <alignment horizontal="left" wrapText="1" readingOrder="1"/>
    </xf>
    <xf numFmtId="0" fontId="395" fillId="108" borderId="192" xfId="0" applyFont="1" applyFill="1" applyBorder="1" applyAlignment="1">
      <alignment horizontal="center" wrapText="1" readingOrder="1"/>
    </xf>
    <xf numFmtId="0" fontId="395" fillId="108" borderId="193" xfId="0" applyFont="1" applyFill="1" applyBorder="1" applyAlignment="1">
      <alignment horizontal="center" wrapText="1" readingOrder="1"/>
    </xf>
    <xf numFmtId="0" fontId="395" fillId="108" borderId="192" xfId="0" applyFont="1" applyFill="1" applyBorder="1" applyAlignment="1">
      <alignment horizontal="left" wrapText="1" readingOrder="1"/>
    </xf>
    <xf numFmtId="0" fontId="395" fillId="108" borderId="193" xfId="0" applyFont="1" applyFill="1" applyBorder="1" applyAlignment="1">
      <alignment horizontal="left" wrapText="1" readingOrder="1"/>
    </xf>
  </cellXfs>
  <cellStyles count="1462">
    <cellStyle name="_x000a_bidires=100_x000d_" xfId="48" xr:uid="{00000000-0005-0000-0000-000002000000}"/>
    <cellStyle name=" 1" xfId="93" xr:uid="{00000000-0005-0000-0000-000001000000}"/>
    <cellStyle name="_Banksoft financial history and forecasts 2005-2010 240408" xfId="108" xr:uid="{00000000-0005-0000-0000-000010000000}"/>
    <cellStyle name="_Banksoft financial history and forecasts 2005-2010 240408_VAL_Capoterra_2009_09_17" xfId="111" xr:uid="{00000000-0005-0000-0000-000011000000}"/>
    <cellStyle name="_Banksoft financial history and forecasts 2005-2010 240408_VAL_Capoterra_2009_09_20" xfId="112" xr:uid="{00000000-0005-0000-0000-000012000000}"/>
    <cellStyle name="_Banksoft financial history and forecasts 2005-2010 240408_VAL_Capoterra_2009_09_21A" xfId="113" xr:uid="{00000000-0005-0000-0000-000013000000}"/>
    <cellStyle name="_Comma" xfId="109" xr:uid="{00000000-0005-0000-0000-000014000000}"/>
    <cellStyle name="_Currency" xfId="33" xr:uid="{00000000-0005-0000-0000-000015000000}"/>
    <cellStyle name="_CurrencySpace" xfId="114" xr:uid="{00000000-0005-0000-0000-000016000000}"/>
    <cellStyle name="_data_structure" xfId="115" xr:uid="{00000000-0005-0000-0000-000017000000}"/>
    <cellStyle name="_data_structure (2)" xfId="116" xr:uid="{00000000-0005-0000-0000-000018000000}"/>
    <cellStyle name="_Data_structure_re" xfId="58" xr:uid="{00000000-0005-0000-0000-000019000000}"/>
    <cellStyle name="_Data_structure_re_VAL_Capoterra_2009_09_17" xfId="119" xr:uid="{00000000-0005-0000-0000-00001A000000}"/>
    <cellStyle name="_Data_structure_re_VAL_Capoterra_2009_09_20" xfId="122" xr:uid="{00000000-0005-0000-0000-00001B000000}"/>
    <cellStyle name="_Data_structure_re_VAL_Capoterra_2009_09_21A" xfId="123" xr:uid="{00000000-0005-0000-0000-00001C000000}"/>
    <cellStyle name="_MODEL" xfId="96" xr:uid="{00000000-0005-0000-0000-00001D000000}"/>
    <cellStyle name="_MODEL_ShortVal_MEZ_2009_10_07" xfId="124" xr:uid="{00000000-0005-0000-0000-00001E000000}"/>
    <cellStyle name="_MODEL_VAL_C_SYSTEM+C_SERVIS_2008_05_29" xfId="125" xr:uid="{00000000-0005-0000-0000-00001F000000}"/>
    <cellStyle name="_MODEL_VAL_Capoterra_2009_09_20" xfId="126" xr:uid="{00000000-0005-0000-0000-000020000000}"/>
    <cellStyle name="_MODEL_VAL_Capoterra_2009_09_22" xfId="129" xr:uid="{00000000-0005-0000-0000-000021000000}"/>
    <cellStyle name="_MODEL_VAL_Capoterra_2009_09_24" xfId="131" xr:uid="{00000000-0005-0000-0000-000022000000}"/>
    <cellStyle name="_MODEL_Val_Debrecín_2009_05_06f adjusted" xfId="132" xr:uid="{00000000-0005-0000-0000-000023000000}"/>
    <cellStyle name="_MODEL_Val_Debrecín_2009_10 working" xfId="135" xr:uid="{00000000-0005-0000-0000-000024000000}"/>
    <cellStyle name="_MODEL_Val_Debrecín_2009_10_09" xfId="137" xr:uid="{00000000-0005-0000-0000-000025000000}"/>
    <cellStyle name="_MSB_Analysis Tool_Data Consolidation_0306_v50" xfId="140" xr:uid="{00000000-0005-0000-0000-000026000000}"/>
    <cellStyle name="_Multiple" xfId="147" xr:uid="{00000000-0005-0000-0000-000027000000}"/>
    <cellStyle name="_MultipleSpace" xfId="148" xr:uid="{00000000-0005-0000-0000-000028000000}"/>
    <cellStyle name="_Percent" xfId="151" xr:uid="{00000000-0005-0000-0000-000029000000}"/>
    <cellStyle name="_PercentSpace" xfId="152" xr:uid="{00000000-0005-0000-0000-00002A000000}"/>
    <cellStyle name="_QA Datafile 100308" xfId="155" xr:uid="{00000000-0005-0000-0000-00002B000000}"/>
    <cellStyle name="_QA Datafile 100308_VAL_Capoterra_2009_09_17" xfId="156" xr:uid="{00000000-0005-0000-0000-00002C000000}"/>
    <cellStyle name="_QA Datafile 100308_VAL_Capoterra_2009_09_20" xfId="159" xr:uid="{00000000-0005-0000-0000-00002D000000}"/>
    <cellStyle name="_QA Datafile 100308_VAL_Capoterra_2009_09_21A" xfId="162" xr:uid="{00000000-0005-0000-0000-00002E000000}"/>
    <cellStyle name="_Retail Mobile Voice" xfId="165" xr:uid="{00000000-0005-0000-0000-00002F000000}"/>
    <cellStyle name="_Val_Bridge_2008_07_16" xfId="167" xr:uid="{00000000-0005-0000-0000-000030000000}"/>
    <cellStyle name="_VAL_Karlin_2006_10_13" xfId="85" xr:uid="{00000000-0005-0000-0000-000031000000}"/>
    <cellStyle name="_VAL_Novera_23_04_2007" xfId="168" xr:uid="{00000000-0005-0000-0000-000032000000}"/>
    <cellStyle name="_VAL_Novera_23_04_2007_VAL_C_SYSTEM+C_SERVIS_2008_05_29" xfId="45" xr:uid="{00000000-0005-0000-0000-000033000000}"/>
    <cellStyle name="_VAL_Novera_23_04_2007_Val_Debrecín_2008_10_29" xfId="169" xr:uid="{00000000-0005-0000-0000-000034000000}"/>
    <cellStyle name="_VAL_Novera_23_04_2007_Val_Debrecín_2009_05_06f adjusted" xfId="171" xr:uid="{00000000-0005-0000-0000-000035000000}"/>
    <cellStyle name="_VAL_Novera_23_04_2007_Val_Debrecín_2009_10 working" xfId="173" xr:uid="{00000000-0005-0000-0000-000036000000}"/>
    <cellStyle name="_VAL_Novera_23_04_2007_Val_Debrecín_2009_10_09" xfId="174" xr:uid="{00000000-0005-0000-0000-000037000000}"/>
    <cellStyle name="_Val_Novoker_2007_08_02a" xfId="157" xr:uid="{00000000-0005-0000-0000-000038000000}"/>
    <cellStyle name="_Val_Ravioli" xfId="175" xr:uid="{00000000-0005-0000-0000-000039000000}"/>
    <cellStyle name="_VAL_RIVNE_2007_07_07" xfId="177" xr:uid="{00000000-0005-0000-0000-00003A000000}"/>
    <cellStyle name="_VAL_RIVNE_2007_07_07_Val_Debrecín_2008_10_29" xfId="180" xr:uid="{00000000-0005-0000-0000-00003B000000}"/>
    <cellStyle name="_VAL_RIVNE_2007_07_07_Val_Debrecín_2009_05_06f adjusted" xfId="67" xr:uid="{00000000-0005-0000-0000-00003C000000}"/>
    <cellStyle name="_VAL_RIVNE_2007_07_07_Val_Debrecín_2009_10 working" xfId="181" xr:uid="{00000000-0005-0000-0000-00003D000000}"/>
    <cellStyle name="_VAL_RIVNE_2007_07_07_Val_Debrecín_2009_10_09" xfId="182" xr:uid="{00000000-0005-0000-0000-00003E000000}"/>
    <cellStyle name="-" xfId="92" xr:uid="{00000000-0005-0000-0000-000000000000}"/>
    <cellStyle name=";;;" xfId="14" xr:uid="{00000000-0005-0000-0000-00000F000000}"/>
    <cellStyle name="&quot;&quot; YRS" xfId="99" xr:uid="{00000000-0005-0000-0000-000003000000}"/>
    <cellStyle name="%" xfId="13" xr:uid="{00000000-0005-0000-0000-000006000000}"/>
    <cellStyle name="% procenta" xfId="8" xr:uid="{00000000-0005-0000-0000-000007000000}"/>
    <cellStyle name="%_Szol PL" xfId="84" xr:uid="{00000000-0005-0000-0000-000009000000}"/>
    <cellStyle name="%_Zbroj PL" xfId="90" xr:uid="{00000000-0005-0000-0000-00000A000000}"/>
    <cellStyle name="%.00" xfId="91" xr:uid="{00000000-0005-0000-0000-000008000000}"/>
    <cellStyle name="%column" xfId="66" xr:uid="{00000000-0005-0000-0000-00000B000000}"/>
    <cellStyle name="%column1" xfId="100" xr:uid="{00000000-0005-0000-0000-00000C000000}"/>
    <cellStyle name="%row" xfId="103" xr:uid="{00000000-0005-0000-0000-00000D000000}"/>
    <cellStyle name="%row1" xfId="106" xr:uid="{00000000-0005-0000-0000-00000E000000}"/>
    <cellStyle name="$" xfId="97" xr:uid="{00000000-0005-0000-0000-000004000000}"/>
    <cellStyle name="$ &amp; ¢" xfId="88" xr:uid="{00000000-0005-0000-0000-000005000000}"/>
    <cellStyle name="0_BP2" xfId="149" xr:uid="{00000000-0005-0000-0000-00003F000000}"/>
    <cellStyle name="000" xfId="74" xr:uid="{00000000-0005-0000-0000-000040000000}"/>
    <cellStyle name="0dp" xfId="184" xr:uid="{00000000-0005-0000-0000-000041000000}"/>
    <cellStyle name="1" xfId="186" xr:uid="{00000000-0005-0000-0000-000042000000}"/>
    <cellStyle name="1_BIL95" xfId="188" xr:uid="{00000000-0005-0000-0000-000043000000}"/>
    <cellStyle name="1_Personnel Expenses" xfId="54" xr:uid="{00000000-0005-0000-0000-000044000000}"/>
    <cellStyle name="1_Personnel Expenses_Kópia - tes290909" xfId="191" xr:uid="{00000000-0005-0000-0000-000045000000}"/>
    <cellStyle name="1_Personnel Expenses_ShortVal_MEZ_2009_10_07" xfId="192" xr:uid="{00000000-0005-0000-0000-000046000000}"/>
    <cellStyle name="1_Personnel Expenses_Val_Bruntál_2009_09_27" xfId="194" xr:uid="{00000000-0005-0000-0000-000047000000}"/>
    <cellStyle name="1_Personnel Expenses_Val_Bruntál_2009_09_27a" xfId="196" xr:uid="{00000000-0005-0000-0000-000048000000}"/>
    <cellStyle name="1_Val_Debrecín_2008_10_29" xfId="17" xr:uid="{00000000-0005-0000-0000-000049000000}"/>
    <cellStyle name="1_Val_Debrecín_2009_05_06f adjusted" xfId="198" xr:uid="{00000000-0005-0000-0000-00004A000000}"/>
    <cellStyle name="1_Val_Debrecín_2009_10 working" xfId="201" xr:uid="{00000000-0005-0000-0000-00004B000000}"/>
    <cellStyle name="1_Val_Debrecín_2009_10_09" xfId="98" xr:uid="{00000000-0005-0000-0000-00004C000000}"/>
    <cellStyle name="1_Val_GTS_CR_2007_11_14" xfId="202" xr:uid="{00000000-0005-0000-0000-00004D000000}"/>
    <cellStyle name="1_WVH" xfId="204" xr:uid="{00000000-0005-0000-0000-00004E000000}"/>
    <cellStyle name="1_WVH_Personnel Expenses" xfId="25" xr:uid="{00000000-0005-0000-0000-00004F000000}"/>
    <cellStyle name="1_WVH_Personnel Expenses_Kópia - tes290909" xfId="206" xr:uid="{00000000-0005-0000-0000-000050000000}"/>
    <cellStyle name="1_WVH_Personnel Expenses_ShortVal_MEZ_2009_10_07" xfId="208" xr:uid="{00000000-0005-0000-0000-000051000000}"/>
    <cellStyle name="1_WVH_Personnel Expenses_Val_Bruntál_2009_09_27" xfId="209" xr:uid="{00000000-0005-0000-0000-000052000000}"/>
    <cellStyle name="1_WVH_Personnel Expenses_Val_Bruntál_2009_09_27a" xfId="212" xr:uid="{00000000-0005-0000-0000-000053000000}"/>
    <cellStyle name="1_WVH_Val_Debrecín_2008_10_29" xfId="213" xr:uid="{00000000-0005-0000-0000-000054000000}"/>
    <cellStyle name="1_WVH_Val_Debrecín_2009_05_06f adjusted" xfId="217" xr:uid="{00000000-0005-0000-0000-000055000000}"/>
    <cellStyle name="1_WVH_Val_Debrecín_2009_10 working" xfId="221" xr:uid="{00000000-0005-0000-0000-000056000000}"/>
    <cellStyle name="1_WVH_Val_Debrecín_2009_10_09" xfId="223" xr:uid="{00000000-0005-0000-0000-000057000000}"/>
    <cellStyle name="1_WVH_Val_GTS_CR_2007_11_14" xfId="224" xr:uid="{00000000-0005-0000-0000-000058000000}"/>
    <cellStyle name="1Outputbox1" xfId="226" xr:uid="{00000000-0005-0000-0000-000059000000}"/>
    <cellStyle name="1Outputbox2" xfId="228" xr:uid="{00000000-0005-0000-0000-00005A000000}"/>
    <cellStyle name="1Outputheader" xfId="229" xr:uid="{00000000-0005-0000-0000-00005B000000}"/>
    <cellStyle name="1Outputheader2" xfId="230" xr:uid="{00000000-0005-0000-0000-00005C000000}"/>
    <cellStyle name="1Outputsubtitle" xfId="232" xr:uid="{00000000-0005-0000-0000-00005D000000}"/>
    <cellStyle name="1Outputtitle" xfId="234" xr:uid="{00000000-0005-0000-0000-00005E000000}"/>
    <cellStyle name="1Profileheader" xfId="235" xr:uid="{00000000-0005-0000-0000-00005F000000}"/>
    <cellStyle name="1Profilelowerbox" xfId="238" xr:uid="{00000000-0005-0000-0000-000060000000}"/>
    <cellStyle name="1Profilesubheader" xfId="2" xr:uid="{00000000-0005-0000-0000-000061000000}"/>
    <cellStyle name="1Profiletitle" xfId="241" xr:uid="{00000000-0005-0000-0000-000062000000}"/>
    <cellStyle name="1Profiletopbox" xfId="44" xr:uid="{00000000-0005-0000-0000-000063000000}"/>
    <cellStyle name="2" xfId="243" xr:uid="{00000000-0005-0000-0000-000064000000}"/>
    <cellStyle name="2_ANLAGE95" xfId="248" xr:uid="{00000000-0005-0000-0000-000065000000}"/>
    <cellStyle name="2_ANLAGESP" xfId="249" xr:uid="{00000000-0005-0000-0000-000066000000}"/>
    <cellStyle name="2_BIL95" xfId="81" xr:uid="{00000000-0005-0000-0000-000067000000}"/>
    <cellStyle name="2_Personnel Expenses" xfId="252" xr:uid="{00000000-0005-0000-0000-000068000000}"/>
    <cellStyle name="2_Personnel Expenses_Kópia - tes290909" xfId="256" xr:uid="{00000000-0005-0000-0000-000069000000}"/>
    <cellStyle name="2_Personnel Expenses_ShortVal_MEZ_2009_10_07" xfId="258" xr:uid="{00000000-0005-0000-0000-00006A000000}"/>
    <cellStyle name="2_Personnel Expenses_Val_Bruntál_2009_09_27" xfId="172" xr:uid="{00000000-0005-0000-0000-00006B000000}"/>
    <cellStyle name="2_Personnel Expenses_Val_Bruntál_2009_09_27a" xfId="259" xr:uid="{00000000-0005-0000-0000-00006C000000}"/>
    <cellStyle name="2_Val_Debrecín_2008_10_29" xfId="262" xr:uid="{00000000-0005-0000-0000-00006D000000}"/>
    <cellStyle name="2_Val_Debrecín_2009_05_06f adjusted" xfId="263" xr:uid="{00000000-0005-0000-0000-00006E000000}"/>
    <cellStyle name="2_Val_Debrecín_2009_10 working" xfId="264" xr:uid="{00000000-0005-0000-0000-00006F000000}"/>
    <cellStyle name="2_Val_Debrecín_2009_10_09" xfId="266" xr:uid="{00000000-0005-0000-0000-000070000000}"/>
    <cellStyle name="2_Val_GTS_CR_2007_11_14" xfId="267" xr:uid="{00000000-0005-0000-0000-000071000000}"/>
    <cellStyle name="2_WVH" xfId="268" xr:uid="{00000000-0005-0000-0000-000072000000}"/>
    <cellStyle name="20 % - zvýraznenie1" xfId="245" xr:uid="{00000000-0005-0000-0000-000079000000}"/>
    <cellStyle name="20 % - zvýraznenie1 2" xfId="276" xr:uid="{00000000-0005-0000-0000-00007A000000}"/>
    <cellStyle name="20 % - zvýraznenie1 3" xfId="277" xr:uid="{00000000-0005-0000-0000-00007B000000}"/>
    <cellStyle name="20 % - zvýraznenie1_eur_huf (2)" xfId="134" xr:uid="{00000000-0005-0000-0000-00007C000000}"/>
    <cellStyle name="20 % - zvýraznenie2" xfId="144" xr:uid="{00000000-0005-0000-0000-00007D000000}"/>
    <cellStyle name="20 % - zvýraznenie2 2" xfId="6" xr:uid="{00000000-0005-0000-0000-00007E000000}"/>
    <cellStyle name="20 % - zvýraznenie2 3" xfId="41" xr:uid="{00000000-0005-0000-0000-00007F000000}"/>
    <cellStyle name="20 % - zvýraznenie2_eur_huf (2)" xfId="278" xr:uid="{00000000-0005-0000-0000-000080000000}"/>
    <cellStyle name="20 % - zvýraznenie3" xfId="279" xr:uid="{00000000-0005-0000-0000-000081000000}"/>
    <cellStyle name="20 % - zvýraznenie3 2" xfId="282" xr:uid="{00000000-0005-0000-0000-000082000000}"/>
    <cellStyle name="20 % - zvýraznenie3 3" xfId="20" xr:uid="{00000000-0005-0000-0000-000083000000}"/>
    <cellStyle name="20 % - zvýraznenie3_eur_huf (2)" xfId="284" xr:uid="{00000000-0005-0000-0000-000084000000}"/>
    <cellStyle name="20 % - zvýraznenie4" xfId="50" xr:uid="{00000000-0005-0000-0000-000085000000}"/>
    <cellStyle name="20 % - zvýraznenie4 2" xfId="287" xr:uid="{00000000-0005-0000-0000-000086000000}"/>
    <cellStyle name="20 % - zvýraznenie4 3" xfId="291" xr:uid="{00000000-0005-0000-0000-000087000000}"/>
    <cellStyle name="20 % - zvýraznenie4_eur_huf (2)" xfId="295" xr:uid="{00000000-0005-0000-0000-000088000000}"/>
    <cellStyle name="20 % - zvýraznenie5" xfId="29" xr:uid="{00000000-0005-0000-0000-000089000000}"/>
    <cellStyle name="20 % - zvýraznenie5 2" xfId="298" xr:uid="{00000000-0005-0000-0000-00008A000000}"/>
    <cellStyle name="20 % - zvýraznenie5 3" xfId="301" xr:uid="{00000000-0005-0000-0000-00008B000000}"/>
    <cellStyle name="20 % - zvýraznenie5_eur_huf (2)" xfId="302" xr:uid="{00000000-0005-0000-0000-00008C000000}"/>
    <cellStyle name="20 % - zvýraznenie6" xfId="52" xr:uid="{00000000-0005-0000-0000-00008D000000}"/>
    <cellStyle name="20 % - zvýraznenie6 2" xfId="187" xr:uid="{00000000-0005-0000-0000-00008E000000}"/>
    <cellStyle name="20 % - zvýraznenie6 3" xfId="246" xr:uid="{00000000-0005-0000-0000-00008F000000}"/>
    <cellStyle name="20 % - zvýraznenie6_eur_huf (2)" xfId="303" xr:uid="{00000000-0005-0000-0000-000090000000}"/>
    <cellStyle name="20 % – Zvýraznění1" xfId="76" xr:uid="{00000000-0005-0000-0000-000073000000}"/>
    <cellStyle name="20 % – Zvýraznění2" xfId="82" xr:uid="{00000000-0005-0000-0000-000074000000}"/>
    <cellStyle name="20 % – Zvýraznění3" xfId="269" xr:uid="{00000000-0005-0000-0000-000075000000}"/>
    <cellStyle name="20 % – Zvýraznění4" xfId="271" xr:uid="{00000000-0005-0000-0000-000076000000}"/>
    <cellStyle name="20 % – Zvýraznění5" xfId="105" xr:uid="{00000000-0005-0000-0000-000077000000}"/>
    <cellStyle name="20 % – Zvýraznění6" xfId="273" xr:uid="{00000000-0005-0000-0000-000078000000}"/>
    <cellStyle name="20% - 1. jelölőszín" xfId="306" xr:uid="{00000000-0005-0000-0000-000091000000}"/>
    <cellStyle name="20% - 2. jelölőszín" xfId="307" xr:uid="{00000000-0005-0000-0000-000092000000}"/>
    <cellStyle name="20% - 3. jelölőszín" xfId="310" xr:uid="{00000000-0005-0000-0000-000093000000}"/>
    <cellStyle name="20% - 4. jelölőszín" xfId="71" xr:uid="{00000000-0005-0000-0000-000094000000}"/>
    <cellStyle name="20% - 5. jelölőszín" xfId="311" xr:uid="{00000000-0005-0000-0000-000095000000}"/>
    <cellStyle name="20% - 6. jelölőszín" xfId="42" xr:uid="{00000000-0005-0000-0000-000096000000}"/>
    <cellStyle name="20% - akcent 1" xfId="312" xr:uid="{00000000-0005-0000-0000-000097000000}"/>
    <cellStyle name="20% - akcent 2" xfId="242" xr:uid="{00000000-0005-0000-0000-000098000000}"/>
    <cellStyle name="20% - akcent 3" xfId="313" xr:uid="{00000000-0005-0000-0000-000099000000}"/>
    <cellStyle name="20% - akcent 4" xfId="314" xr:uid="{00000000-0005-0000-0000-00009A000000}"/>
    <cellStyle name="20% - akcent 5" xfId="288" xr:uid="{00000000-0005-0000-0000-00009B000000}"/>
    <cellStyle name="20% - akcent 6" xfId="292" xr:uid="{00000000-0005-0000-0000-00009C000000}"/>
    <cellStyle name="20% - Akzent1" xfId="316" xr:uid="{00000000-0005-0000-0000-00009D000000}"/>
    <cellStyle name="20% - Akzent2" xfId="317" xr:uid="{00000000-0005-0000-0000-00009E000000}"/>
    <cellStyle name="20% - Akzent3" xfId="86" xr:uid="{00000000-0005-0000-0000-00009F000000}"/>
    <cellStyle name="20% - Akzent4" xfId="318" xr:uid="{00000000-0005-0000-0000-0000A0000000}"/>
    <cellStyle name="20% - Akzent5" xfId="320" xr:uid="{00000000-0005-0000-0000-0000A1000000}"/>
    <cellStyle name="20% - Akzent6" xfId="321" xr:uid="{00000000-0005-0000-0000-0000A2000000}"/>
    <cellStyle name="3" xfId="143" xr:uid="{00000000-0005-0000-0000-0000A3000000}"/>
    <cellStyle name="3_IFB-Spiegel" xfId="323" xr:uid="{00000000-0005-0000-0000-0000A4000000}"/>
    <cellStyle name="3_SFAS95" xfId="4" xr:uid="{00000000-0005-0000-0000-0000A5000000}"/>
    <cellStyle name="3_STEUER" xfId="325" xr:uid="{00000000-0005-0000-0000-0000A6000000}"/>
    <cellStyle name="3_SteuerJubel" xfId="80" xr:uid="{00000000-0005-0000-0000-0000A7000000}"/>
    <cellStyle name="3_WVH" xfId="327" xr:uid="{00000000-0005-0000-0000-0000A8000000}"/>
    <cellStyle name="40 % - zvýraznenie1" xfId="338" xr:uid="{00000000-0005-0000-0000-0000AF000000}"/>
    <cellStyle name="40 % - zvýraznenie1 2" xfId="339" xr:uid="{00000000-0005-0000-0000-0000B0000000}"/>
    <cellStyle name="40 % - zvýraznenie1 3" xfId="341" xr:uid="{00000000-0005-0000-0000-0000B1000000}"/>
    <cellStyle name="40 % - zvýraznenie1_eur_huf (2)" xfId="342" xr:uid="{00000000-0005-0000-0000-0000B2000000}"/>
    <cellStyle name="40 % - zvýraznenie2" xfId="344" xr:uid="{00000000-0005-0000-0000-0000B3000000}"/>
    <cellStyle name="40 % - zvýraznenie2 2" xfId="345" xr:uid="{00000000-0005-0000-0000-0000B4000000}"/>
    <cellStyle name="40 % - zvýraznenie2 3" xfId="346" xr:uid="{00000000-0005-0000-0000-0000B5000000}"/>
    <cellStyle name="40 % - zvýraznenie2_eur_huf (2)" xfId="203" xr:uid="{00000000-0005-0000-0000-0000B6000000}"/>
    <cellStyle name="40 % - zvýraznenie3" xfId="283" xr:uid="{00000000-0005-0000-0000-0000B7000000}"/>
    <cellStyle name="40 % - zvýraznenie3 2" xfId="348" xr:uid="{00000000-0005-0000-0000-0000B8000000}"/>
    <cellStyle name="40 % - zvýraznenie3 3" xfId="350" xr:uid="{00000000-0005-0000-0000-0000B9000000}"/>
    <cellStyle name="40 % - zvýraznenie3_eur_huf (2)" xfId="353" xr:uid="{00000000-0005-0000-0000-0000BA000000}"/>
    <cellStyle name="40 % - zvýraznenie4" xfId="21" xr:uid="{00000000-0005-0000-0000-0000BB000000}"/>
    <cellStyle name="40 % - zvýraznenie4 2" xfId="355" xr:uid="{00000000-0005-0000-0000-0000BC000000}"/>
    <cellStyle name="40 % - zvýraznenie4 3" xfId="356" xr:uid="{00000000-0005-0000-0000-0000BD000000}"/>
    <cellStyle name="40 % - zvýraznenie4_eur_huf (2)" xfId="139" xr:uid="{00000000-0005-0000-0000-0000BE000000}"/>
    <cellStyle name="40 % - zvýraznenie5" xfId="358" xr:uid="{00000000-0005-0000-0000-0000BF000000}"/>
    <cellStyle name="40 % - zvýraznenie5 2" xfId="326" xr:uid="{00000000-0005-0000-0000-0000C0000000}"/>
    <cellStyle name="40 % - zvýraznenie5 3" xfId="359" xr:uid="{00000000-0005-0000-0000-0000C1000000}"/>
    <cellStyle name="40 % - zvýraznenie5_eur_huf (2)" xfId="360" xr:uid="{00000000-0005-0000-0000-0000C2000000}"/>
    <cellStyle name="40 % - zvýraznenie6" xfId="324" xr:uid="{00000000-0005-0000-0000-0000C3000000}"/>
    <cellStyle name="40 % - zvýraznenie6 2" xfId="362" xr:uid="{00000000-0005-0000-0000-0000C4000000}"/>
    <cellStyle name="40 % - zvýraznenie6 3" xfId="363" xr:uid="{00000000-0005-0000-0000-0000C5000000}"/>
    <cellStyle name="40 % - zvýraznenie6_eur_huf (2)" xfId="364" xr:uid="{00000000-0005-0000-0000-0000C6000000}"/>
    <cellStyle name="40 % – Zvýraznění1" xfId="328" xr:uid="{00000000-0005-0000-0000-0000A9000000}"/>
    <cellStyle name="40 % – Zvýraznění2" xfId="329" xr:uid="{00000000-0005-0000-0000-0000AA000000}"/>
    <cellStyle name="40 % – Zvýraznění3" xfId="333" xr:uid="{00000000-0005-0000-0000-0000AB000000}"/>
    <cellStyle name="40 % – Zvýraznění4" xfId="163" xr:uid="{00000000-0005-0000-0000-0000AC000000}"/>
    <cellStyle name="40 % – Zvýraznění5" xfId="218" xr:uid="{00000000-0005-0000-0000-0000AD000000}"/>
    <cellStyle name="40 % – Zvýraznění6" xfId="335" xr:uid="{00000000-0005-0000-0000-0000AE000000}"/>
    <cellStyle name="40% - 1. jelölőszín" xfId="367" xr:uid="{00000000-0005-0000-0000-0000C7000000}"/>
    <cellStyle name="40% - 2. jelölőszín" xfId="368" xr:uid="{00000000-0005-0000-0000-0000C8000000}"/>
    <cellStyle name="40% - 3. jelölőszín" xfId="1" xr:uid="{00000000-0005-0000-0000-0000C9000000}"/>
    <cellStyle name="40% - 4. jelölőszín" xfId="207" xr:uid="{00000000-0005-0000-0000-0000CA000000}"/>
    <cellStyle name="40% - 5. jelölőszín" xfId="69" xr:uid="{00000000-0005-0000-0000-0000CB000000}"/>
    <cellStyle name="40% - 6. jelölőszín" xfId="369" xr:uid="{00000000-0005-0000-0000-0000CC000000}"/>
    <cellStyle name="40% - akcent 1" xfId="16" xr:uid="{00000000-0005-0000-0000-0000CD000000}"/>
    <cellStyle name="40% - akcent 2" xfId="370" xr:uid="{00000000-0005-0000-0000-0000CE000000}"/>
    <cellStyle name="40% - akcent 3" xfId="371" xr:uid="{00000000-0005-0000-0000-0000CF000000}"/>
    <cellStyle name="40% - akcent 4" xfId="372" xr:uid="{00000000-0005-0000-0000-0000D0000000}"/>
    <cellStyle name="40% - akcent 5" xfId="375" xr:uid="{00000000-0005-0000-0000-0000D1000000}"/>
    <cellStyle name="40% - akcent 6" xfId="377" xr:uid="{00000000-0005-0000-0000-0000D2000000}"/>
    <cellStyle name="40% - Akzent1" xfId="378" xr:uid="{00000000-0005-0000-0000-0000D3000000}"/>
    <cellStyle name="40% - Akzent2" xfId="379" xr:uid="{00000000-0005-0000-0000-0000D4000000}"/>
    <cellStyle name="40% - Akzent3" xfId="381" xr:uid="{00000000-0005-0000-0000-0000D5000000}"/>
    <cellStyle name="40% - Akzent4" xfId="383" xr:uid="{00000000-0005-0000-0000-0000D6000000}"/>
    <cellStyle name="40% - Akzent5" xfId="384" xr:uid="{00000000-0005-0000-0000-0000D7000000}"/>
    <cellStyle name="40% - Akzent6" xfId="387" xr:uid="{00000000-0005-0000-0000-0000D8000000}"/>
    <cellStyle name="60 % - zvýraznenie1" xfId="398" xr:uid="{00000000-0005-0000-0000-0000DF000000}"/>
    <cellStyle name="60 % - zvýraznenie1 2" xfId="399" xr:uid="{00000000-0005-0000-0000-0000E0000000}"/>
    <cellStyle name="60 % - zvýraznenie1 3" xfId="401" xr:uid="{00000000-0005-0000-0000-0000E1000000}"/>
    <cellStyle name="60 % - zvýraznenie1_eur_huf (2)" xfId="233" xr:uid="{00000000-0005-0000-0000-0000E2000000}"/>
    <cellStyle name="60 % - zvýraznenie2" xfId="404" xr:uid="{00000000-0005-0000-0000-0000E3000000}"/>
    <cellStyle name="60 % - zvýraznenie2 2" xfId="409" xr:uid="{00000000-0005-0000-0000-0000E4000000}"/>
    <cellStyle name="60 % - zvýraznenie2 3" xfId="410" xr:uid="{00000000-0005-0000-0000-0000E5000000}"/>
    <cellStyle name="60 % - zvýraznenie2_eur_huf (2)" xfId="413" xr:uid="{00000000-0005-0000-0000-0000E6000000}"/>
    <cellStyle name="60 % - zvýraznenie3" xfId="414" xr:uid="{00000000-0005-0000-0000-0000E7000000}"/>
    <cellStyle name="60 % - zvýraznenie3 2" xfId="415" xr:uid="{00000000-0005-0000-0000-0000E8000000}"/>
    <cellStyle name="60 % - zvýraznenie3 3" xfId="62" xr:uid="{00000000-0005-0000-0000-0000E9000000}"/>
    <cellStyle name="60 % - zvýraznenie3_eur_huf (2)" xfId="417" xr:uid="{00000000-0005-0000-0000-0000EA000000}"/>
    <cellStyle name="60 % - zvýraznenie4" xfId="365" xr:uid="{00000000-0005-0000-0000-0000EB000000}"/>
    <cellStyle name="60 % - zvýraznenie4 2" xfId="420" xr:uid="{00000000-0005-0000-0000-0000EC000000}"/>
    <cellStyle name="60 % - zvýraznenie4 3" xfId="422" xr:uid="{00000000-0005-0000-0000-0000ED000000}"/>
    <cellStyle name="60 % - zvýraznenie4_eur_huf (2)" xfId="351" xr:uid="{00000000-0005-0000-0000-0000EE000000}"/>
    <cellStyle name="60 % - zvýraznenie5" xfId="423" xr:uid="{00000000-0005-0000-0000-0000EF000000}"/>
    <cellStyle name="60 % - zvýraznenie5 2" xfId="424" xr:uid="{00000000-0005-0000-0000-0000F0000000}"/>
    <cellStyle name="60 % - zvýraznenie5 3" xfId="426" xr:uid="{00000000-0005-0000-0000-0000F1000000}"/>
    <cellStyle name="60 % - zvýraznenie5_eur_huf (2)" xfId="158" xr:uid="{00000000-0005-0000-0000-0000F2000000}"/>
    <cellStyle name="60 % - zvýraznenie6" xfId="428" xr:uid="{00000000-0005-0000-0000-0000F3000000}"/>
    <cellStyle name="60 % - zvýraznenie6 2" xfId="429" xr:uid="{00000000-0005-0000-0000-0000F4000000}"/>
    <cellStyle name="60 % - zvýraznenie6 3" xfId="430" xr:uid="{00000000-0005-0000-0000-0000F5000000}"/>
    <cellStyle name="60 % - zvýraznenie6_eur_huf (2)" xfId="432" xr:uid="{00000000-0005-0000-0000-0000F6000000}"/>
    <cellStyle name="60 % – Zvýraznění1" xfId="390" xr:uid="{00000000-0005-0000-0000-0000D9000000}"/>
    <cellStyle name="60 % – Zvýraznění2" xfId="391" xr:uid="{00000000-0005-0000-0000-0000DA000000}"/>
    <cellStyle name="60 % – Zvýraznění3" xfId="392" xr:uid="{00000000-0005-0000-0000-0000DB000000}"/>
    <cellStyle name="60 % – Zvýraznění4" xfId="395" xr:uid="{00000000-0005-0000-0000-0000DC000000}"/>
    <cellStyle name="60 % – Zvýraznění5" xfId="396" xr:uid="{00000000-0005-0000-0000-0000DD000000}"/>
    <cellStyle name="60 % – Zvýraznění6" xfId="397" xr:uid="{00000000-0005-0000-0000-0000DE000000}"/>
    <cellStyle name="60% - 1. jelölőszín" xfId="380" xr:uid="{00000000-0005-0000-0000-0000F7000000}"/>
    <cellStyle name="60% - 2. jelölőszín" xfId="435" xr:uid="{00000000-0005-0000-0000-0000F8000000}"/>
    <cellStyle name="60% - 3. jelölőszín" xfId="436" xr:uid="{00000000-0005-0000-0000-0000F9000000}"/>
    <cellStyle name="60% - 4. jelölőszín" xfId="183" xr:uid="{00000000-0005-0000-0000-0000FA000000}"/>
    <cellStyle name="60% - 5. jelölőszín" xfId="438" xr:uid="{00000000-0005-0000-0000-0000FB000000}"/>
    <cellStyle name="60% - 6. jelölőszín" xfId="439" xr:uid="{00000000-0005-0000-0000-0000FC000000}"/>
    <cellStyle name="60% - akcent 1" xfId="440" xr:uid="{00000000-0005-0000-0000-0000FD000000}"/>
    <cellStyle name="60% - akcent 2" xfId="443" xr:uid="{00000000-0005-0000-0000-0000FE000000}"/>
    <cellStyle name="60% - akcent 3" xfId="445" xr:uid="{00000000-0005-0000-0000-0000FF000000}"/>
    <cellStyle name="60% - akcent 4" xfId="446" xr:uid="{00000000-0005-0000-0000-000000010000}"/>
    <cellStyle name="60% - akcent 5" xfId="170" xr:uid="{00000000-0005-0000-0000-000001010000}"/>
    <cellStyle name="60% - akcent 6" xfId="447" xr:uid="{00000000-0005-0000-0000-000002010000}"/>
    <cellStyle name="60% - Akzent1" xfId="448" xr:uid="{00000000-0005-0000-0000-000003010000}"/>
    <cellStyle name="60% - Akzent2" xfId="437" xr:uid="{00000000-0005-0000-0000-000004010000}"/>
    <cellStyle name="60% - Akzent3" xfId="450" xr:uid="{00000000-0005-0000-0000-000005010000}"/>
    <cellStyle name="60% - Akzent4" xfId="451" xr:uid="{00000000-0005-0000-0000-000006010000}"/>
    <cellStyle name="60% - Akzent5" xfId="453" xr:uid="{00000000-0005-0000-0000-000007010000}"/>
    <cellStyle name="60% - Akzent6" xfId="454" xr:uid="{00000000-0005-0000-0000-000008010000}"/>
    <cellStyle name="AboveSubtotal" xfId="456" xr:uid="{00000000-0005-0000-0000-000009010000}"/>
    <cellStyle name="AboveSubtotal1" xfId="458" xr:uid="{00000000-0005-0000-0000-00000A010000}"/>
    <cellStyle name="Accent1 - 20%" xfId="59" xr:uid="{00000000-0005-0000-0000-00000B010000}"/>
    <cellStyle name="Accent1 - 40%" xfId="331" xr:uid="{00000000-0005-0000-0000-00000C010000}"/>
    <cellStyle name="Accent1 - 60%" xfId="459" xr:uid="{00000000-0005-0000-0000-00000D010000}"/>
    <cellStyle name="Accent2 - 20%" xfId="280" xr:uid="{00000000-0005-0000-0000-00000E010000}"/>
    <cellStyle name="Accent2 - 40%" xfId="34" xr:uid="{00000000-0005-0000-0000-00000F010000}"/>
    <cellStyle name="Accent2 - 60%" xfId="160" xr:uid="{00000000-0005-0000-0000-000010010000}"/>
    <cellStyle name="Accent3 - 20%" xfId="461" xr:uid="{00000000-0005-0000-0000-000011010000}"/>
    <cellStyle name="Accent3 - 40%" xfId="463" xr:uid="{00000000-0005-0000-0000-000012010000}"/>
    <cellStyle name="Accent3 - 60%" xfId="388" xr:uid="{00000000-0005-0000-0000-000013010000}"/>
    <cellStyle name="Accent4 - 20%" xfId="466" xr:uid="{00000000-0005-0000-0000-000014010000}"/>
    <cellStyle name="Accent4 - 40%" xfId="400" xr:uid="{00000000-0005-0000-0000-000015010000}"/>
    <cellStyle name="Accent4 - 60%" xfId="416" xr:uid="{00000000-0005-0000-0000-000016010000}"/>
    <cellStyle name="Accent5 - 20%" xfId="467" xr:uid="{00000000-0005-0000-0000-000017010000}"/>
    <cellStyle name="Accent5 - 40%" xfId="469" xr:uid="{00000000-0005-0000-0000-000018010000}"/>
    <cellStyle name="Accent5 - 60%" xfId="473" xr:uid="{00000000-0005-0000-0000-000019010000}"/>
    <cellStyle name="Accent6 - 20%" xfId="474" xr:uid="{00000000-0005-0000-0000-00001A010000}"/>
    <cellStyle name="Accent6 - 40%" xfId="308" xr:uid="{00000000-0005-0000-0000-00001B010000}"/>
    <cellStyle name="Accent6 - 60%" xfId="195" xr:uid="{00000000-0005-0000-0000-00001C010000}"/>
    <cellStyle name="Accounting" xfId="40" xr:uid="{00000000-0005-0000-0000-00001D010000}"/>
    <cellStyle name="AFE" xfId="153" xr:uid="{00000000-0005-0000-0000-00001E010000}"/>
    <cellStyle name="Akcent 1" xfId="475" xr:uid="{00000000-0005-0000-0000-00001F010000}"/>
    <cellStyle name="Akcent 2" xfId="476" xr:uid="{00000000-0005-0000-0000-000020010000}"/>
    <cellStyle name="Akcent 3" xfId="477" xr:uid="{00000000-0005-0000-0000-000021010000}"/>
    <cellStyle name="Akcent 4" xfId="265" xr:uid="{00000000-0005-0000-0000-000022010000}"/>
    <cellStyle name="Akcent 5" xfId="478" xr:uid="{00000000-0005-0000-0000-000023010000}"/>
    <cellStyle name="Akcent 6" xfId="479" xr:uid="{00000000-0005-0000-0000-000024010000}"/>
    <cellStyle name="Akcia" xfId="376" xr:uid="{00000000-0005-0000-0000-000025010000}"/>
    <cellStyle name="Akzent1" xfId="481" xr:uid="{00000000-0005-0000-0000-000026010000}"/>
    <cellStyle name="Akzent2" xfId="482" xr:uid="{00000000-0005-0000-0000-000027010000}"/>
    <cellStyle name="Akzent3" xfId="239" xr:uid="{00000000-0005-0000-0000-000028010000}"/>
    <cellStyle name="Akzent4" xfId="57" xr:uid="{00000000-0005-0000-0000-000029010000}"/>
    <cellStyle name="Akzent5" xfId="484" xr:uid="{00000000-0005-0000-0000-00002A010000}"/>
    <cellStyle name="Akzent6" xfId="485" xr:uid="{00000000-0005-0000-0000-00002B010000}"/>
    <cellStyle name="alternate" xfId="486" xr:uid="{00000000-0005-0000-0000-00002C010000}"/>
    <cellStyle name="annee semestre" xfId="130" xr:uid="{00000000-0005-0000-0000-00002D010000}"/>
    <cellStyle name="Arial 10" xfId="382" xr:uid="{00000000-0005-0000-0000-00002E010000}"/>
    <cellStyle name="Arial 12" xfId="385" xr:uid="{00000000-0005-0000-0000-00002F010000}"/>
    <cellStyle name="Assumption" xfId="60" xr:uid="{00000000-0005-0000-0000-000030010000}"/>
    <cellStyle name="Ausgabe" xfId="487" xr:uid="{00000000-0005-0000-0000-000031010000}"/>
    <cellStyle name="AxeHor" xfId="75" xr:uid="{00000000-0005-0000-0000-000032010000}"/>
    <cellStyle name="Berechnung" xfId="178" xr:uid="{00000000-0005-0000-0000-000033010000}"/>
    <cellStyle name="Besuchter Hyperlink" xfId="219" xr:uid="{00000000-0005-0000-0000-000034010000}"/>
    <cellStyle name="Bevitel" xfId="464" xr:uid="{00000000-0005-0000-0000-000035010000}"/>
    <cellStyle name="BLACK" xfId="78" xr:uid="{00000000-0005-0000-0000-000036010000}"/>
    <cellStyle name="Block Titles" xfId="330" xr:uid="{00000000-0005-0000-0000-000037010000}"/>
    <cellStyle name="Blue" xfId="185" xr:uid="{00000000-0005-0000-0000-000038010000}"/>
    <cellStyle name="blue$00" xfId="488" xr:uid="{00000000-0005-0000-0000-000039010000}"/>
    <cellStyle name="Body_$Dollars" xfId="489" xr:uid="{00000000-0005-0000-0000-00003B010000}"/>
    <cellStyle name="Border Heavy" xfId="257" xr:uid="{00000000-0005-0000-0000-00003C010000}"/>
    <cellStyle name="Border Thin" xfId="127" xr:uid="{00000000-0005-0000-0000-00003D010000}"/>
    <cellStyle name="Border, Bottom" xfId="406" xr:uid="{00000000-0005-0000-0000-00003E010000}"/>
    <cellStyle name="Border, Left" xfId="403" xr:uid="{00000000-0005-0000-0000-00003F010000}"/>
    <cellStyle name="Border, Right" xfId="361" xr:uid="{00000000-0005-0000-0000-000040010000}"/>
    <cellStyle name="Border, Top" xfId="490" xr:uid="{00000000-0005-0000-0000-000041010000}"/>
    <cellStyle name="BPC %" xfId="357" xr:uid="{00000000-0005-0000-0000-000042010000}"/>
    <cellStyle name="BPC abs" xfId="47" xr:uid="{00000000-0005-0000-0000-000043010000}"/>
    <cellStyle name="BPC Input %" xfId="492" xr:uid="{00000000-0005-0000-0000-000044010000}"/>
    <cellStyle name="BPC Input abs" xfId="236" xr:uid="{00000000-0005-0000-0000-000045010000}"/>
    <cellStyle name="British Pound" xfId="472" xr:uid="{00000000-0005-0000-0000-000046010000}"/>
    <cellStyle name="Calc" xfId="442" xr:uid="{00000000-0005-0000-0000-000047010000}"/>
    <cellStyle name="Calc .0" xfId="190" xr:uid="{00000000-0005-0000-0000-00004C010000}"/>
    <cellStyle name="Calc .00" xfId="498" xr:uid="{00000000-0005-0000-0000-00004D010000}"/>
    <cellStyle name="Calc .000" xfId="499" xr:uid="{00000000-0005-0000-0000-00004E010000}"/>
    <cellStyle name="Calc %" xfId="89" xr:uid="{00000000-0005-0000-0000-000048010000}"/>
    <cellStyle name="Calc % .0" xfId="494" xr:uid="{00000000-0005-0000-0000-000049010000}"/>
    <cellStyle name="Calc % .00" xfId="495" xr:uid="{00000000-0005-0000-0000-00004A010000}"/>
    <cellStyle name="Calc %_Debreceni Group Models" xfId="7" xr:uid="{00000000-0005-0000-0000-00004B010000}"/>
    <cellStyle name="Calc 0.00" xfId="502" xr:uid="{00000000-0005-0000-0000-00004F010000}"/>
    <cellStyle name="Calc Currency (0)" xfId="503" xr:uid="{00000000-0005-0000-0000-000050010000}"/>
    <cellStyle name="Calc Currency (2)" xfId="504" xr:uid="{00000000-0005-0000-0000-000051010000}"/>
    <cellStyle name="Calc Number" xfId="211" xr:uid="{00000000-0005-0000-0000-000052010000}"/>
    <cellStyle name="Calc percent" xfId="505" xr:uid="{00000000-0005-0000-0000-000053010000}"/>
    <cellStyle name="Calc Percent (0)" xfId="506" xr:uid="{00000000-0005-0000-0000-000054010000}"/>
    <cellStyle name="Calc Percent (1)" xfId="507" xr:uid="{00000000-0005-0000-0000-000055010000}"/>
    <cellStyle name="Calc Percent (2)" xfId="145" xr:uid="{00000000-0005-0000-0000-000056010000}"/>
    <cellStyle name="Calc Units (0)" xfId="508" xr:uid="{00000000-0005-0000-0000-000057010000}"/>
    <cellStyle name="Calc Units (1)" xfId="102" xr:uid="{00000000-0005-0000-0000-000058010000}"/>
    <cellStyle name="Calc Units (2)" xfId="509" xr:uid="{00000000-0005-0000-0000-000059010000}"/>
    <cellStyle name="Calc_Valuation_v1.9" xfId="247" xr:uid="{00000000-0005-0000-0000-00005A010000}"/>
    <cellStyle name="Case" xfId="83" xr:uid="{00000000-0005-0000-0000-00005B010000}"/>
    <cellStyle name="Celkem" xfId="510" xr:uid="{00000000-0005-0000-0000-00005C010000}"/>
    <cellStyle name="Cena_Sk" xfId="512" xr:uid="{00000000-0005-0000-0000-00005D010000}"/>
    <cellStyle name="Center Across" xfId="72" xr:uid="{00000000-0005-0000-0000-00005E010000}"/>
    <cellStyle name="Cím" xfId="513" xr:uid="{00000000-0005-0000-0000-00005F010000}"/>
    <cellStyle name="Címsor 1" xfId="30" xr:uid="{00000000-0005-0000-0000-000060010000}"/>
    <cellStyle name="Címsor 2" xfId="514" xr:uid="{00000000-0005-0000-0000-000061010000}"/>
    <cellStyle name="Címsor 3" xfId="515" xr:uid="{00000000-0005-0000-0000-000062010000}"/>
    <cellStyle name="Címsor 4" xfId="516" xr:uid="{00000000-0005-0000-0000-000063010000}"/>
    <cellStyle name="Code" xfId="150" xr:uid="{00000000-0005-0000-0000-000064010000}"/>
    <cellStyle name="COL HEADINGS" xfId="55" xr:uid="{00000000-0005-0000-0000-000065010000}"/>
    <cellStyle name="Column Heading" xfId="193" xr:uid="{00000000-0005-0000-0000-000066010000}"/>
    <cellStyle name="Column Heading (No Wrap)" xfId="517" xr:uid="{00000000-0005-0000-0000-000067010000}"/>
    <cellStyle name="Column Heading_AnalysysResearch_RR199_CEE_Mobile_Market_2006-11_dataannex" xfId="146" xr:uid="{00000000-0005-0000-0000-000068010000}"/>
    <cellStyle name="Column label" xfId="518" xr:uid="{00000000-0005-0000-0000-000069010000}"/>
    <cellStyle name="Column label (left aligned)" xfId="260" xr:uid="{00000000-0005-0000-0000-00006A010000}"/>
    <cellStyle name="Column label (no wrap)" xfId="315" xr:uid="{00000000-0005-0000-0000-00006B010000}"/>
    <cellStyle name="Column label (not bold)" xfId="366" xr:uid="{00000000-0005-0000-0000-00006C010000}"/>
    <cellStyle name="Column Total" xfId="519" xr:uid="{00000000-0005-0000-0000-00006D010000}"/>
    <cellStyle name="ColumnAttributeAbovePrompt" xfId="427" xr:uid="{00000000-0005-0000-0000-00006E010000}"/>
    <cellStyle name="ColumnAttributePrompt" xfId="53" xr:uid="{00000000-0005-0000-0000-00006F010000}"/>
    <cellStyle name="ColumnAttributeValue" xfId="520" xr:uid="{00000000-0005-0000-0000-000070010000}"/>
    <cellStyle name="ColumnHeaderNormal" xfId="521" xr:uid="{00000000-0005-0000-0000-000071010000}"/>
    <cellStyle name="ColumnHeadingPrompt" xfId="522" xr:uid="{00000000-0005-0000-0000-000072010000}"/>
    <cellStyle name="ColumnHeadingValue" xfId="408" xr:uid="{00000000-0005-0000-0000-000073010000}"/>
    <cellStyle name="Comma  - Style1" xfId="525" xr:uid="{00000000-0005-0000-0000-000074010000}"/>
    <cellStyle name="Comma  - Style2" xfId="462" xr:uid="{00000000-0005-0000-0000-000075010000}"/>
    <cellStyle name="Comma  - Style3" xfId="526" xr:uid="{00000000-0005-0000-0000-000076010000}"/>
    <cellStyle name="Comma  - Style4" xfId="457" xr:uid="{00000000-0005-0000-0000-000077010000}"/>
    <cellStyle name="Comma  - Style5" xfId="511" xr:uid="{00000000-0005-0000-0000-000078010000}"/>
    <cellStyle name="Comma  - Style6" xfId="527" xr:uid="{00000000-0005-0000-0000-000079010000}"/>
    <cellStyle name="Comma  - Style7" xfId="528" xr:uid="{00000000-0005-0000-0000-00007A010000}"/>
    <cellStyle name="Comma  - Style8" xfId="530" xr:uid="{00000000-0005-0000-0000-00007B010000}"/>
    <cellStyle name="Comma (1)" xfId="532" xr:uid="{00000000-0005-0000-0000-00007C010000}"/>
    <cellStyle name="Comma (K)" xfId="533" xr:uid="{00000000-0005-0000-0000-00007D010000}"/>
    <cellStyle name="Comma [00]" xfId="534" xr:uid="{00000000-0005-0000-0000-00007E010000}"/>
    <cellStyle name="Comma [1]" xfId="411" xr:uid="{00000000-0005-0000-0000-00007F010000}"/>
    <cellStyle name="Comma [2]" xfId="535" xr:uid="{00000000-0005-0000-0000-000080010000}"/>
    <cellStyle name="Comma 2" xfId="537" xr:uid="{00000000-0005-0000-0000-000081010000}"/>
    <cellStyle name="Comma 3" xfId="538" xr:uid="{00000000-0005-0000-0000-000082010000}"/>
    <cellStyle name="Comma 4" xfId="539" xr:uid="{00000000-0005-0000-0000-000083010000}"/>
    <cellStyle name="Comma 5" xfId="540" xr:uid="{00000000-0005-0000-0000-000084010000}"/>
    <cellStyle name="Comma 5 2" xfId="541" xr:uid="{00000000-0005-0000-0000-000085010000}"/>
    <cellStyle name="Comma 6" xfId="542" xr:uid="{00000000-0005-0000-0000-000086010000}"/>
    <cellStyle name="Comma 7" xfId="136" xr:uid="{00000000-0005-0000-0000-000087010000}"/>
    <cellStyle name="Comma 8" xfId="179" xr:uid="{00000000-0005-0000-0000-000088010000}"/>
    <cellStyle name="Comma[1]" xfId="543" xr:uid="{00000000-0005-0000-0000-000089010000}"/>
    <cellStyle name="Comma0" xfId="128" xr:uid="{00000000-0005-0000-0000-00008A010000}"/>
    <cellStyle name="Comma2d" xfId="545" xr:uid="{00000000-0005-0000-0000-00008B010000}"/>
    <cellStyle name="comma3d" xfId="546" xr:uid="{00000000-0005-0000-0000-00008C010000}"/>
    <cellStyle name="Cost" xfId="547" xr:uid="{00000000-0005-0000-0000-00008D010000}"/>
    <cellStyle name="Cube Heading" xfId="548" xr:uid="{00000000-0005-0000-0000-00008E010000}"/>
    <cellStyle name="Cur" xfId="35" xr:uid="{00000000-0005-0000-0000-00008F010000}"/>
    <cellStyle name="Currency (2dp)" xfId="480" xr:uid="{00000000-0005-0000-0000-000090010000}"/>
    <cellStyle name="Currency [00]" xfId="216" xr:uid="{00000000-0005-0000-0000-000091010000}"/>
    <cellStyle name="Currency [1]" xfId="549" xr:uid="{00000000-0005-0000-0000-000092010000}"/>
    <cellStyle name="Currency [2]" xfId="95" xr:uid="{00000000-0005-0000-0000-000093010000}"/>
    <cellStyle name="Currency Dollar" xfId="3" xr:uid="{00000000-0005-0000-0000-000094010000}"/>
    <cellStyle name="Currency Dollar (2dp)" xfId="227" xr:uid="{00000000-0005-0000-0000-000095010000}"/>
    <cellStyle name="Currency EUR" xfId="70" xr:uid="{00000000-0005-0000-0000-000096010000}"/>
    <cellStyle name="Currency EUR (2dp)" xfId="166" xr:uid="{00000000-0005-0000-0000-000097010000}"/>
    <cellStyle name="Currency Euro" xfId="553" xr:uid="{00000000-0005-0000-0000-000098010000}"/>
    <cellStyle name="Currency Euro (2dp)" xfId="26" xr:uid="{00000000-0005-0000-0000-000099010000}"/>
    <cellStyle name="Currency GBP" xfId="555" xr:uid="{00000000-0005-0000-0000-00009A010000}"/>
    <cellStyle name="Currency GBP (2dp)" xfId="37" xr:uid="{00000000-0005-0000-0000-00009B010000}"/>
    <cellStyle name="Currency Pound" xfId="205" xr:uid="{00000000-0005-0000-0000-00009C010000}"/>
    <cellStyle name="Currency Pound (2dp)" xfId="240" xr:uid="{00000000-0005-0000-0000-00009D010000}"/>
    <cellStyle name="Currency USD" xfId="556" xr:uid="{00000000-0005-0000-0000-00009E010000}"/>
    <cellStyle name="Currency USD (2dp)" xfId="254" xr:uid="{00000000-0005-0000-0000-00009F010000}"/>
    <cellStyle name="Currency-Denomination" xfId="15" xr:uid="{00000000-0005-0000-0000-0000A1010000}"/>
    <cellStyle name="Currency0" xfId="471" xr:uid="{00000000-0005-0000-0000-0000A0010000}"/>
    <cellStyle name="čárky [0]_rozvaha02" xfId="161" xr:uid="{00000000-0005-0000-0000-0000A2010000}"/>
    <cellStyle name="čárky 2" xfId="449" xr:uid="{00000000-0005-0000-0000-0000A3010000}"/>
    <cellStyle name="Čiarka" xfId="1459" builtinId="3"/>
    <cellStyle name="čiarky 10" xfId="557" xr:uid="{00000000-0005-0000-0000-0000A4010000}"/>
    <cellStyle name="čiarky 11" xfId="176" xr:uid="{00000000-0005-0000-0000-0000A5010000}"/>
    <cellStyle name="čiarky 2" xfId="455" xr:uid="{00000000-0005-0000-0000-0000A6010000}"/>
    <cellStyle name="čiarky 2 10" xfId="87" xr:uid="{00000000-0005-0000-0000-0000A7010000}"/>
    <cellStyle name="čiarky 2 11" xfId="319" xr:uid="{00000000-0005-0000-0000-0000A8010000}"/>
    <cellStyle name="čiarky 2 2" xfId="334" xr:uid="{00000000-0005-0000-0000-0000A9010000}"/>
    <cellStyle name="čiarky 2 3" xfId="164" xr:uid="{00000000-0005-0000-0000-0000AA010000}"/>
    <cellStyle name="čiarky 2 4" xfId="220" xr:uid="{00000000-0005-0000-0000-0000AB010000}"/>
    <cellStyle name="čiarky 2 5" xfId="336" xr:uid="{00000000-0005-0000-0000-0000AC010000}"/>
    <cellStyle name="čiarky 2 6" xfId="231" xr:uid="{00000000-0005-0000-0000-0000AD010000}"/>
    <cellStyle name="čiarky 2 7" xfId="558" xr:uid="{00000000-0005-0000-0000-0000AE010000}"/>
    <cellStyle name="čiarky 2 8" xfId="531" xr:uid="{00000000-0005-0000-0000-0000AF010000}"/>
    <cellStyle name="čiarky 2 9" xfId="559" xr:uid="{00000000-0005-0000-0000-0000B0010000}"/>
    <cellStyle name="čiarky 3" xfId="560" xr:uid="{00000000-0005-0000-0000-0000B1010000}"/>
    <cellStyle name="čiarky 4" xfId="561" xr:uid="{00000000-0005-0000-0000-0000B2010000}"/>
    <cellStyle name="čiarky 5" xfId="465" xr:uid="{00000000-0005-0000-0000-0000B3010000}"/>
    <cellStyle name="čiarky 6" xfId="304" xr:uid="{00000000-0005-0000-0000-0000B4010000}"/>
    <cellStyle name="čiarky 7" xfId="349" xr:uid="{00000000-0005-0000-0000-0000B5010000}"/>
    <cellStyle name="čiarky 8" xfId="352" xr:uid="{00000000-0005-0000-0000-0000B6010000}"/>
    <cellStyle name="čiarky_VAL_Capoterra_2009_09_22" xfId="425" xr:uid="{00000000-0005-0000-0000-0000B7010000}"/>
    <cellStyle name="čiarky_VAL_VZOR_2009_b" xfId="275" xr:uid="{00000000-0005-0000-0000-0000B8010000}"/>
    <cellStyle name="Dane wejściowe" xfId="374" xr:uid="{00000000-0005-0000-0000-0000B9010000}"/>
    <cellStyle name="Dane wyjściowe" xfId="563" xr:uid="{00000000-0005-0000-0000-0000BA010000}"/>
    <cellStyle name="Data" xfId="483" xr:uid="{00000000-0005-0000-0000-0000BB010000}"/>
    <cellStyle name="Data1" xfId="434" xr:uid="{00000000-0005-0000-0000-0000BC010000}"/>
    <cellStyle name="DataBases" xfId="564" xr:uid="{00000000-0005-0000-0000-0000BD010000}"/>
    <cellStyle name="DataPilot Category" xfId="554" xr:uid="{00000000-0005-0000-0000-0000BE010000}"/>
    <cellStyle name="DataPilot Corner" xfId="566" xr:uid="{00000000-0005-0000-0000-0000BF010000}"/>
    <cellStyle name="DataPilot Field" xfId="567" xr:uid="{00000000-0005-0000-0000-0000C0010000}"/>
    <cellStyle name="DataPilot Result" xfId="10" xr:uid="{00000000-0005-0000-0000-0000C1010000}"/>
    <cellStyle name="DataPilot Title" xfId="110" xr:uid="{00000000-0005-0000-0000-0000C2010000}"/>
    <cellStyle name="DataPilot Value" xfId="536" xr:uid="{00000000-0005-0000-0000-0000C3010000}"/>
    <cellStyle name="DataToHide" xfId="394" xr:uid="{00000000-0005-0000-0000-0000C4010000}"/>
    <cellStyle name="Date" xfId="431" xr:uid="{00000000-0005-0000-0000-0000C5010000}"/>
    <cellStyle name="Date (Month)" xfId="568" xr:uid="{00000000-0005-0000-0000-0000C6010000}"/>
    <cellStyle name="Date (Year)" xfId="524" xr:uid="{00000000-0005-0000-0000-0000C7010000}"/>
    <cellStyle name="Date [mmm-yy]" xfId="281" xr:uid="{00000000-0005-0000-0000-0000C8010000}"/>
    <cellStyle name="Date Short" xfId="569" xr:uid="{00000000-0005-0000-0000-0000C9010000}"/>
    <cellStyle name="Date_AnalysysResearch_RR199_CEE_Mobile_Market_2006-11_dataannex" xfId="68" xr:uid="{00000000-0005-0000-0000-0000CA010000}"/>
    <cellStyle name="Date1" xfId="322" xr:uid="{00000000-0005-0000-0000-0000CB010000}"/>
    <cellStyle name="Datum" xfId="570" xr:uid="{00000000-0005-0000-0000-0000CC010000}"/>
    <cellStyle name="Dec_0" xfId="61" xr:uid="{00000000-0005-0000-0000-0000CD010000}"/>
    <cellStyle name="Decimal_0dp" xfId="571" xr:uid="{00000000-0005-0000-0000-0000CE010000}"/>
    <cellStyle name="DELTA" xfId="354" xr:uid="{00000000-0005-0000-0000-0000CF010000}"/>
    <cellStyle name="Deviant" xfId="572" xr:uid="{00000000-0005-0000-0000-0000D0010000}"/>
    <cellStyle name="Dezimal (0)" xfId="573" xr:uid="{00000000-0005-0000-0000-0000D1010000}"/>
    <cellStyle name="Dezimal [0]_AfA" xfId="574" xr:uid="{00000000-0005-0000-0000-0000D2010000}"/>
    <cellStyle name="Dezimal_AB1+2Markt und Umsatz.XLS" xfId="575" xr:uid="{00000000-0005-0000-0000-0000D3010000}"/>
    <cellStyle name="Dobrá" xfId="576" xr:uid="{00000000-0005-0000-0000-0000D4010000}"/>
    <cellStyle name="Dobrá 2" xfId="27" xr:uid="{00000000-0005-0000-0000-0000D5010000}"/>
    <cellStyle name="Dobrá 3" xfId="51" xr:uid="{00000000-0005-0000-0000-0000D6010000}"/>
    <cellStyle name="Dobre" xfId="578" xr:uid="{00000000-0005-0000-0000-0000D7010000}"/>
    <cellStyle name="Dollar1" xfId="579" xr:uid="{00000000-0005-0000-0000-0000D8010000}"/>
    <cellStyle name="Dollar1Blue" xfId="582" xr:uid="{00000000-0005-0000-0000-0000D9010000}"/>
    <cellStyle name="Dollar2" xfId="550" xr:uid="{00000000-0005-0000-0000-0000DA010000}"/>
    <cellStyle name="Dollars" xfId="583" xr:uid="{00000000-0005-0000-0000-0000DB010000}"/>
    <cellStyle name="données" xfId="584" xr:uid="{00000000-0005-0000-0000-0000DC010000}"/>
    <cellStyle name="donnéesbord" xfId="585" xr:uid="{00000000-0005-0000-0000-0000DD010000}"/>
    <cellStyle name="Dotted_Underline" xfId="586" xr:uid="{00000000-0005-0000-0000-0000DE010000}"/>
    <cellStyle name="Double Accounting" xfId="587" xr:uid="{00000000-0005-0000-0000-0000DF010000}"/>
    <cellStyle name="Double_sum" xfId="255" xr:uid="{00000000-0005-0000-0000-0000E0010000}"/>
    <cellStyle name="Dziesiêtny [0]_1" xfId="589" xr:uid="{00000000-0005-0000-0000-0000E1010000}"/>
    <cellStyle name="Dziesiętny [0]_AFLOPA" xfId="590" xr:uid="{00000000-0005-0000-0000-0000E2010000}"/>
    <cellStyle name="Dziesiętny 2" xfId="591" xr:uid="{00000000-0005-0000-0000-0000E3010000}"/>
    <cellStyle name="Dziesiêtny_1" xfId="592" xr:uid="{00000000-0005-0000-0000-0000E4010000}"/>
    <cellStyle name="Dziesiętny_AFLOPA" xfId="594" xr:uid="{00000000-0005-0000-0000-0000E5010000}"/>
    <cellStyle name="Dziesiêtny_SPIS TREŒCI" xfId="343" xr:uid="{00000000-0005-0000-0000-0000E6010000}"/>
    <cellStyle name="Dziesiętny_SPIS TREŚCI" xfId="523" xr:uid="{00000000-0005-0000-0000-0000E7010000}"/>
    <cellStyle name="Eingabe" xfId="433" xr:uid="{00000000-0005-0000-0000-0000E8010000}"/>
    <cellStyle name="Ellenőrzőcella" xfId="596" xr:uid="{00000000-0005-0000-0000-0000E9010000}"/>
    <cellStyle name="Emphasis 1" xfId="597" xr:uid="{00000000-0005-0000-0000-0000EA010000}"/>
    <cellStyle name="Emphasis 2" xfId="373" xr:uid="{00000000-0005-0000-0000-0000EB010000}"/>
    <cellStyle name="Emphasis 3" xfId="598" xr:uid="{00000000-0005-0000-0000-0000EC010000}"/>
    <cellStyle name="Enter Currency (0)" xfId="599" xr:uid="{00000000-0005-0000-0000-0000ED010000}"/>
    <cellStyle name="Enter Currency (2)" xfId="602" xr:uid="{00000000-0005-0000-0000-0000EE010000}"/>
    <cellStyle name="Enter Units (0)" xfId="603" xr:uid="{00000000-0005-0000-0000-0000EF010000}"/>
    <cellStyle name="Enter Units (1)" xfId="604" xr:uid="{00000000-0005-0000-0000-0000F0010000}"/>
    <cellStyle name="Enter Units (2)" xfId="605" xr:uid="{00000000-0005-0000-0000-0000F1010000}"/>
    <cellStyle name="Entities" xfId="606" xr:uid="{00000000-0005-0000-0000-0000F2010000}"/>
    <cellStyle name="Ergebnis" xfId="607" xr:uid="{00000000-0005-0000-0000-0000F3010000}"/>
    <cellStyle name="Erklärender Text" xfId="608" xr:uid="{00000000-0005-0000-0000-0000F4010000}"/>
    <cellStyle name="Estimate" xfId="609" xr:uid="{00000000-0005-0000-0000-0000F5010000}"/>
    <cellStyle name="Euro" xfId="610" xr:uid="{00000000-0005-0000-0000-0000F6010000}"/>
    <cellStyle name="EY0dp" xfId="611" xr:uid="{00000000-0005-0000-0000-0000F7010000}"/>
    <cellStyle name="Ezres_Inp Reports Poland F03 PF1-1" xfId="612" xr:uid="{00000000-0005-0000-0000-0000F8010000}"/>
    <cellStyle name="Factor" xfId="613" xr:uid="{00000000-0005-0000-0000-0000F9010000}"/>
    <cellStyle name="Figyelmeztetés" xfId="614" xr:uid="{00000000-0005-0000-0000-0000FA010000}"/>
    <cellStyle name="Final_Data" xfId="65" xr:uid="{00000000-0005-0000-0000-0000FB010000}"/>
    <cellStyle name="Finanční0" xfId="617" xr:uid="{00000000-0005-0000-0000-0000FD010000}"/>
    <cellStyle name="Finann¡" xfId="616" xr:uid="{00000000-0005-0000-0000-0000FC010000}"/>
    <cellStyle name="Fixed" xfId="618" xr:uid="{00000000-0005-0000-0000-0000FE010000}"/>
    <cellStyle name="Footnote" xfId="619" xr:uid="{00000000-0005-0000-0000-0000FF010000}"/>
    <cellStyle name="Forecast Cell Column Heading" xfId="620" xr:uid="{00000000-0005-0000-0000-000000020000}"/>
    <cellStyle name="fx_rates" xfId="621" xr:uid="{00000000-0005-0000-0000-000001020000}"/>
    <cellStyle name="Green" xfId="622" xr:uid="{00000000-0005-0000-0000-000002020000}"/>
    <cellStyle name="Grey" xfId="623" xr:uid="{00000000-0005-0000-0000-000003020000}"/>
    <cellStyle name="Group Headings" xfId="624" xr:uid="{00000000-0005-0000-0000-000004020000}"/>
    <cellStyle name="Gut" xfId="625" xr:uid="{00000000-0005-0000-0000-000005020000}"/>
    <cellStyle name="H0" xfId="626" xr:uid="{00000000-0005-0000-0000-000006020000}"/>
    <cellStyle name="H1" xfId="627" xr:uid="{00000000-0005-0000-0000-000007020000}"/>
    <cellStyle name="H2" xfId="628" xr:uid="{00000000-0005-0000-0000-000008020000}"/>
    <cellStyle name="H3" xfId="629" xr:uid="{00000000-0005-0000-0000-000009020000}"/>
    <cellStyle name="H4" xfId="630" xr:uid="{00000000-0005-0000-0000-00000A020000}"/>
    <cellStyle name="Header" xfId="631" xr:uid="{00000000-0005-0000-0000-00000B020000}"/>
    <cellStyle name="Header 3" xfId="632" xr:uid="{00000000-0005-0000-0000-00000C020000}"/>
    <cellStyle name="Header_Debreceni Group Models" xfId="634" xr:uid="{00000000-0005-0000-0000-00000D020000}"/>
    <cellStyle name="Header1" xfId="636" xr:uid="{00000000-0005-0000-0000-00000E020000}"/>
    <cellStyle name="Header2" xfId="637" xr:uid="{00000000-0005-0000-0000-00000F020000}"/>
    <cellStyle name="Heading" xfId="577" xr:uid="{00000000-0005-0000-0000-000010020000}"/>
    <cellStyle name="Heading Left" xfId="638" xr:uid="{00000000-0005-0000-0000-000011020000}"/>
    <cellStyle name="Heading Right" xfId="639" xr:uid="{00000000-0005-0000-0000-000012020000}"/>
    <cellStyle name="Heading1" xfId="640" xr:uid="{00000000-0005-0000-0000-000013020000}"/>
    <cellStyle name="heading2" xfId="642" xr:uid="{00000000-0005-0000-0000-000014020000}"/>
    <cellStyle name="HeadingS" xfId="643" xr:uid="{00000000-0005-0000-0000-000015020000}"/>
    <cellStyle name="Hide" xfId="644" xr:uid="{00000000-0005-0000-0000-000016020000}"/>
    <cellStyle name="Highlight" xfId="645" xr:uid="{00000000-0005-0000-0000-000017020000}"/>
    <cellStyle name="Hiperhivatkozás" xfId="646" xr:uid="{00000000-0005-0000-0000-000018020000}"/>
    <cellStyle name="Hipervínculo visitado_EVA TREE PF" xfId="647" xr:uid="{00000000-0005-0000-0000-000019020000}"/>
    <cellStyle name="Hipervínculo_EVA TREE PF" xfId="649" xr:uid="{00000000-0005-0000-0000-00001A020000}"/>
    <cellStyle name="Hivatkozott cella" xfId="650" xr:uid="{00000000-0005-0000-0000-00001B020000}"/>
    <cellStyle name="Hyperlink 2" xfId="652" xr:uid="{00000000-0005-0000-0000-00001C020000}"/>
    <cellStyle name="Hyperlink 3" xfId="653" xr:uid="{00000000-0005-0000-0000-00001D020000}"/>
    <cellStyle name="Hypertextové prepojenie" xfId="31" builtinId="8"/>
    <cellStyle name="Hypertextové prepojenie 2" xfId="655" xr:uid="{00000000-0005-0000-0000-00001F020000}"/>
    <cellStyle name="Hypertextový odkaz 2" xfId="656" xr:uid="{00000000-0005-0000-0000-000020020000}"/>
    <cellStyle name="Hypertextový odkaz_prehlad SPV" xfId="657" xr:uid="{00000000-0005-0000-0000-000021020000}"/>
    <cellStyle name="Check" xfId="133" xr:uid="{00000000-0005-0000-0000-000022020000}"/>
    <cellStyle name="Checksum" xfId="309" xr:uid="{00000000-0005-0000-0000-000023020000}"/>
    <cellStyle name="ICO" xfId="658" xr:uid="{00000000-0005-0000-0000-000024020000}"/>
    <cellStyle name="Indirect Reference" xfId="659" xr:uid="{00000000-0005-0000-0000-000025020000}"/>
    <cellStyle name="Input .0" xfId="665" xr:uid="{00000000-0005-0000-0000-00002B020000}"/>
    <cellStyle name="Input .00" xfId="666" xr:uid="{00000000-0005-0000-0000-00002C020000}"/>
    <cellStyle name="Input .000" xfId="667" xr:uid="{00000000-0005-0000-0000-00002D020000}"/>
    <cellStyle name="Input (estimate)" xfId="664" xr:uid="{00000000-0005-0000-0000-00002A020000}"/>
    <cellStyle name="Input [yellow]" xfId="670" xr:uid="{00000000-0005-0000-0000-00002E020000}"/>
    <cellStyle name="Input %" xfId="660" xr:uid="{00000000-0005-0000-0000-000026020000}"/>
    <cellStyle name="Input % .0" xfId="661" xr:uid="{00000000-0005-0000-0000-000027020000}"/>
    <cellStyle name="Input % .00" xfId="36" xr:uid="{00000000-0005-0000-0000-000028020000}"/>
    <cellStyle name="Input %_Debreceni Group Models" xfId="663" xr:uid="{00000000-0005-0000-0000-000029020000}"/>
    <cellStyle name="Input 0.00" xfId="671" xr:uid="{00000000-0005-0000-0000-00002F020000}"/>
    <cellStyle name="Input calculation" xfId="672" xr:uid="{00000000-0005-0000-0000-000030020000}"/>
    <cellStyle name="Input currency" xfId="673" xr:uid="{00000000-0005-0000-0000-000031020000}"/>
    <cellStyle name="Input data" xfId="674" xr:uid="{00000000-0005-0000-0000-000032020000}"/>
    <cellStyle name="Input estimate" xfId="675" xr:uid="{00000000-0005-0000-0000-000033020000}"/>
    <cellStyle name="Input from Analysys" xfId="676" xr:uid="{00000000-0005-0000-0000-000034020000}"/>
    <cellStyle name="Input link" xfId="677" xr:uid="{00000000-0005-0000-0000-000035020000}"/>
    <cellStyle name="Input link (different workbook)" xfId="79" xr:uid="{00000000-0005-0000-0000-000036020000}"/>
    <cellStyle name="Input Link_AnalysysResearch_RR199_CEE_Mobile_Market_2006-11_dataannex" xfId="678" xr:uid="{00000000-0005-0000-0000-000037020000}"/>
    <cellStyle name="Input Number" xfId="681" xr:uid="{00000000-0005-0000-0000-000038020000}"/>
    <cellStyle name="Input parameter" xfId="683" xr:uid="{00000000-0005-0000-0000-000039020000}"/>
    <cellStyle name="Input percent" xfId="684" xr:uid="{00000000-0005-0000-0000-00003A020000}"/>
    <cellStyle name="Input Scientific" xfId="685" xr:uid="{00000000-0005-0000-0000-00003B020000}"/>
    <cellStyle name="Input text" xfId="686" xr:uid="{00000000-0005-0000-0000-00003C020000}"/>
    <cellStyle name="Input%" xfId="687" xr:uid="{00000000-0005-0000-0000-00003D020000}"/>
    <cellStyle name="inputcell" xfId="688" xr:uid="{00000000-0005-0000-0000-00003E020000}"/>
    <cellStyle name="InputComma" xfId="691" xr:uid="{00000000-0005-0000-0000-00003F020000}"/>
    <cellStyle name="InputComma2d" xfId="692" xr:uid="{00000000-0005-0000-0000-000040020000}"/>
    <cellStyle name="InputDate" xfId="693" xr:uid="{00000000-0005-0000-0000-000041020000}"/>
    <cellStyle name="InputPercent" xfId="694" xr:uid="{00000000-0005-0000-0000-000042020000}"/>
    <cellStyle name="Jegyzet" xfId="695" xr:uid="{00000000-0005-0000-0000-000043020000}"/>
    <cellStyle name="Jelölőszín (1)" xfId="696" xr:uid="{00000000-0005-0000-0000-000044020000}"/>
    <cellStyle name="Jelölőszín (2)" xfId="697" xr:uid="{00000000-0005-0000-0000-000045020000}"/>
    <cellStyle name="Jelölőszín (3)" xfId="698" xr:uid="{00000000-0005-0000-0000-000046020000}"/>
    <cellStyle name="Jelölőszín (4)" xfId="699" xr:uid="{00000000-0005-0000-0000-000047020000}"/>
    <cellStyle name="Jelölőszín (5)" xfId="700" xr:uid="{00000000-0005-0000-0000-000048020000}"/>
    <cellStyle name="Jelölőszín (6)" xfId="701" xr:uid="{00000000-0005-0000-0000-000049020000}"/>
    <cellStyle name="Jó" xfId="491" xr:uid="{00000000-0005-0000-0000-00004A020000}"/>
    <cellStyle name="kapitola" xfId="702" xr:uid="{00000000-0005-0000-0000-00004B020000}"/>
    <cellStyle name="Kimenet" xfId="703" xr:uid="{00000000-0005-0000-0000-00004C020000}"/>
    <cellStyle name="Komórka połączona" xfId="682" xr:uid="{00000000-0005-0000-0000-00004D020000}"/>
    <cellStyle name="Komórka zaznaczona" xfId="704" xr:uid="{00000000-0005-0000-0000-00004E020000}"/>
    <cellStyle name="Kontrolná bunka" xfId="705" xr:uid="{00000000-0005-0000-0000-00004F020000}"/>
    <cellStyle name="Kontrolná bunka 2" xfId="706" xr:uid="{00000000-0005-0000-0000-000050020000}"/>
    <cellStyle name="Kontrolná bunka 3" xfId="707" xr:uid="{00000000-0005-0000-0000-000051020000}"/>
    <cellStyle name="KPMG Heading 1" xfId="270" xr:uid="{00000000-0005-0000-0000-000052020000}"/>
    <cellStyle name="KPMG Heading 2" xfId="104" xr:uid="{00000000-0005-0000-0000-000053020000}"/>
    <cellStyle name="KPMG Heading 3" xfId="272" xr:uid="{00000000-0005-0000-0000-000054020000}"/>
    <cellStyle name="KPMG Heading 4" xfId="709" xr:uid="{00000000-0005-0000-0000-000055020000}"/>
    <cellStyle name="KPMG Normal" xfId="710" xr:uid="{00000000-0005-0000-0000-000056020000}"/>
    <cellStyle name="KPMG Normal Text" xfId="711" xr:uid="{00000000-0005-0000-0000-000057020000}"/>
    <cellStyle name="Lable8Left" xfId="712" xr:uid="{00000000-0005-0000-0000-000058020000}"/>
    <cellStyle name="Level_Information" xfId="713" xr:uid="{00000000-0005-0000-0000-000059020000}"/>
    <cellStyle name="LineItemPrompt" xfId="714" xr:uid="{00000000-0005-0000-0000-00005A020000}"/>
    <cellStyle name="LineItemValue" xfId="715" xr:uid="{00000000-0005-0000-0000-00005B020000}"/>
    <cellStyle name="Link Currency (0)" xfId="718" xr:uid="{00000000-0005-0000-0000-00005C020000}"/>
    <cellStyle name="Link Currency (2)" xfId="719" xr:uid="{00000000-0005-0000-0000-00005D020000}"/>
    <cellStyle name="Link Units (0)" xfId="720" xr:uid="{00000000-0005-0000-0000-00005E020000}"/>
    <cellStyle name="Link Units (1)" xfId="721" xr:uid="{00000000-0005-0000-0000-00005F020000}"/>
    <cellStyle name="Link Units (2)" xfId="722" xr:uid="{00000000-0005-0000-0000-000060020000}"/>
    <cellStyle name="LookUpText" xfId="723" xr:uid="{00000000-0005-0000-0000-000061020000}"/>
    <cellStyle name="LTM Cell Column Heading" xfId="725" xr:uid="{00000000-0005-0000-0000-000062020000}"/>
    <cellStyle name="Magyarázó szöveg" xfId="726" xr:uid="{00000000-0005-0000-0000-000063020000}"/>
    <cellStyle name="Main Menu Link" xfId="727" xr:uid="{00000000-0005-0000-0000-000064020000}"/>
    <cellStyle name="Main Title" xfId="728" xr:uid="{00000000-0005-0000-0000-000065020000}"/>
    <cellStyle name="MAND_x000d_CHECK.COMMAND_x000e_RENAME.COMMAND_x0008_SHOW.BAR_x000b_DELETE.MENU_x000e_DELETE.COMMAND_x000e_GET.CHA" xfId="9" xr:uid="{00000000-0005-0000-0000-000066020000}"/>
    <cellStyle name="Már látott hiperhivatkozás" xfId="565" xr:uid="{00000000-0005-0000-0000-000067020000}"/>
    <cellStyle name="meny 10" xfId="730" xr:uid="{00000000-0005-0000-0000-000068020000}"/>
    <cellStyle name="meny 11" xfId="412" xr:uid="{00000000-0005-0000-0000-000069020000}"/>
    <cellStyle name="meny 12" xfId="731" xr:uid="{00000000-0005-0000-0000-00006A020000}"/>
    <cellStyle name="meny 13" xfId="732" xr:uid="{00000000-0005-0000-0000-00006B020000}"/>
    <cellStyle name="meny 14" xfId="733" xr:uid="{00000000-0005-0000-0000-00006C020000}"/>
    <cellStyle name="meny 15" xfId="734" xr:uid="{00000000-0005-0000-0000-00006D020000}"/>
    <cellStyle name="meny 16" xfId="736" xr:uid="{00000000-0005-0000-0000-00006E020000}"/>
    <cellStyle name="meny 17" xfId="738" xr:uid="{00000000-0005-0000-0000-00006F020000}"/>
    <cellStyle name="meny 18" xfId="740" xr:uid="{00000000-0005-0000-0000-000070020000}"/>
    <cellStyle name="meny 19" xfId="741" xr:uid="{00000000-0005-0000-0000-000071020000}"/>
    <cellStyle name="meny 2" xfId="742" xr:uid="{00000000-0005-0000-0000-000072020000}"/>
    <cellStyle name="meny 2 2" xfId="305" xr:uid="{00000000-0005-0000-0000-000073020000}"/>
    <cellStyle name="meny 20" xfId="735" xr:uid="{00000000-0005-0000-0000-000074020000}"/>
    <cellStyle name="meny 21" xfId="737" xr:uid="{00000000-0005-0000-0000-000075020000}"/>
    <cellStyle name="meny 3" xfId="743" xr:uid="{00000000-0005-0000-0000-000076020000}"/>
    <cellStyle name="meny 3 2" xfId="668" xr:uid="{00000000-0005-0000-0000-000077020000}"/>
    <cellStyle name="meny 4" xfId="744" xr:uid="{00000000-0005-0000-0000-000078020000}"/>
    <cellStyle name="meny 5" xfId="745" xr:uid="{00000000-0005-0000-0000-000079020000}"/>
    <cellStyle name="meny 6" xfId="746" xr:uid="{00000000-0005-0000-0000-00007A020000}"/>
    <cellStyle name="meny_kBat_CF limits" xfId="747" xr:uid="{00000000-0005-0000-0000-00007B020000}"/>
    <cellStyle name="Millares [0]_(A) Assmp" xfId="749" xr:uid="{00000000-0005-0000-0000-00007C020000}"/>
    <cellStyle name="Millares_(A) Assmp" xfId="750" xr:uid="{00000000-0005-0000-0000-00007D020000}"/>
    <cellStyle name="Milliers [0]_Feuil1" xfId="751" xr:uid="{00000000-0005-0000-0000-00007E020000}"/>
    <cellStyle name="Milliers_Feuil1" xfId="752" xr:uid="{00000000-0005-0000-0000-00007F020000}"/>
    <cellStyle name="Millions" xfId="407" xr:uid="{00000000-0005-0000-0000-000080020000}"/>
    <cellStyle name="Millions [1]" xfId="753" xr:uid="{00000000-0005-0000-0000-000081020000}"/>
    <cellStyle name="mm/dd/yy" xfId="754" xr:uid="{00000000-0005-0000-0000-000082020000}"/>
    <cellStyle name="Model" xfId="755" xr:uid="{00000000-0005-0000-0000-000083020000}"/>
    <cellStyle name="Møna" xfId="756" xr:uid="{00000000-0005-0000-0000-000084020000}"/>
    <cellStyle name="Moneda [0]_(A) Assmp" xfId="757" xr:uid="{00000000-0005-0000-0000-000085020000}"/>
    <cellStyle name="Moneda_(A) Assmp" xfId="758" xr:uid="{00000000-0005-0000-0000-000086020000}"/>
    <cellStyle name="Monétaire [0]_Feuil1" xfId="759" xr:uid="{00000000-0005-0000-0000-000087020000}"/>
    <cellStyle name="Monétaire_Feuil1" xfId="12" xr:uid="{00000000-0005-0000-0000-000088020000}"/>
    <cellStyle name="Mult No x" xfId="760" xr:uid="{00000000-0005-0000-0000-000089020000}"/>
    <cellStyle name="Mult With x" xfId="761" xr:uid="{00000000-0005-0000-0000-00008A020000}"/>
    <cellStyle name="Multiple" xfId="762" xr:uid="{00000000-0005-0000-0000-00008B020000}"/>
    <cellStyle name="Multiple (no x)" xfId="763" xr:uid="{00000000-0005-0000-0000-00008C020000}"/>
    <cellStyle name="Multiple (x)" xfId="764" xr:uid="{00000000-0005-0000-0000-00008D020000}"/>
    <cellStyle name="Multiple [0]" xfId="765" xr:uid="{00000000-0005-0000-0000-00008E020000}"/>
    <cellStyle name="Multiple Cell Column Heading" xfId="244" xr:uid="{00000000-0005-0000-0000-00008F020000}"/>
    <cellStyle name="Multiple_Answers_supporting tables0913" xfId="766" xr:uid="{00000000-0005-0000-0000-000090020000}"/>
    <cellStyle name="Nadpis 1 2" xfId="767" xr:uid="{00000000-0005-0000-0000-000091020000}"/>
    <cellStyle name="Nadpis 1 3" xfId="393" xr:uid="{00000000-0005-0000-0000-000092020000}"/>
    <cellStyle name="Nadpis 2 2" xfId="768" xr:uid="{00000000-0005-0000-0000-000093020000}"/>
    <cellStyle name="Nadpis 2 3" xfId="770" xr:uid="{00000000-0005-0000-0000-000094020000}"/>
    <cellStyle name="Nadpis 3 2" xfId="772" xr:uid="{00000000-0005-0000-0000-000095020000}"/>
    <cellStyle name="Nadpis 3 3" xfId="773" xr:uid="{00000000-0005-0000-0000-000096020000}"/>
    <cellStyle name="Nadpis 4 2" xfId="774" xr:uid="{00000000-0005-0000-0000-000097020000}"/>
    <cellStyle name="Nadpis 4 3" xfId="776" xr:uid="{00000000-0005-0000-0000-000098020000}"/>
    <cellStyle name="Nagłówek 1" xfId="777" xr:uid="{00000000-0005-0000-0000-000099020000}"/>
    <cellStyle name="Nagłówek 2" xfId="778" xr:uid="{00000000-0005-0000-0000-00009A020000}"/>
    <cellStyle name="Nagłówek 3" xfId="779" xr:uid="{00000000-0005-0000-0000-00009B020000}"/>
    <cellStyle name="Nagłówek 4" xfId="780" xr:uid="{00000000-0005-0000-0000-00009C020000}"/>
    <cellStyle name="Name" xfId="781" xr:uid="{00000000-0005-0000-0000-00009D020000}"/>
    <cellStyle name="Název" xfId="784" xr:uid="{00000000-0005-0000-0000-00009E020000}"/>
    <cellStyle name="Nazov" xfId="785" xr:uid="{00000000-0005-0000-0000-00009F020000}"/>
    <cellStyle name="Nedefinov n" xfId="210" xr:uid="{00000000-0005-0000-0000-0000A0020000}"/>
    <cellStyle name="Nechranena" xfId="786" xr:uid="{00000000-0005-0000-0000-0000A1020000}"/>
    <cellStyle name="Neutrálna" xfId="787" xr:uid="{00000000-0005-0000-0000-0000A2020000}"/>
    <cellStyle name="Neutrálna 2" xfId="788" xr:uid="{00000000-0005-0000-0000-0000A3020000}"/>
    <cellStyle name="Neutrálna 3" xfId="789" xr:uid="{00000000-0005-0000-0000-0000A4020000}"/>
    <cellStyle name="Neutralne" xfId="790" xr:uid="{00000000-0005-0000-0000-0000A5020000}"/>
    <cellStyle name="no dec" xfId="791" xr:uid="{00000000-0005-0000-0000-0000A6020000}"/>
    <cellStyle name="Normal - Style1" xfId="73" xr:uid="{00000000-0005-0000-0000-0000A7020000}"/>
    <cellStyle name="Normal 10" xfId="793" xr:uid="{00000000-0005-0000-0000-0000A8020000}"/>
    <cellStyle name="Normal 11" xfId="1458" xr:uid="{9D2B61BF-6071-4CDE-8026-DC462BB392FC}"/>
    <cellStyle name="Normal 17_Carnibona_strategy_2009_2012" xfId="794" xr:uid="{00000000-0005-0000-0000-0000A9020000}"/>
    <cellStyle name="Normal 2" xfId="795" xr:uid="{00000000-0005-0000-0000-0000AA020000}"/>
    <cellStyle name="Normál 2" xfId="796" xr:uid="{00000000-0005-0000-0000-0000AB020000}"/>
    <cellStyle name="Normal 2 2" xfId="798" xr:uid="{00000000-0005-0000-0000-0000AC020000}"/>
    <cellStyle name="Normal 3" xfId="800" xr:uid="{00000000-0005-0000-0000-0000AD020000}"/>
    <cellStyle name="Normal 3 2" xfId="801" xr:uid="{00000000-0005-0000-0000-0000AE020000}"/>
    <cellStyle name="Normal 3 3" xfId="803" xr:uid="{00000000-0005-0000-0000-0000AF020000}"/>
    <cellStyle name="Normal 3 4" xfId="805" xr:uid="{00000000-0005-0000-0000-0000B0020000}"/>
    <cellStyle name="Normal 4" xfId="806" xr:uid="{00000000-0005-0000-0000-0000B1020000}"/>
    <cellStyle name="Normal 4 2" xfId="807" xr:uid="{00000000-0005-0000-0000-0000B2020000}"/>
    <cellStyle name="Normal 5" xfId="808" xr:uid="{00000000-0005-0000-0000-0000B3020000}"/>
    <cellStyle name="Normal 6" xfId="809" xr:uid="{00000000-0005-0000-0000-0000B4020000}"/>
    <cellStyle name="Normal 7" xfId="810" xr:uid="{00000000-0005-0000-0000-0000B5020000}"/>
    <cellStyle name="Normal 7 2" xfId="32" xr:uid="{00000000-0005-0000-0000-0000B6020000}"/>
    <cellStyle name="Normal 8" xfId="811" xr:uid="{00000000-0005-0000-0000-0000B7020000}"/>
    <cellStyle name="Normal 8 2" xfId="812" xr:uid="{00000000-0005-0000-0000-0000B8020000}"/>
    <cellStyle name="Normal 9" xfId="813" xr:uid="{00000000-0005-0000-0000-0000B9020000}"/>
    <cellStyle name="Normal Bold" xfId="814" xr:uid="{00000000-0005-0000-0000-0000BA020000}"/>
    <cellStyle name="Normál_09_30" xfId="142" xr:uid="{00000000-0005-0000-0000-0000BB020000}"/>
    <cellStyle name="Normale_Laborav crude oils library" xfId="815" xr:uid="{00000000-0005-0000-0000-0000BC020000}"/>
    <cellStyle name="Normálna" xfId="0" builtinId="0"/>
    <cellStyle name="Normálna 2" xfId="1457" xr:uid="{3B878C92-3BBC-4801-9A07-447299FF19E8}"/>
    <cellStyle name="Normálna 3" xfId="1460" xr:uid="{3EA0AAB4-B3F8-F04C-9AEA-0545F7FAB431}"/>
    <cellStyle name="normálne 10" xfId="816" xr:uid="{00000000-0005-0000-0000-0000BE020000}"/>
    <cellStyle name="normálne 100" xfId="817" xr:uid="{00000000-0005-0000-0000-0000BF020000}"/>
    <cellStyle name="normálne 101" xfId="818" xr:uid="{00000000-0005-0000-0000-0000C0020000}"/>
    <cellStyle name="normálne 102" xfId="819" xr:uid="{00000000-0005-0000-0000-0000C1020000}"/>
    <cellStyle name="normálne 103" xfId="820" xr:uid="{00000000-0005-0000-0000-0000C2020000}"/>
    <cellStyle name="normálne 104" xfId="821" xr:uid="{00000000-0005-0000-0000-0000C3020000}"/>
    <cellStyle name="normálne 105" xfId="822" xr:uid="{00000000-0005-0000-0000-0000C4020000}"/>
    <cellStyle name="normálne 106" xfId="824" xr:uid="{00000000-0005-0000-0000-0000C5020000}"/>
    <cellStyle name="normálne 107" xfId="826" xr:uid="{00000000-0005-0000-0000-0000C6020000}"/>
    <cellStyle name="normálne 108" xfId="24" xr:uid="{00000000-0005-0000-0000-0000C7020000}"/>
    <cellStyle name="normálne 109" xfId="496" xr:uid="{00000000-0005-0000-0000-0000C8020000}"/>
    <cellStyle name="normálne 11" xfId="544" xr:uid="{00000000-0005-0000-0000-0000C9020000}"/>
    <cellStyle name="normálne 110" xfId="823" xr:uid="{00000000-0005-0000-0000-0000CA020000}"/>
    <cellStyle name="normálne 111" xfId="825" xr:uid="{00000000-0005-0000-0000-0000CB020000}"/>
    <cellStyle name="normálne 112" xfId="827" xr:uid="{00000000-0005-0000-0000-0000CC020000}"/>
    <cellStyle name="normálne 113" xfId="23" xr:uid="{00000000-0005-0000-0000-0000CD020000}"/>
    <cellStyle name="normálne 113 10" xfId="828" xr:uid="{00000000-0005-0000-0000-0000CE020000}"/>
    <cellStyle name="normálne 114" xfId="497" xr:uid="{00000000-0005-0000-0000-0000CF020000}"/>
    <cellStyle name="normálne 115" xfId="829" xr:uid="{00000000-0005-0000-0000-0000D0020000}"/>
    <cellStyle name="normálne 116" xfId="832" xr:uid="{00000000-0005-0000-0000-0000D1020000}"/>
    <cellStyle name="normálne 117" xfId="834" xr:uid="{00000000-0005-0000-0000-0000D2020000}"/>
    <cellStyle name="normálne 118" xfId="836" xr:uid="{00000000-0005-0000-0000-0000D3020000}"/>
    <cellStyle name="normálne 119" xfId="286" xr:uid="{00000000-0005-0000-0000-0000D4020000}"/>
    <cellStyle name="normálne 12" xfId="838" xr:uid="{00000000-0005-0000-0000-0000D5020000}"/>
    <cellStyle name="normálne 120" xfId="830" xr:uid="{00000000-0005-0000-0000-0000D6020000}"/>
    <cellStyle name="normálne 121" xfId="833" xr:uid="{00000000-0005-0000-0000-0000D7020000}"/>
    <cellStyle name="normálne 122" xfId="835" xr:uid="{00000000-0005-0000-0000-0000D8020000}"/>
    <cellStyle name="normálne 123" xfId="837" xr:uid="{00000000-0005-0000-0000-0000D9020000}"/>
    <cellStyle name="normálne 124" xfId="285" xr:uid="{00000000-0005-0000-0000-0000DA020000}"/>
    <cellStyle name="normálne 125" xfId="290" xr:uid="{00000000-0005-0000-0000-0000DB020000}"/>
    <cellStyle name="normálne 126" xfId="839" xr:uid="{00000000-0005-0000-0000-0000DC020000}"/>
    <cellStyle name="normálne 127" xfId="841" xr:uid="{00000000-0005-0000-0000-0000DD020000}"/>
    <cellStyle name="normálne 128" xfId="843" xr:uid="{00000000-0005-0000-0000-0000DE020000}"/>
    <cellStyle name="normálne 129" xfId="845" xr:uid="{00000000-0005-0000-0000-0000DF020000}"/>
    <cellStyle name="normálne 13" xfId="847" xr:uid="{00000000-0005-0000-0000-0000E0020000}"/>
    <cellStyle name="normálne 130" xfId="289" xr:uid="{00000000-0005-0000-0000-0000E1020000}"/>
    <cellStyle name="normálne 131" xfId="840" xr:uid="{00000000-0005-0000-0000-0000E2020000}"/>
    <cellStyle name="normálne 132" xfId="842" xr:uid="{00000000-0005-0000-0000-0000E3020000}"/>
    <cellStyle name="normálne 133" xfId="844" xr:uid="{00000000-0005-0000-0000-0000E4020000}"/>
    <cellStyle name="normálne 134" xfId="846" xr:uid="{00000000-0005-0000-0000-0000E5020000}"/>
    <cellStyle name="normálne 135" xfId="849" xr:uid="{00000000-0005-0000-0000-0000E6020000}"/>
    <cellStyle name="normálne 136" xfId="851" xr:uid="{00000000-0005-0000-0000-0000E7020000}"/>
    <cellStyle name="normálne 137" xfId="853" xr:uid="{00000000-0005-0000-0000-0000E8020000}"/>
    <cellStyle name="normálne 138" xfId="855" xr:uid="{00000000-0005-0000-0000-0000E9020000}"/>
    <cellStyle name="normálne 139" xfId="857" xr:uid="{00000000-0005-0000-0000-0000EA020000}"/>
    <cellStyle name="normálne 14" xfId="859" xr:uid="{00000000-0005-0000-0000-0000EB020000}"/>
    <cellStyle name="normálne 140" xfId="850" xr:uid="{00000000-0005-0000-0000-0000EC020000}"/>
    <cellStyle name="normálne 141" xfId="852" xr:uid="{00000000-0005-0000-0000-0000ED020000}"/>
    <cellStyle name="normálne 142" xfId="854" xr:uid="{00000000-0005-0000-0000-0000EE020000}"/>
    <cellStyle name="normálne 143" xfId="856" xr:uid="{00000000-0005-0000-0000-0000EF020000}"/>
    <cellStyle name="normálne 144" xfId="858" xr:uid="{00000000-0005-0000-0000-0000F0020000}"/>
    <cellStyle name="normálne 145" xfId="860" xr:uid="{00000000-0005-0000-0000-0000F1020000}"/>
    <cellStyle name="normálne 146" xfId="863" xr:uid="{00000000-0005-0000-0000-0000F2020000}"/>
    <cellStyle name="normálne 147" xfId="865" xr:uid="{00000000-0005-0000-0000-0000F3020000}"/>
    <cellStyle name="normálne 148" xfId="867" xr:uid="{00000000-0005-0000-0000-0000F4020000}"/>
    <cellStyle name="normálne 149" xfId="869" xr:uid="{00000000-0005-0000-0000-0000F5020000}"/>
    <cellStyle name="normálne 15" xfId="872" xr:uid="{00000000-0005-0000-0000-0000F6020000}"/>
    <cellStyle name="normálne 150" xfId="861" xr:uid="{00000000-0005-0000-0000-0000F7020000}"/>
    <cellStyle name="normálne 151" xfId="864" xr:uid="{00000000-0005-0000-0000-0000F8020000}"/>
    <cellStyle name="normálne 152" xfId="866" xr:uid="{00000000-0005-0000-0000-0000F9020000}"/>
    <cellStyle name="normálne 153" xfId="868" xr:uid="{00000000-0005-0000-0000-0000FA020000}"/>
    <cellStyle name="normálne 154" xfId="870" xr:uid="{00000000-0005-0000-0000-0000FB020000}"/>
    <cellStyle name="normálne 155" xfId="874" xr:uid="{00000000-0005-0000-0000-0000FC020000}"/>
    <cellStyle name="normálne 156" xfId="877" xr:uid="{00000000-0005-0000-0000-0000FD020000}"/>
    <cellStyle name="normálne 157" xfId="880" xr:uid="{00000000-0005-0000-0000-0000FE020000}"/>
    <cellStyle name="normálne 158" xfId="882" xr:uid="{00000000-0005-0000-0000-0000FF020000}"/>
    <cellStyle name="normálne 159" xfId="64" xr:uid="{00000000-0005-0000-0000-000000030000}"/>
    <cellStyle name="normálne 16" xfId="884" xr:uid="{00000000-0005-0000-0000-000001030000}"/>
    <cellStyle name="normálne 160" xfId="875" xr:uid="{00000000-0005-0000-0000-000002030000}"/>
    <cellStyle name="normálne 161" xfId="878" xr:uid="{00000000-0005-0000-0000-000003030000}"/>
    <cellStyle name="normálne 162" xfId="881" xr:uid="{00000000-0005-0000-0000-000004030000}"/>
    <cellStyle name="normálne 163" xfId="883" xr:uid="{00000000-0005-0000-0000-000005030000}"/>
    <cellStyle name="normálne 164" xfId="63" xr:uid="{00000000-0005-0000-0000-000006030000}"/>
    <cellStyle name="normálne 165" xfId="886" xr:uid="{00000000-0005-0000-0000-000007030000}"/>
    <cellStyle name="normálne 166" xfId="888" xr:uid="{00000000-0005-0000-0000-000008030000}"/>
    <cellStyle name="normálne 167" xfId="890" xr:uid="{00000000-0005-0000-0000-000009030000}"/>
    <cellStyle name="normálne 168" xfId="892" xr:uid="{00000000-0005-0000-0000-00000A030000}"/>
    <cellStyle name="normálne 169" xfId="297" xr:uid="{00000000-0005-0000-0000-00000B030000}"/>
    <cellStyle name="normálne 17" xfId="894" xr:uid="{00000000-0005-0000-0000-00000C030000}"/>
    <cellStyle name="normálne 170" xfId="887" xr:uid="{00000000-0005-0000-0000-00000D030000}"/>
    <cellStyle name="normálne 171" xfId="889" xr:uid="{00000000-0005-0000-0000-00000E030000}"/>
    <cellStyle name="normálne 172" xfId="891" xr:uid="{00000000-0005-0000-0000-00000F030000}"/>
    <cellStyle name="normálne 173" xfId="893" xr:uid="{00000000-0005-0000-0000-000010030000}"/>
    <cellStyle name="normálne 174" xfId="296" xr:uid="{00000000-0005-0000-0000-000011030000}"/>
    <cellStyle name="normálne 175" xfId="300" xr:uid="{00000000-0005-0000-0000-000012030000}"/>
    <cellStyle name="normálne 176" xfId="896" xr:uid="{00000000-0005-0000-0000-000013030000}"/>
    <cellStyle name="normálne 177" xfId="898" xr:uid="{00000000-0005-0000-0000-000014030000}"/>
    <cellStyle name="normálne 178" xfId="900" xr:uid="{00000000-0005-0000-0000-000015030000}"/>
    <cellStyle name="normálne 179" xfId="902" xr:uid="{00000000-0005-0000-0000-000016030000}"/>
    <cellStyle name="normálne 18" xfId="904" xr:uid="{00000000-0005-0000-0000-000017030000}"/>
    <cellStyle name="normálne 180" xfId="299" xr:uid="{00000000-0005-0000-0000-000018030000}"/>
    <cellStyle name="normálne 181" xfId="897" xr:uid="{00000000-0005-0000-0000-000019030000}"/>
    <cellStyle name="normálne 182" xfId="899" xr:uid="{00000000-0005-0000-0000-00001A030000}"/>
    <cellStyle name="normálne 183" xfId="901" xr:uid="{00000000-0005-0000-0000-00001B030000}"/>
    <cellStyle name="normálne 184" xfId="903" xr:uid="{00000000-0005-0000-0000-00001C030000}"/>
    <cellStyle name="normálne 185" xfId="906" xr:uid="{00000000-0005-0000-0000-00001D030000}"/>
    <cellStyle name="normálne 186" xfId="908" xr:uid="{00000000-0005-0000-0000-00001E030000}"/>
    <cellStyle name="normálne 187" xfId="716" xr:uid="{00000000-0005-0000-0000-00001F030000}"/>
    <cellStyle name="normálne 188" xfId="910" xr:uid="{00000000-0005-0000-0000-000020030000}"/>
    <cellStyle name="normálne 189" xfId="912" xr:uid="{00000000-0005-0000-0000-000021030000}"/>
    <cellStyle name="normálne 19" xfId="914" xr:uid="{00000000-0005-0000-0000-000022030000}"/>
    <cellStyle name="normálne 190" xfId="907" xr:uid="{00000000-0005-0000-0000-000023030000}"/>
    <cellStyle name="normálne 191" xfId="909" xr:uid="{00000000-0005-0000-0000-000024030000}"/>
    <cellStyle name="normálne 192" xfId="717" xr:uid="{00000000-0005-0000-0000-000025030000}"/>
    <cellStyle name="normálne 193" xfId="911" xr:uid="{00000000-0005-0000-0000-000026030000}"/>
    <cellStyle name="normálne 194" xfId="913" xr:uid="{00000000-0005-0000-0000-000027030000}"/>
    <cellStyle name="normálne 195" xfId="916" xr:uid="{00000000-0005-0000-0000-000028030000}"/>
    <cellStyle name="normálne 196" xfId="918" xr:uid="{00000000-0005-0000-0000-000029030000}"/>
    <cellStyle name="normálne 197" xfId="920" xr:uid="{00000000-0005-0000-0000-00002A030000}"/>
    <cellStyle name="normálne 198" xfId="922" xr:uid="{00000000-0005-0000-0000-00002B030000}"/>
    <cellStyle name="normálne 199" xfId="924" xr:uid="{00000000-0005-0000-0000-00002C030000}"/>
    <cellStyle name="normálne 2" xfId="926" xr:uid="{00000000-0005-0000-0000-00002D030000}"/>
    <cellStyle name="normálne 2 2" xfId="927" xr:uid="{00000000-0005-0000-0000-00002E030000}"/>
    <cellStyle name="normálne 20" xfId="873" xr:uid="{00000000-0005-0000-0000-00002F030000}"/>
    <cellStyle name="normálne 200" xfId="862" xr:uid="{00000000-0005-0000-0000-000030030000}"/>
    <cellStyle name="normálne 21" xfId="885" xr:uid="{00000000-0005-0000-0000-000031030000}"/>
    <cellStyle name="normálne 22" xfId="895" xr:uid="{00000000-0005-0000-0000-000032030000}"/>
    <cellStyle name="normálne 23" xfId="905" xr:uid="{00000000-0005-0000-0000-000033030000}"/>
    <cellStyle name="normálne 24" xfId="915" xr:uid="{00000000-0005-0000-0000-000034030000}"/>
    <cellStyle name="normálne 25" xfId="928" xr:uid="{00000000-0005-0000-0000-000035030000}"/>
    <cellStyle name="normálne 26" xfId="930" xr:uid="{00000000-0005-0000-0000-000036030000}"/>
    <cellStyle name="normálne 27" xfId="932" xr:uid="{00000000-0005-0000-0000-000037030000}"/>
    <cellStyle name="normálne 28" xfId="934" xr:uid="{00000000-0005-0000-0000-000038030000}"/>
    <cellStyle name="normálne 29" xfId="936" xr:uid="{00000000-0005-0000-0000-000039030000}"/>
    <cellStyle name="normálne 3" xfId="938" xr:uid="{00000000-0005-0000-0000-00003A030000}"/>
    <cellStyle name="normálne 30" xfId="929" xr:uid="{00000000-0005-0000-0000-00003B030000}"/>
    <cellStyle name="normálne 31" xfId="931" xr:uid="{00000000-0005-0000-0000-00003C030000}"/>
    <cellStyle name="normálne 32" xfId="933" xr:uid="{00000000-0005-0000-0000-00003D030000}"/>
    <cellStyle name="normálne 33" xfId="935" xr:uid="{00000000-0005-0000-0000-00003E030000}"/>
    <cellStyle name="normálne 34" xfId="937" xr:uid="{00000000-0005-0000-0000-00003F030000}"/>
    <cellStyle name="normálne 35" xfId="939" xr:uid="{00000000-0005-0000-0000-000040030000}"/>
    <cellStyle name="normálne 36" xfId="941" xr:uid="{00000000-0005-0000-0000-000041030000}"/>
    <cellStyle name="normálne 37" xfId="943" xr:uid="{00000000-0005-0000-0000-000042030000}"/>
    <cellStyle name="normálne 38" xfId="945" xr:uid="{00000000-0005-0000-0000-000043030000}"/>
    <cellStyle name="normálne 39" xfId="947" xr:uid="{00000000-0005-0000-0000-000044030000}"/>
    <cellStyle name="normálne 4" xfId="949" xr:uid="{00000000-0005-0000-0000-000045030000}"/>
    <cellStyle name="normálne 40" xfId="940" xr:uid="{00000000-0005-0000-0000-000046030000}"/>
    <cellStyle name="normálne 41" xfId="942" xr:uid="{00000000-0005-0000-0000-000047030000}"/>
    <cellStyle name="normálne 42" xfId="944" xr:uid="{00000000-0005-0000-0000-000048030000}"/>
    <cellStyle name="normálne 43" xfId="946" xr:uid="{00000000-0005-0000-0000-000049030000}"/>
    <cellStyle name="normálne 44" xfId="948" xr:uid="{00000000-0005-0000-0000-00004A030000}"/>
    <cellStyle name="normálne 45" xfId="950" xr:uid="{00000000-0005-0000-0000-00004B030000}"/>
    <cellStyle name="normálne 46" xfId="952" xr:uid="{00000000-0005-0000-0000-00004C030000}"/>
    <cellStyle name="normálne 47" xfId="954" xr:uid="{00000000-0005-0000-0000-00004D030000}"/>
    <cellStyle name="normálne 48" xfId="956" xr:uid="{00000000-0005-0000-0000-00004E030000}"/>
    <cellStyle name="normálne 49" xfId="958" xr:uid="{00000000-0005-0000-0000-00004F030000}"/>
    <cellStyle name="normálne 5" xfId="960" xr:uid="{00000000-0005-0000-0000-000050030000}"/>
    <cellStyle name="normálne 50" xfId="951" xr:uid="{00000000-0005-0000-0000-000051030000}"/>
    <cellStyle name="normálne 51" xfId="953" xr:uid="{00000000-0005-0000-0000-000052030000}"/>
    <cellStyle name="normálne 52" xfId="955" xr:uid="{00000000-0005-0000-0000-000053030000}"/>
    <cellStyle name="normálne 53" xfId="957" xr:uid="{00000000-0005-0000-0000-000054030000}"/>
    <cellStyle name="normálne 54" xfId="959" xr:uid="{00000000-0005-0000-0000-000055030000}"/>
    <cellStyle name="normálne 55" xfId="961" xr:uid="{00000000-0005-0000-0000-000056030000}"/>
    <cellStyle name="normálne 56" xfId="963" xr:uid="{00000000-0005-0000-0000-000057030000}"/>
    <cellStyle name="normálne 57" xfId="965" xr:uid="{00000000-0005-0000-0000-000058030000}"/>
    <cellStyle name="normálne 58" xfId="967" xr:uid="{00000000-0005-0000-0000-000059030000}"/>
    <cellStyle name="normálne 59" xfId="969" xr:uid="{00000000-0005-0000-0000-00005A030000}"/>
    <cellStyle name="normálne 6" xfId="971" xr:uid="{00000000-0005-0000-0000-00005B030000}"/>
    <cellStyle name="normálne 60" xfId="962" xr:uid="{00000000-0005-0000-0000-00005C030000}"/>
    <cellStyle name="normálne 61" xfId="964" xr:uid="{00000000-0005-0000-0000-00005D030000}"/>
    <cellStyle name="normálne 62" xfId="966" xr:uid="{00000000-0005-0000-0000-00005E030000}"/>
    <cellStyle name="normálne 63" xfId="968" xr:uid="{00000000-0005-0000-0000-00005F030000}"/>
    <cellStyle name="normálne 64" xfId="970" xr:uid="{00000000-0005-0000-0000-000060030000}"/>
    <cellStyle name="normálne 65" xfId="972" xr:uid="{00000000-0005-0000-0000-000061030000}"/>
    <cellStyle name="normálne 66" xfId="974" xr:uid="{00000000-0005-0000-0000-000062030000}"/>
    <cellStyle name="normálne 67" xfId="976" xr:uid="{00000000-0005-0000-0000-000063030000}"/>
    <cellStyle name="normálne 68" xfId="251" xr:uid="{00000000-0005-0000-0000-000064030000}"/>
    <cellStyle name="normálne 69" xfId="978" xr:uid="{00000000-0005-0000-0000-000065030000}"/>
    <cellStyle name="normálne 7" xfId="980" xr:uid="{00000000-0005-0000-0000-000066030000}"/>
    <cellStyle name="normálne 70" xfId="973" xr:uid="{00000000-0005-0000-0000-000067030000}"/>
    <cellStyle name="normálne 71" xfId="975" xr:uid="{00000000-0005-0000-0000-000068030000}"/>
    <cellStyle name="normálne 72" xfId="977" xr:uid="{00000000-0005-0000-0000-000069030000}"/>
    <cellStyle name="normálne 73" xfId="250" xr:uid="{00000000-0005-0000-0000-00006A030000}"/>
    <cellStyle name="normálne 74" xfId="979" xr:uid="{00000000-0005-0000-0000-00006B030000}"/>
    <cellStyle name="normálne 75" xfId="981" xr:uid="{00000000-0005-0000-0000-00006C030000}"/>
    <cellStyle name="normálne 76" xfId="983" xr:uid="{00000000-0005-0000-0000-00006D030000}"/>
    <cellStyle name="normálne 77" xfId="985" xr:uid="{00000000-0005-0000-0000-00006E030000}"/>
    <cellStyle name="normálne 78" xfId="679" xr:uid="{00000000-0005-0000-0000-00006F030000}"/>
    <cellStyle name="normálne 79" xfId="987" xr:uid="{00000000-0005-0000-0000-000070030000}"/>
    <cellStyle name="normálne 8" xfId="989" xr:uid="{00000000-0005-0000-0000-000071030000}"/>
    <cellStyle name="normálne 80" xfId="982" xr:uid="{00000000-0005-0000-0000-000072030000}"/>
    <cellStyle name="normálne 81" xfId="984" xr:uid="{00000000-0005-0000-0000-000073030000}"/>
    <cellStyle name="normálne 82" xfId="986" xr:uid="{00000000-0005-0000-0000-000074030000}"/>
    <cellStyle name="normálne 83" xfId="680" xr:uid="{00000000-0005-0000-0000-000075030000}"/>
    <cellStyle name="normálne 84" xfId="988" xr:uid="{00000000-0005-0000-0000-000076030000}"/>
    <cellStyle name="normálne 85" xfId="782" xr:uid="{00000000-0005-0000-0000-000077030000}"/>
    <cellStyle name="normálne 86" xfId="990" xr:uid="{00000000-0005-0000-0000-000078030000}"/>
    <cellStyle name="normálne 87" xfId="992" xr:uid="{00000000-0005-0000-0000-000079030000}"/>
    <cellStyle name="normálne 88" xfId="994" xr:uid="{00000000-0005-0000-0000-00007A030000}"/>
    <cellStyle name="normálne 89" xfId="996" xr:uid="{00000000-0005-0000-0000-00007B030000}"/>
    <cellStyle name="normálne 9" xfId="470" xr:uid="{00000000-0005-0000-0000-00007C030000}"/>
    <cellStyle name="normálne 90" xfId="783" xr:uid="{00000000-0005-0000-0000-00007D030000}"/>
    <cellStyle name="normálne 91" xfId="991" xr:uid="{00000000-0005-0000-0000-00007E030000}"/>
    <cellStyle name="normálne 92" xfId="993" xr:uid="{00000000-0005-0000-0000-00007F030000}"/>
    <cellStyle name="normálne 93" xfId="995" xr:uid="{00000000-0005-0000-0000-000080030000}"/>
    <cellStyle name="normálne 94" xfId="997" xr:uid="{00000000-0005-0000-0000-000081030000}"/>
    <cellStyle name="normálne 95" xfId="998" xr:uid="{00000000-0005-0000-0000-000082030000}"/>
    <cellStyle name="normálne 96" xfId="999" xr:uid="{00000000-0005-0000-0000-000083030000}"/>
    <cellStyle name="normálne 97" xfId="1000" xr:uid="{00000000-0005-0000-0000-000084030000}"/>
    <cellStyle name="normálne 98" xfId="1001" xr:uid="{00000000-0005-0000-0000-000085030000}"/>
    <cellStyle name="normálne 99" xfId="1003" xr:uid="{00000000-0005-0000-0000-000086030000}"/>
    <cellStyle name="normálne_AAQQAA" xfId="1004" xr:uid="{00000000-0005-0000-0000-000087030000}"/>
    <cellStyle name="normálne_AD_val_10_jun_05_KV" xfId="1005" xr:uid="{00000000-0005-0000-0000-000088030000}"/>
    <cellStyle name="normálne_LEK   U_Tílie  2004 10 11_LK" xfId="1006" xr:uid="{00000000-0005-0000-0000-000089030000}"/>
    <cellStyle name="normálne_sandvaluationb" xfId="1007" xr:uid="{00000000-0005-0000-0000-00008A030000}"/>
    <cellStyle name="normálne_VAL_VZOR_2009_b" xfId="1008" xr:uid="{00000000-0005-0000-0000-00008C030000}"/>
    <cellStyle name="Normalnew" xfId="154" xr:uid="{00000000-0005-0000-0000-00008D030000}"/>
    <cellStyle name="normální 2" xfId="1009" xr:uid="{00000000-0005-0000-0000-00008E030000}"/>
    <cellStyle name="normální 3" xfId="419" xr:uid="{00000000-0005-0000-0000-00008F030000}"/>
    <cellStyle name="normální 4" xfId="421" xr:uid="{00000000-0005-0000-0000-000090030000}"/>
    <cellStyle name="normální 5" xfId="1010" xr:uid="{00000000-0005-0000-0000-000091030000}"/>
    <cellStyle name="normální 6" xfId="261" xr:uid="{00000000-0005-0000-0000-000092030000}"/>
    <cellStyle name="normální_224_Nitidarepayment" xfId="1011" xr:uid="{00000000-0005-0000-0000-000093030000}"/>
    <cellStyle name="normální_mmsmvak" xfId="1012" xr:uid="{00000000-0005-0000-0000-000094030000}"/>
    <cellStyle name="normální_VAL_vzor_2006_NEW" xfId="1013" xr:uid="{00000000-0005-0000-0000-000095030000}"/>
    <cellStyle name="Normalny 10" xfId="1015" xr:uid="{00000000-0005-0000-0000-000096030000}"/>
    <cellStyle name="Normalny 12" xfId="1016" xr:uid="{00000000-0005-0000-0000-000097030000}"/>
    <cellStyle name="Normalny 14" xfId="1017" xr:uid="{00000000-0005-0000-0000-000098030000}"/>
    <cellStyle name="Normalny 2" xfId="1018" xr:uid="{00000000-0005-0000-0000-000099030000}"/>
    <cellStyle name="Normalny 2 10" xfId="1019" xr:uid="{00000000-0005-0000-0000-00009A030000}"/>
    <cellStyle name="Normalny 2 11" xfId="1020" xr:uid="{00000000-0005-0000-0000-00009B030000}"/>
    <cellStyle name="Normalny 2 2" xfId="1021" xr:uid="{00000000-0005-0000-0000-00009C030000}"/>
    <cellStyle name="Normalny 2 3" xfId="1022" xr:uid="{00000000-0005-0000-0000-00009D030000}"/>
    <cellStyle name="Normalny 2 4" xfId="1023" xr:uid="{00000000-0005-0000-0000-00009E030000}"/>
    <cellStyle name="Normalny 2 5" xfId="1024" xr:uid="{00000000-0005-0000-0000-00009F030000}"/>
    <cellStyle name="Normalny 2 6" xfId="1025" xr:uid="{00000000-0005-0000-0000-0000A0030000}"/>
    <cellStyle name="Normalny 2 7" xfId="1026" xr:uid="{00000000-0005-0000-0000-0000A1030000}"/>
    <cellStyle name="Normalny 2 8" xfId="1027" xr:uid="{00000000-0005-0000-0000-0000A2030000}"/>
    <cellStyle name="Normalny 2 9" xfId="1028" xr:uid="{00000000-0005-0000-0000-0000A3030000}"/>
    <cellStyle name="Normalny 2_Currency exposure" xfId="197" xr:uid="{00000000-0005-0000-0000-0000A4030000}"/>
    <cellStyle name="Normalny 3" xfId="1029" xr:uid="{00000000-0005-0000-0000-0000A5030000}"/>
    <cellStyle name="Normalny 4" xfId="1030" xr:uid="{00000000-0005-0000-0000-0000A6030000}"/>
    <cellStyle name="Normalny 5" xfId="1031" xr:uid="{00000000-0005-0000-0000-0000A7030000}"/>
    <cellStyle name="Normalny 7" xfId="1032" xr:uid="{00000000-0005-0000-0000-0000A8030000}"/>
    <cellStyle name="Normalny_0" xfId="1033" xr:uid="{00000000-0005-0000-0000-0000A9030000}"/>
    <cellStyle name="notes" xfId="1034" xr:uid="{00000000-0005-0000-0000-0000AA030000}"/>
    <cellStyle name="Notiz" xfId="1035" xr:uid="{00000000-0005-0000-0000-0000AB030000}"/>
    <cellStyle name="Null" xfId="1036" xr:uid="{00000000-0005-0000-0000-0000AC030000}"/>
    <cellStyle name="Num0Un" xfId="1037" xr:uid="{00000000-0005-0000-0000-0000AD030000}"/>
    <cellStyle name="Num1" xfId="1038" xr:uid="{00000000-0005-0000-0000-0000AE030000}"/>
    <cellStyle name="Num1Blue" xfId="1039" xr:uid="{00000000-0005-0000-0000-0000AF030000}"/>
    <cellStyle name="Num2" xfId="1040" xr:uid="{00000000-0005-0000-0000-0000B0030000}"/>
    <cellStyle name="Num2Un" xfId="460" xr:uid="{00000000-0005-0000-0000-0000B1030000}"/>
    <cellStyle name="Number" xfId="386" xr:uid="{00000000-0005-0000-0000-0000B2030000}"/>
    <cellStyle name="Number (2dp)" xfId="1041" xr:uid="{00000000-0005-0000-0000-0000B3030000}"/>
    <cellStyle name="Number_AnalysysResearch_RR199_CEE_Mobile_Market_2006-11_dataannex" xfId="1042" xr:uid="{00000000-0005-0000-0000-0000B4030000}"/>
    <cellStyle name="Obliczenia" xfId="1043" xr:uid="{00000000-0005-0000-0000-0000B5030000}"/>
    <cellStyle name="Optional Accounts" xfId="274" xr:uid="{00000000-0005-0000-0000-0000B6030000}"/>
    <cellStyle name="OScommands" xfId="1044" xr:uid="{00000000-0005-0000-0000-0000B7030000}"/>
    <cellStyle name="Összesen" xfId="389" xr:uid="{00000000-0005-0000-0000-0000B8030000}"/>
    <cellStyle name="Output Amounts" xfId="771" xr:uid="{00000000-0005-0000-0000-0000B9030000}"/>
    <cellStyle name="Output Column Headings" xfId="493" xr:uid="{00000000-0005-0000-0000-0000BA030000}"/>
    <cellStyle name="Output Line Items" xfId="1045" xr:uid="{00000000-0005-0000-0000-0000BB030000}"/>
    <cellStyle name="Output Report Heading" xfId="1046" xr:uid="{00000000-0005-0000-0000-0000BC030000}"/>
    <cellStyle name="Output Report Title" xfId="1047" xr:uid="{00000000-0005-0000-0000-0000BD030000}"/>
    <cellStyle name="Outputtitle" xfId="141" xr:uid="{00000000-0005-0000-0000-0000BE030000}"/>
    <cellStyle name="Page Heading" xfId="1048" xr:uid="{00000000-0005-0000-0000-0000BF030000}"/>
    <cellStyle name="Page Heading Large" xfId="1049" xr:uid="{00000000-0005-0000-0000-0000C0030000}"/>
    <cellStyle name="Page Heading Small" xfId="1050" xr:uid="{00000000-0005-0000-0000-0000C1030000}"/>
    <cellStyle name="paint" xfId="1051" xr:uid="{00000000-0005-0000-0000-0000C2030000}"/>
    <cellStyle name="Per" xfId="1052" xr:uid="{00000000-0005-0000-0000-0000C3030000}"/>
    <cellStyle name="Perc1" xfId="1053" xr:uid="{00000000-0005-0000-0000-0000C4030000}"/>
    <cellStyle name="Percent [0]" xfId="1054" xr:uid="{00000000-0005-0000-0000-0000C5030000}"/>
    <cellStyle name="Percent [00]" xfId="1055" xr:uid="{00000000-0005-0000-0000-0000C6030000}"/>
    <cellStyle name="Percent [1]" xfId="1056" xr:uid="{00000000-0005-0000-0000-0000C7030000}"/>
    <cellStyle name="Percent [2]" xfId="418" xr:uid="{00000000-0005-0000-0000-0000C8030000}"/>
    <cellStyle name="Percent 2" xfId="917" xr:uid="{00000000-0005-0000-0000-0000C9030000}"/>
    <cellStyle name="Percent 3" xfId="919" xr:uid="{00000000-0005-0000-0000-0000CA030000}"/>
    <cellStyle name="Percent 3 2" xfId="1057" xr:uid="{00000000-0005-0000-0000-0000CB030000}"/>
    <cellStyle name="Percent 4" xfId="921" xr:uid="{00000000-0005-0000-0000-0000CC030000}"/>
    <cellStyle name="Percent 5" xfId="923" xr:uid="{00000000-0005-0000-0000-0000CD030000}"/>
    <cellStyle name="Percent 5 2" xfId="1058" xr:uid="{00000000-0005-0000-0000-0000CE030000}"/>
    <cellStyle name="Percent 6" xfId="925" xr:uid="{00000000-0005-0000-0000-0000CF030000}"/>
    <cellStyle name="Percent 7" xfId="1059" xr:uid="{00000000-0005-0000-0000-0000D0030000}"/>
    <cellStyle name="Percent Hard" xfId="1060" xr:uid="{00000000-0005-0000-0000-0000D1030000}"/>
    <cellStyle name="Percent1" xfId="871" xr:uid="{00000000-0005-0000-0000-0000D2030000}"/>
    <cellStyle name="Percent1Blue" xfId="1061" xr:uid="{00000000-0005-0000-0000-0000D3030000}"/>
    <cellStyle name="Percent2" xfId="876" xr:uid="{00000000-0005-0000-0000-0000D4030000}"/>
    <cellStyle name="Percent2Blue" xfId="1062" xr:uid="{00000000-0005-0000-0000-0000D5030000}"/>
    <cellStyle name="Percentá" xfId="22" builtinId="5"/>
    <cellStyle name="percentá 2" xfId="1063" xr:uid="{00000000-0005-0000-0000-0000D7030000}"/>
    <cellStyle name="percentá 2 2" xfId="1064" xr:uid="{00000000-0005-0000-0000-0000D8030000}"/>
    <cellStyle name="percentá 3" xfId="1065" xr:uid="{00000000-0005-0000-0000-0000D9030000}"/>
    <cellStyle name="Percentá 4" xfId="1461" xr:uid="{F5098766-503C-AB4F-B6B3-BCF1A30AFCBA}"/>
    <cellStyle name="percentage" xfId="1066" xr:uid="{00000000-0005-0000-0000-0000DA030000}"/>
    <cellStyle name="Percentage (2dp)" xfId="1067" xr:uid="{00000000-0005-0000-0000-0000DB030000}"/>
    <cellStyle name="Percentage_AnalysysResearch_RR199_CEE_Mobile_Market_2006-11_dataannex" xfId="1068" xr:uid="{00000000-0005-0000-0000-0000DC030000}"/>
    <cellStyle name="Periods" xfId="253" xr:uid="{00000000-0005-0000-0000-0000DD030000}"/>
    <cellStyle name="Pevnì" xfId="1069" xr:uid="{00000000-0005-0000-0000-0000DE030000}"/>
    <cellStyle name="PIMS" xfId="1070" xr:uid="{00000000-0005-0000-0000-0000DF030000}"/>
    <cellStyle name="PIMS ALTTAG" xfId="1071" xr:uid="{00000000-0005-0000-0000-0000E0030000}"/>
    <cellStyle name="PIMS_CASE_Global_Formula_Pripominky" xfId="1072" xr:uid="{00000000-0005-0000-0000-0000E1030000}"/>
    <cellStyle name="PIMS1" xfId="1073" xr:uid="{00000000-0005-0000-0000-0000E2030000}"/>
    <cellStyle name="PIMS2" xfId="46" xr:uid="{00000000-0005-0000-0000-0000E3030000}"/>
    <cellStyle name="PIMS3" xfId="1074" xr:uid="{00000000-0005-0000-0000-0000E4030000}"/>
    <cellStyle name="Popis" xfId="1075" xr:uid="{00000000-0005-0000-0000-0000E5030000}"/>
    <cellStyle name="Poznámka 10" xfId="1076" xr:uid="{00000000-0005-0000-0000-0000E6030000}"/>
    <cellStyle name="Poznámka 100" xfId="1077" xr:uid="{00000000-0005-0000-0000-0000E7030000}"/>
    <cellStyle name="Poznámka 101" xfId="1078" xr:uid="{00000000-0005-0000-0000-0000E8030000}"/>
    <cellStyle name="Poznámka 102" xfId="1079" xr:uid="{00000000-0005-0000-0000-0000E9030000}"/>
    <cellStyle name="Poznámka 103" xfId="1080" xr:uid="{00000000-0005-0000-0000-0000EA030000}"/>
    <cellStyle name="Poznámka 104" xfId="1082" xr:uid="{00000000-0005-0000-0000-0000EB030000}"/>
    <cellStyle name="Poznámka 105" xfId="215" xr:uid="{00000000-0005-0000-0000-0000EC030000}"/>
    <cellStyle name="Poznámka 106" xfId="1083" xr:uid="{00000000-0005-0000-0000-0000ED030000}"/>
    <cellStyle name="Poznámka 107" xfId="1085" xr:uid="{00000000-0005-0000-0000-0000EE030000}"/>
    <cellStyle name="Poznámka 108" xfId="1088" xr:uid="{00000000-0005-0000-0000-0000EF030000}"/>
    <cellStyle name="Poznámka 109" xfId="1091" xr:uid="{00000000-0005-0000-0000-0000F0030000}"/>
    <cellStyle name="Poznámka 11" xfId="1093" xr:uid="{00000000-0005-0000-0000-0000F1030000}"/>
    <cellStyle name="Poznámka 110" xfId="214" xr:uid="{00000000-0005-0000-0000-0000F2030000}"/>
    <cellStyle name="Poznámka 111" xfId="1084" xr:uid="{00000000-0005-0000-0000-0000F3030000}"/>
    <cellStyle name="Poznámka 112" xfId="1086" xr:uid="{00000000-0005-0000-0000-0000F4030000}"/>
    <cellStyle name="Poznámka 113" xfId="1089" xr:uid="{00000000-0005-0000-0000-0000F5030000}"/>
    <cellStyle name="Poznámka 114" xfId="1092" xr:uid="{00000000-0005-0000-0000-0000F6030000}"/>
    <cellStyle name="Poznámka 115" xfId="1095" xr:uid="{00000000-0005-0000-0000-0000F7030000}"/>
    <cellStyle name="Poznámka 116" xfId="1097" xr:uid="{00000000-0005-0000-0000-0000F8030000}"/>
    <cellStyle name="Poznámka 117" xfId="1099" xr:uid="{00000000-0005-0000-0000-0000F9030000}"/>
    <cellStyle name="Poznámka 118" xfId="1101" xr:uid="{00000000-0005-0000-0000-0000FA030000}"/>
    <cellStyle name="Poznámka 119" xfId="1104" xr:uid="{00000000-0005-0000-0000-0000FB030000}"/>
    <cellStyle name="Poznámka 12" xfId="1106" xr:uid="{00000000-0005-0000-0000-0000FC030000}"/>
    <cellStyle name="Poznámka 120" xfId="1096" xr:uid="{00000000-0005-0000-0000-0000FD030000}"/>
    <cellStyle name="Poznámka 121" xfId="1098" xr:uid="{00000000-0005-0000-0000-0000FE030000}"/>
    <cellStyle name="Poznámka 122" xfId="1100" xr:uid="{00000000-0005-0000-0000-0000FF030000}"/>
    <cellStyle name="Poznámka 123" xfId="1102" xr:uid="{00000000-0005-0000-0000-000000040000}"/>
    <cellStyle name="Poznámka 124" xfId="1105" xr:uid="{00000000-0005-0000-0000-000001040000}"/>
    <cellStyle name="Poznámka 125" xfId="1107" xr:uid="{00000000-0005-0000-0000-000002040000}"/>
    <cellStyle name="Poznámka 126" xfId="1109" xr:uid="{00000000-0005-0000-0000-000003040000}"/>
    <cellStyle name="Poznámka 127" xfId="1111" xr:uid="{00000000-0005-0000-0000-000004040000}"/>
    <cellStyle name="Poznámka 128" xfId="1113" xr:uid="{00000000-0005-0000-0000-000005040000}"/>
    <cellStyle name="Poznámka 129" xfId="200" xr:uid="{00000000-0005-0000-0000-000006040000}"/>
    <cellStyle name="Poznámka 13" xfId="1115" xr:uid="{00000000-0005-0000-0000-000007040000}"/>
    <cellStyle name="Poznámka 130" xfId="1108" xr:uid="{00000000-0005-0000-0000-000008040000}"/>
    <cellStyle name="Poznámka 131" xfId="1110" xr:uid="{00000000-0005-0000-0000-000009040000}"/>
    <cellStyle name="Poznámka 132" xfId="1112" xr:uid="{00000000-0005-0000-0000-00000A040000}"/>
    <cellStyle name="Poznámka 133" xfId="1114" xr:uid="{00000000-0005-0000-0000-00000B040000}"/>
    <cellStyle name="Poznámka 134" xfId="199" xr:uid="{00000000-0005-0000-0000-00000C040000}"/>
    <cellStyle name="Poznámka 135" xfId="1116" xr:uid="{00000000-0005-0000-0000-00000D040000}"/>
    <cellStyle name="Poznámka 136" xfId="1118" xr:uid="{00000000-0005-0000-0000-00000E040000}"/>
    <cellStyle name="Poznámka 137" xfId="1120" xr:uid="{00000000-0005-0000-0000-00000F040000}"/>
    <cellStyle name="Poznámka 138" xfId="1122" xr:uid="{00000000-0005-0000-0000-000010040000}"/>
    <cellStyle name="Poznámka 139" xfId="1124" xr:uid="{00000000-0005-0000-0000-000011040000}"/>
    <cellStyle name="Poznámka 14" xfId="1126" xr:uid="{00000000-0005-0000-0000-000012040000}"/>
    <cellStyle name="Poznámka 140" xfId="1117" xr:uid="{00000000-0005-0000-0000-000013040000}"/>
    <cellStyle name="Poznámka 141" xfId="1119" xr:uid="{00000000-0005-0000-0000-000014040000}"/>
    <cellStyle name="Poznámka 142" xfId="1121" xr:uid="{00000000-0005-0000-0000-000015040000}"/>
    <cellStyle name="Poznámka 143" xfId="1123" xr:uid="{00000000-0005-0000-0000-000016040000}"/>
    <cellStyle name="Poznámka 144" xfId="1125" xr:uid="{00000000-0005-0000-0000-000017040000}"/>
    <cellStyle name="Poznámka 145" xfId="1127" xr:uid="{00000000-0005-0000-0000-000018040000}"/>
    <cellStyle name="Poznámka 146" xfId="121" xr:uid="{00000000-0005-0000-0000-000019040000}"/>
    <cellStyle name="Poznámka 147" xfId="1130" xr:uid="{00000000-0005-0000-0000-00001A040000}"/>
    <cellStyle name="Poznámka 148" xfId="118" xr:uid="{00000000-0005-0000-0000-00001B040000}"/>
    <cellStyle name="Poznámka 149" xfId="1132" xr:uid="{00000000-0005-0000-0000-00001C040000}"/>
    <cellStyle name="Poznámka 15" xfId="1134" xr:uid="{00000000-0005-0000-0000-00001D040000}"/>
    <cellStyle name="Poznámka 150" xfId="1128" xr:uid="{00000000-0005-0000-0000-00001E040000}"/>
    <cellStyle name="Poznámka 151" xfId="120" xr:uid="{00000000-0005-0000-0000-00001F040000}"/>
    <cellStyle name="Poznámka 152" xfId="1131" xr:uid="{00000000-0005-0000-0000-000020040000}"/>
    <cellStyle name="Poznámka 153" xfId="117" xr:uid="{00000000-0005-0000-0000-000021040000}"/>
    <cellStyle name="Poznámka 154" xfId="1133" xr:uid="{00000000-0005-0000-0000-000022040000}"/>
    <cellStyle name="Poznámka 155" xfId="1136" xr:uid="{00000000-0005-0000-0000-000023040000}"/>
    <cellStyle name="Poznámka 156" xfId="1138" xr:uid="{00000000-0005-0000-0000-000024040000}"/>
    <cellStyle name="Poznámka 157" xfId="1140" xr:uid="{00000000-0005-0000-0000-000025040000}"/>
    <cellStyle name="Poznámka 158" xfId="1142" xr:uid="{00000000-0005-0000-0000-000026040000}"/>
    <cellStyle name="Poznámka 159" xfId="1144" xr:uid="{00000000-0005-0000-0000-000027040000}"/>
    <cellStyle name="Poznámka 16" xfId="1146" xr:uid="{00000000-0005-0000-0000-000028040000}"/>
    <cellStyle name="Poznámka 160" xfId="1137" xr:uid="{00000000-0005-0000-0000-000029040000}"/>
    <cellStyle name="Poznámka 161" xfId="1139" xr:uid="{00000000-0005-0000-0000-00002A040000}"/>
    <cellStyle name="Poznámka 162" xfId="1141" xr:uid="{00000000-0005-0000-0000-00002B040000}"/>
    <cellStyle name="Poznámka 163" xfId="1143" xr:uid="{00000000-0005-0000-0000-00002C040000}"/>
    <cellStyle name="Poznámka 164" xfId="1145" xr:uid="{00000000-0005-0000-0000-00002D040000}"/>
    <cellStyle name="Poznámka 165" xfId="1148" xr:uid="{00000000-0005-0000-0000-00002E040000}"/>
    <cellStyle name="Poznámka 166" xfId="1150" xr:uid="{00000000-0005-0000-0000-00002F040000}"/>
    <cellStyle name="Poznámka 167" xfId="1152" xr:uid="{00000000-0005-0000-0000-000030040000}"/>
    <cellStyle name="Poznámka 168" xfId="1155" xr:uid="{00000000-0005-0000-0000-000031040000}"/>
    <cellStyle name="Poznámka 169" xfId="1157" xr:uid="{00000000-0005-0000-0000-000032040000}"/>
    <cellStyle name="Poznámka 17" xfId="1159" xr:uid="{00000000-0005-0000-0000-000033040000}"/>
    <cellStyle name="Poznámka 170" xfId="1149" xr:uid="{00000000-0005-0000-0000-000034040000}"/>
    <cellStyle name="Poznámka 171" xfId="1151" xr:uid="{00000000-0005-0000-0000-000035040000}"/>
    <cellStyle name="Poznámka 172" xfId="1153" xr:uid="{00000000-0005-0000-0000-000036040000}"/>
    <cellStyle name="Poznámka 173" xfId="1156" xr:uid="{00000000-0005-0000-0000-000037040000}"/>
    <cellStyle name="Poznámka 174" xfId="1158" xr:uid="{00000000-0005-0000-0000-000038040000}"/>
    <cellStyle name="Poznámka 175" xfId="1161" xr:uid="{00000000-0005-0000-0000-000039040000}"/>
    <cellStyle name="Poznámka 176" xfId="1163" xr:uid="{00000000-0005-0000-0000-00003A040000}"/>
    <cellStyle name="Poznámka 177" xfId="1165" xr:uid="{00000000-0005-0000-0000-00003B040000}"/>
    <cellStyle name="Poznámka 178" xfId="1167" xr:uid="{00000000-0005-0000-0000-00003C040000}"/>
    <cellStyle name="Poznámka 179" xfId="1169" xr:uid="{00000000-0005-0000-0000-00003D040000}"/>
    <cellStyle name="Poznámka 18" xfId="1171" xr:uid="{00000000-0005-0000-0000-00003E040000}"/>
    <cellStyle name="Poznámka 180" xfId="1162" xr:uid="{00000000-0005-0000-0000-00003F040000}"/>
    <cellStyle name="Poznámka 181" xfId="1164" xr:uid="{00000000-0005-0000-0000-000040040000}"/>
    <cellStyle name="Poznámka 182" xfId="1166" xr:uid="{00000000-0005-0000-0000-000041040000}"/>
    <cellStyle name="Poznámka 183" xfId="1168" xr:uid="{00000000-0005-0000-0000-000042040000}"/>
    <cellStyle name="Poznámka 184" xfId="1170" xr:uid="{00000000-0005-0000-0000-000043040000}"/>
    <cellStyle name="Poznámka 185" xfId="1173" xr:uid="{00000000-0005-0000-0000-000044040000}"/>
    <cellStyle name="Poznámka 186" xfId="1175" xr:uid="{00000000-0005-0000-0000-000045040000}"/>
    <cellStyle name="Poznámka 187" xfId="1177" xr:uid="{00000000-0005-0000-0000-000046040000}"/>
    <cellStyle name="Poznámka 188" xfId="600" xr:uid="{00000000-0005-0000-0000-000047040000}"/>
    <cellStyle name="Poznámka 189" xfId="1179" xr:uid="{00000000-0005-0000-0000-000048040000}"/>
    <cellStyle name="Poznámka 19" xfId="1181" xr:uid="{00000000-0005-0000-0000-000049040000}"/>
    <cellStyle name="Poznámka 190" xfId="1174" xr:uid="{00000000-0005-0000-0000-00004A040000}"/>
    <cellStyle name="Poznámka 191" xfId="1176" xr:uid="{00000000-0005-0000-0000-00004B040000}"/>
    <cellStyle name="Poznámka 192" xfId="1178" xr:uid="{00000000-0005-0000-0000-00004C040000}"/>
    <cellStyle name="Poznámka 193" xfId="601" xr:uid="{00000000-0005-0000-0000-00004D040000}"/>
    <cellStyle name="Poznámka 194" xfId="1180" xr:uid="{00000000-0005-0000-0000-00004E040000}"/>
    <cellStyle name="Poznámka 195" xfId="1184" xr:uid="{00000000-0005-0000-0000-00004F040000}"/>
    <cellStyle name="Poznámka 196" xfId="1185" xr:uid="{00000000-0005-0000-0000-000050040000}"/>
    <cellStyle name="Poznámka 197" xfId="1186" xr:uid="{00000000-0005-0000-0000-000051040000}"/>
    <cellStyle name="Poznámka 198" xfId="1188" xr:uid="{00000000-0005-0000-0000-000052040000}"/>
    <cellStyle name="Poznámka 199" xfId="1189" xr:uid="{00000000-0005-0000-0000-000053040000}"/>
    <cellStyle name="Poznámka 2" xfId="1191" xr:uid="{00000000-0005-0000-0000-000054040000}"/>
    <cellStyle name="Poznámka 20" xfId="1135" xr:uid="{00000000-0005-0000-0000-000055040000}"/>
    <cellStyle name="Poznámka 200" xfId="1129" xr:uid="{00000000-0005-0000-0000-000056040000}"/>
    <cellStyle name="Poznámka 21" xfId="1147" xr:uid="{00000000-0005-0000-0000-000057040000}"/>
    <cellStyle name="Poznámka 22" xfId="1160" xr:uid="{00000000-0005-0000-0000-000058040000}"/>
    <cellStyle name="Poznámka 23" xfId="1172" xr:uid="{00000000-0005-0000-0000-000059040000}"/>
    <cellStyle name="Poznámka 24" xfId="1182" xr:uid="{00000000-0005-0000-0000-00005A040000}"/>
    <cellStyle name="Poznámka 25" xfId="1192" xr:uid="{00000000-0005-0000-0000-00005B040000}"/>
    <cellStyle name="Poznámka 26" xfId="1194" xr:uid="{00000000-0005-0000-0000-00005C040000}"/>
    <cellStyle name="Poznámka 27" xfId="1196" xr:uid="{00000000-0005-0000-0000-00005D040000}"/>
    <cellStyle name="Poznámka 28" xfId="1198" xr:uid="{00000000-0005-0000-0000-00005E040000}"/>
    <cellStyle name="Poznámka 29" xfId="1200" xr:uid="{00000000-0005-0000-0000-00005F040000}"/>
    <cellStyle name="Poznámka 3" xfId="222" xr:uid="{00000000-0005-0000-0000-000060040000}"/>
    <cellStyle name="Poznámka 30" xfId="1193" xr:uid="{00000000-0005-0000-0000-000061040000}"/>
    <cellStyle name="Poznámka 31" xfId="1195" xr:uid="{00000000-0005-0000-0000-000062040000}"/>
    <cellStyle name="Poznámka 32" xfId="1197" xr:uid="{00000000-0005-0000-0000-000063040000}"/>
    <cellStyle name="Poznámka 33" xfId="1199" xr:uid="{00000000-0005-0000-0000-000064040000}"/>
    <cellStyle name="Poznámka 34" xfId="1201" xr:uid="{00000000-0005-0000-0000-000065040000}"/>
    <cellStyle name="Poznámka 35" xfId="1202" xr:uid="{00000000-0005-0000-0000-000066040000}"/>
    <cellStyle name="Poznámka 36" xfId="1204" xr:uid="{00000000-0005-0000-0000-000067040000}"/>
    <cellStyle name="Poznámka 37" xfId="1206" xr:uid="{00000000-0005-0000-0000-000068040000}"/>
    <cellStyle name="Poznámka 38" xfId="1208" xr:uid="{00000000-0005-0000-0000-000069040000}"/>
    <cellStyle name="Poznámka 39" xfId="1210" xr:uid="{00000000-0005-0000-0000-00006A040000}"/>
    <cellStyle name="Poznámka 4" xfId="1212" xr:uid="{00000000-0005-0000-0000-00006B040000}"/>
    <cellStyle name="Poznámka 40" xfId="1203" xr:uid="{00000000-0005-0000-0000-00006C040000}"/>
    <cellStyle name="Poznámka 41" xfId="1205" xr:uid="{00000000-0005-0000-0000-00006D040000}"/>
    <cellStyle name="Poznámka 42" xfId="1207" xr:uid="{00000000-0005-0000-0000-00006E040000}"/>
    <cellStyle name="Poznámka 43" xfId="1209" xr:uid="{00000000-0005-0000-0000-00006F040000}"/>
    <cellStyle name="Poznámka 44" xfId="1211" xr:uid="{00000000-0005-0000-0000-000070040000}"/>
    <cellStyle name="Poznámka 45" xfId="1214" xr:uid="{00000000-0005-0000-0000-000071040000}"/>
    <cellStyle name="Poznámka 46" xfId="1216" xr:uid="{00000000-0005-0000-0000-000072040000}"/>
    <cellStyle name="Poznámka 47" xfId="689" xr:uid="{00000000-0005-0000-0000-000073040000}"/>
    <cellStyle name="Poznámka 48" xfId="1218" xr:uid="{00000000-0005-0000-0000-000074040000}"/>
    <cellStyle name="Poznámka 49" xfId="1220" xr:uid="{00000000-0005-0000-0000-000075040000}"/>
    <cellStyle name="Poznámka 5" xfId="1223" xr:uid="{00000000-0005-0000-0000-000076040000}"/>
    <cellStyle name="Poznámka 50" xfId="1215" xr:uid="{00000000-0005-0000-0000-000077040000}"/>
    <cellStyle name="Poznámka 51" xfId="1217" xr:uid="{00000000-0005-0000-0000-000078040000}"/>
    <cellStyle name="Poznámka 52" xfId="690" xr:uid="{00000000-0005-0000-0000-000079040000}"/>
    <cellStyle name="Poznámka 53" xfId="1219" xr:uid="{00000000-0005-0000-0000-00007A040000}"/>
    <cellStyle name="Poznámka 54" xfId="1221" xr:uid="{00000000-0005-0000-0000-00007B040000}"/>
    <cellStyle name="Poznámka 55" xfId="1224" xr:uid="{00000000-0005-0000-0000-00007C040000}"/>
    <cellStyle name="Poznámka 56" xfId="1226" xr:uid="{00000000-0005-0000-0000-00007D040000}"/>
    <cellStyle name="Poznámka 57" xfId="1228" xr:uid="{00000000-0005-0000-0000-00007E040000}"/>
    <cellStyle name="Poznámka 58" xfId="1230" xr:uid="{00000000-0005-0000-0000-00007F040000}"/>
    <cellStyle name="Poznámka 59" xfId="1232" xr:uid="{00000000-0005-0000-0000-000080040000}"/>
    <cellStyle name="Poznámka 6" xfId="1234" xr:uid="{00000000-0005-0000-0000-000081040000}"/>
    <cellStyle name="Poznámka 60" xfId="1225" xr:uid="{00000000-0005-0000-0000-000082040000}"/>
    <cellStyle name="Poznámka 61" xfId="1227" xr:uid="{00000000-0005-0000-0000-000083040000}"/>
    <cellStyle name="Poznámka 62" xfId="1229" xr:uid="{00000000-0005-0000-0000-000084040000}"/>
    <cellStyle name="Poznámka 63" xfId="1231" xr:uid="{00000000-0005-0000-0000-000085040000}"/>
    <cellStyle name="Poznámka 64" xfId="1233" xr:uid="{00000000-0005-0000-0000-000086040000}"/>
    <cellStyle name="Poznámka 65" xfId="1235" xr:uid="{00000000-0005-0000-0000-000087040000}"/>
    <cellStyle name="Poznámka 66" xfId="500" xr:uid="{00000000-0005-0000-0000-000088040000}"/>
    <cellStyle name="Poznámka 67" xfId="1237" xr:uid="{00000000-0005-0000-0000-000089040000}"/>
    <cellStyle name="Poznámka 68" xfId="1239" xr:uid="{00000000-0005-0000-0000-00008A040000}"/>
    <cellStyle name="Poznámka 69" xfId="1241" xr:uid="{00000000-0005-0000-0000-00008B040000}"/>
    <cellStyle name="Poznámka 7" xfId="1243" xr:uid="{00000000-0005-0000-0000-00008C040000}"/>
    <cellStyle name="Poznámka 70" xfId="1236" xr:uid="{00000000-0005-0000-0000-00008D040000}"/>
    <cellStyle name="Poznámka 71" xfId="501" xr:uid="{00000000-0005-0000-0000-00008E040000}"/>
    <cellStyle name="Poznámka 72" xfId="1238" xr:uid="{00000000-0005-0000-0000-00008F040000}"/>
    <cellStyle name="Poznámka 73" xfId="1240" xr:uid="{00000000-0005-0000-0000-000090040000}"/>
    <cellStyle name="Poznámka 74" xfId="1242" xr:uid="{00000000-0005-0000-0000-000091040000}"/>
    <cellStyle name="Poznámka 75" xfId="1244" xr:uid="{00000000-0005-0000-0000-000092040000}"/>
    <cellStyle name="Poznámka 76" xfId="1246" xr:uid="{00000000-0005-0000-0000-000093040000}"/>
    <cellStyle name="Poznámka 77" xfId="19" xr:uid="{00000000-0005-0000-0000-000094040000}"/>
    <cellStyle name="Poznámka 78" xfId="1248" xr:uid="{00000000-0005-0000-0000-000095040000}"/>
    <cellStyle name="Poznámka 79" xfId="1250" xr:uid="{00000000-0005-0000-0000-000096040000}"/>
    <cellStyle name="Poznámka 8" xfId="1252" xr:uid="{00000000-0005-0000-0000-000097040000}"/>
    <cellStyle name="Poznámka 80" xfId="1245" xr:uid="{00000000-0005-0000-0000-000098040000}"/>
    <cellStyle name="Poznámka 81" xfId="1247" xr:uid="{00000000-0005-0000-0000-000099040000}"/>
    <cellStyle name="Poznámka 82" xfId="18" xr:uid="{00000000-0005-0000-0000-00009A040000}"/>
    <cellStyle name="Poznámka 83" xfId="1249" xr:uid="{00000000-0005-0000-0000-00009B040000}"/>
    <cellStyle name="Poznámka 84" xfId="1251" xr:uid="{00000000-0005-0000-0000-00009C040000}"/>
    <cellStyle name="Poznámka 85" xfId="1253" xr:uid="{00000000-0005-0000-0000-00009D040000}"/>
    <cellStyle name="Poznámka 86" xfId="580" xr:uid="{00000000-0005-0000-0000-00009E040000}"/>
    <cellStyle name="Poznámka 87" xfId="551" xr:uid="{00000000-0005-0000-0000-00009F040000}"/>
    <cellStyle name="Poznámka 88" xfId="1256" xr:uid="{00000000-0005-0000-0000-0000A0040000}"/>
    <cellStyle name="Poznámka 89" xfId="1258" xr:uid="{00000000-0005-0000-0000-0000A1040000}"/>
    <cellStyle name="Poznámka 9" xfId="1260" xr:uid="{00000000-0005-0000-0000-0000A2040000}"/>
    <cellStyle name="Poznámka 90" xfId="1254" xr:uid="{00000000-0005-0000-0000-0000A3040000}"/>
    <cellStyle name="Poznámka 91" xfId="581" xr:uid="{00000000-0005-0000-0000-0000A4040000}"/>
    <cellStyle name="Poznámka 92" xfId="552" xr:uid="{00000000-0005-0000-0000-0000A5040000}"/>
    <cellStyle name="Poznámka 93" xfId="1257" xr:uid="{00000000-0005-0000-0000-0000A6040000}"/>
    <cellStyle name="Poznámka 94" xfId="1259" xr:uid="{00000000-0005-0000-0000-0000A7040000}"/>
    <cellStyle name="Poznámka 95" xfId="39" xr:uid="{00000000-0005-0000-0000-0000A8040000}"/>
    <cellStyle name="Poznámka 96" xfId="1261" xr:uid="{00000000-0005-0000-0000-0000A9040000}"/>
    <cellStyle name="Poznámka 97" xfId="94" xr:uid="{00000000-0005-0000-0000-0000AA040000}"/>
    <cellStyle name="Poznámka 98" xfId="1262" xr:uid="{00000000-0005-0000-0000-0000AB040000}"/>
    <cellStyle name="Poznámka 99" xfId="1263" xr:uid="{00000000-0005-0000-0000-0000AC040000}"/>
    <cellStyle name="Prepojená bunka" xfId="1264" xr:uid="{00000000-0005-0000-0000-0000AD040000}"/>
    <cellStyle name="Prepojená bunka 2" xfId="1265" xr:uid="{00000000-0005-0000-0000-0000AE040000}"/>
    <cellStyle name="Prepojená bunka 3" xfId="101" xr:uid="{00000000-0005-0000-0000-0000AF040000}"/>
    <cellStyle name="PrePop Currency (0)" xfId="1266" xr:uid="{00000000-0005-0000-0000-0000B0040000}"/>
    <cellStyle name="PrePop Currency (2)" xfId="1267" xr:uid="{00000000-0005-0000-0000-0000B1040000}"/>
    <cellStyle name="PrePop Units (0)" xfId="1269" xr:uid="{00000000-0005-0000-0000-0000B2040000}"/>
    <cellStyle name="PrePop Units (1)" xfId="1270" xr:uid="{00000000-0005-0000-0000-0000B3040000}"/>
    <cellStyle name="PrePop Units (2)" xfId="1271" xr:uid="{00000000-0005-0000-0000-0000B4040000}"/>
    <cellStyle name="Price" xfId="1272" xr:uid="{00000000-0005-0000-0000-0000B5040000}"/>
    <cellStyle name="PriceUn" xfId="1273" xr:uid="{00000000-0005-0000-0000-0000B6040000}"/>
    <cellStyle name="procent 2" xfId="593" xr:uid="{00000000-0005-0000-0000-0000B7040000}"/>
    <cellStyle name="procent 3" xfId="669" xr:uid="{00000000-0005-0000-0000-0000B8040000}"/>
    <cellStyle name="procent 4" xfId="1274" xr:uid="{00000000-0005-0000-0000-0000B9040000}"/>
    <cellStyle name="procent 5" xfId="633" xr:uid="{00000000-0005-0000-0000-0000BA040000}"/>
    <cellStyle name="procent 6" xfId="1275" xr:uid="{00000000-0005-0000-0000-0000BB040000}"/>
    <cellStyle name="Procentowy_SAQ_NEW" xfId="1276" xr:uid="{00000000-0005-0000-0000-0000BC040000}"/>
    <cellStyle name="ProductNo." xfId="1277" xr:uid="{00000000-0005-0000-0000-0000BD040000}"/>
    <cellStyle name="ProjectDate" xfId="444" xr:uid="{00000000-0005-0000-0000-0000BE040000}"/>
    <cellStyle name="ProjectName" xfId="1278" xr:uid="{00000000-0005-0000-0000-0000BF040000}"/>
    <cellStyle name="Prozent_US GAAP" xfId="1279" xr:uid="{00000000-0005-0000-0000-0000C0040000}"/>
    <cellStyle name="ReadInData" xfId="1280" xr:uid="{00000000-0005-0000-0000-0000C1040000}"/>
    <cellStyle name="Red" xfId="1281" xr:uid="{00000000-0005-0000-0000-0000C2040000}"/>
    <cellStyle name="Red font" xfId="1282" xr:uid="{00000000-0005-0000-0000-0000C3040000}"/>
    <cellStyle name="ReportNums" xfId="1283" xr:uid="{00000000-0005-0000-0000-0000C4040000}"/>
    <cellStyle name="ReportTitlePrompt" xfId="1284" xr:uid="{00000000-0005-0000-0000-0000C5040000}"/>
    <cellStyle name="ReportTitleValue" xfId="340" xr:uid="{00000000-0005-0000-0000-0000C6040000}"/>
    <cellStyle name="Rossz" xfId="402" xr:uid="{00000000-0005-0000-0000-0000C7040000}"/>
    <cellStyle name="Row and Column Total" xfId="1286" xr:uid="{00000000-0005-0000-0000-0000C8040000}"/>
    <cellStyle name="Row Heading" xfId="1287" xr:uid="{00000000-0005-0000-0000-0000C9040000}"/>
    <cellStyle name="Row Heading (No Wrap)" xfId="1288" xr:uid="{00000000-0005-0000-0000-0000CA040000}"/>
    <cellStyle name="Row Heading_C_SYSTEM+C_SERVIS_2008_05_20" xfId="1289" xr:uid="{00000000-0005-0000-0000-0000CB040000}"/>
    <cellStyle name="Row label" xfId="1290" xr:uid="{00000000-0005-0000-0000-0000CC040000}"/>
    <cellStyle name="Row label (indent)" xfId="662" xr:uid="{00000000-0005-0000-0000-0000CD040000}"/>
    <cellStyle name="Row Total" xfId="1190" xr:uid="{00000000-0005-0000-0000-0000CE040000}"/>
    <cellStyle name="RowAcctAbovePrompt" xfId="1292" xr:uid="{00000000-0005-0000-0000-0000CF040000}"/>
    <cellStyle name="RowAcctSOBAbovePrompt" xfId="1293" xr:uid="{00000000-0005-0000-0000-0000D0040000}"/>
    <cellStyle name="RowAcctSOBValue" xfId="1294" xr:uid="{00000000-0005-0000-0000-0000D1040000}"/>
    <cellStyle name="RowAcctValue" xfId="1295" xr:uid="{00000000-0005-0000-0000-0000D2040000}"/>
    <cellStyle name="RowAttrAbovePrompt" xfId="1222" xr:uid="{00000000-0005-0000-0000-0000D3040000}"/>
    <cellStyle name="RowAttrValue" xfId="1296" xr:uid="{00000000-0005-0000-0000-0000D4040000}"/>
    <cellStyle name="RowColSetAbovePrompt" xfId="615" xr:uid="{00000000-0005-0000-0000-0000D5040000}"/>
    <cellStyle name="RowColSetLeftPrompt" xfId="1297" xr:uid="{00000000-0005-0000-0000-0000D6040000}"/>
    <cellStyle name="RowColSetValue" xfId="1183" xr:uid="{00000000-0005-0000-0000-0000D7040000}"/>
    <cellStyle name="RowLeftPrompt" xfId="1298" xr:uid="{00000000-0005-0000-0000-0000D8040000}"/>
    <cellStyle name="SampleUsingFormatMask" xfId="1299" xr:uid="{00000000-0005-0000-0000-0000D9040000}"/>
    <cellStyle name="SampleWithNoFormatMask" xfId="848" xr:uid="{00000000-0005-0000-0000-0000DA040000}"/>
    <cellStyle name="SAPBEXaggData" xfId="1300" xr:uid="{00000000-0005-0000-0000-0000DB040000}"/>
    <cellStyle name="SAPBEXaggDataEmph" xfId="1301" xr:uid="{00000000-0005-0000-0000-0000DC040000}"/>
    <cellStyle name="SAPBEXaggItem" xfId="189" xr:uid="{00000000-0005-0000-0000-0000DD040000}"/>
    <cellStyle name="SAPBEXaggItemX" xfId="11" xr:uid="{00000000-0005-0000-0000-0000DE040000}"/>
    <cellStyle name="SAPBEXexcBad7" xfId="1302" xr:uid="{00000000-0005-0000-0000-0000DF040000}"/>
    <cellStyle name="SAPBEXexcBad8" xfId="1303" xr:uid="{00000000-0005-0000-0000-0000E0040000}"/>
    <cellStyle name="SAPBEXexcBad9" xfId="797" xr:uid="{00000000-0005-0000-0000-0000E1040000}"/>
    <cellStyle name="SAPBEXexcCritical4" xfId="1304" xr:uid="{00000000-0005-0000-0000-0000E2040000}"/>
    <cellStyle name="SAPBEXexcCritical5" xfId="1305" xr:uid="{00000000-0005-0000-0000-0000E3040000}"/>
    <cellStyle name="SAPBEXexcCritical6" xfId="1268" xr:uid="{00000000-0005-0000-0000-0000E4040000}"/>
    <cellStyle name="SAPBEXexcGood1" xfId="1306" xr:uid="{00000000-0005-0000-0000-0000E5040000}"/>
    <cellStyle name="SAPBEXexcGood2" xfId="1307" xr:uid="{00000000-0005-0000-0000-0000E6040000}"/>
    <cellStyle name="SAPBEXexcGood3" xfId="1308" xr:uid="{00000000-0005-0000-0000-0000E7040000}"/>
    <cellStyle name="SAPBEXfilterDrill" xfId="1309" xr:uid="{00000000-0005-0000-0000-0000E8040000}"/>
    <cellStyle name="SAPBEXfilterItem" xfId="1310" xr:uid="{00000000-0005-0000-0000-0000E9040000}"/>
    <cellStyle name="SAPBEXfilterText" xfId="1311" xr:uid="{00000000-0005-0000-0000-0000EA040000}"/>
    <cellStyle name="SAPBEXformats" xfId="1312" xr:uid="{00000000-0005-0000-0000-0000EB040000}"/>
    <cellStyle name="SAPBEXheaderItem" xfId="1313" xr:uid="{00000000-0005-0000-0000-0000EC040000}"/>
    <cellStyle name="SAPBEXheaderText" xfId="1314" xr:uid="{00000000-0005-0000-0000-0000ED040000}"/>
    <cellStyle name="SAPBEXHLevel0" xfId="138" xr:uid="{00000000-0005-0000-0000-0000EE040000}"/>
    <cellStyle name="SAPBEXHLevel0X" xfId="1315" xr:uid="{00000000-0005-0000-0000-0000EF040000}"/>
    <cellStyle name="SAPBEXHLevel1" xfId="1316" xr:uid="{00000000-0005-0000-0000-0000F0040000}"/>
    <cellStyle name="SAPBEXHLevel1X" xfId="1317" xr:uid="{00000000-0005-0000-0000-0000F1040000}"/>
    <cellStyle name="SAPBEXHLevel2" xfId="1318" xr:uid="{00000000-0005-0000-0000-0000F2040000}"/>
    <cellStyle name="SAPBEXHLevel2X" xfId="1319" xr:uid="{00000000-0005-0000-0000-0000F3040000}"/>
    <cellStyle name="SAPBEXHLevel3" xfId="1320" xr:uid="{00000000-0005-0000-0000-0000F4040000}"/>
    <cellStyle name="SAPBEXHLevel3X" xfId="588" xr:uid="{00000000-0005-0000-0000-0000F5040000}"/>
    <cellStyle name="SAPBEXchaText" xfId="1321" xr:uid="{00000000-0005-0000-0000-0000F6040000}"/>
    <cellStyle name="SAPBEXinputData" xfId="739" xr:uid="{00000000-0005-0000-0000-0000F7040000}"/>
    <cellStyle name="SAPBEXresData" xfId="1322" xr:uid="{00000000-0005-0000-0000-0000F8040000}"/>
    <cellStyle name="SAPBEXresDataEmph" xfId="1323" xr:uid="{00000000-0005-0000-0000-0000F9040000}"/>
    <cellStyle name="SAPBEXresItem" xfId="225" xr:uid="{00000000-0005-0000-0000-0000FA040000}"/>
    <cellStyle name="SAPBEXresItemX" xfId="1324" xr:uid="{00000000-0005-0000-0000-0000FB040000}"/>
    <cellStyle name="SAPBEXstdData" xfId="1325" xr:uid="{00000000-0005-0000-0000-0000FC040000}"/>
    <cellStyle name="SAPBEXstdDataEmph" xfId="1326" xr:uid="{00000000-0005-0000-0000-0000FD040000}"/>
    <cellStyle name="SAPBEXstdItem" xfId="654" xr:uid="{00000000-0005-0000-0000-0000FE040000}"/>
    <cellStyle name="SAPBEXstdItemX" xfId="1327" xr:uid="{00000000-0005-0000-0000-0000FF040000}"/>
    <cellStyle name="SAPBEXtitle" xfId="1328" xr:uid="{00000000-0005-0000-0000-000000050000}"/>
    <cellStyle name="SAPBEXundefined" xfId="1002" xr:uid="{00000000-0005-0000-0000-000001050000}"/>
    <cellStyle name="ScotchRule" xfId="651" xr:uid="{00000000-0005-0000-0000-000002050000}"/>
    <cellStyle name="Section Heading" xfId="1329" xr:uid="{00000000-0005-0000-0000-000003050000}"/>
    <cellStyle name="Section Number" xfId="529" xr:uid="{00000000-0005-0000-0000-000004050000}"/>
    <cellStyle name="Section Title" xfId="1330" xr:uid="{00000000-0005-0000-0000-000005050000}"/>
    <cellStyle name="semestre" xfId="1331" xr:uid="{00000000-0005-0000-0000-000006050000}"/>
    <cellStyle name="Semleges" xfId="5" xr:uid="{00000000-0005-0000-0000-000007050000}"/>
    <cellStyle name="Shading" xfId="1332" xr:uid="{00000000-0005-0000-0000-000008050000}"/>
    <cellStyle name="Sheet Title" xfId="1333" xr:uid="{00000000-0005-0000-0000-000009050000}"/>
    <cellStyle name="SheetTitle" xfId="1335" xr:uid="{00000000-0005-0000-0000-00000A050000}"/>
    <cellStyle name="Schlecht" xfId="1336" xr:uid="{00000000-0005-0000-0000-00000B050000}"/>
    <cellStyle name="Single" xfId="1337" xr:uid="{00000000-0005-0000-0000-00000C050000}"/>
    <cellStyle name="Single Accounting" xfId="1338" xr:uid="{00000000-0005-0000-0000-00000D050000}"/>
    <cellStyle name="Single Cell Column Heading" xfId="1339" xr:uid="{00000000-0005-0000-0000-00000E050000}"/>
    <cellStyle name="Small Cost" xfId="1340" xr:uid="{00000000-0005-0000-0000-00000F050000}"/>
    <cellStyle name="Small Currency" xfId="1341" xr:uid="{00000000-0005-0000-0000-000010050000}"/>
    <cellStyle name="Small Number" xfId="1342" xr:uid="{00000000-0005-0000-0000-000011050000}"/>
    <cellStyle name="Small Percentage" xfId="769" xr:uid="{00000000-0005-0000-0000-000012050000}"/>
    <cellStyle name="Spolu" xfId="1343" xr:uid="{00000000-0005-0000-0000-000013050000}"/>
    <cellStyle name="Spolu 2" xfId="49" xr:uid="{00000000-0005-0000-0000-000014050000}"/>
    <cellStyle name="Spolu 3" xfId="28" xr:uid="{00000000-0005-0000-0000-000015050000}"/>
    <cellStyle name="Standaard_Blad1" xfId="1344" xr:uid="{00000000-0005-0000-0000-000016050000}"/>
    <cellStyle name="Standard 2" xfId="804" xr:uid="{00000000-0005-0000-0000-000017050000}"/>
    <cellStyle name="Standard_2001_Basisdaten_Monatsbericht" xfId="452" xr:uid="{00000000-0005-0000-0000-000018050000}"/>
    <cellStyle name="Standard2" xfId="1345" xr:uid="{00000000-0005-0000-0000-000019050000}"/>
    <cellStyle name="Standard3" xfId="1346" xr:uid="{00000000-0005-0000-0000-00001A050000}"/>
    <cellStyle name="Standard4" xfId="1347" xr:uid="{00000000-0005-0000-0000-00001B050000}"/>
    <cellStyle name="Strange" xfId="337" xr:uid="{00000000-0005-0000-0000-00001C050000}"/>
    <cellStyle name="Strikethru" xfId="641" xr:uid="{00000000-0005-0000-0000-00001D050000}"/>
    <cellStyle name="Styl 1" xfId="1348" xr:uid="{00000000-0005-0000-0000-00001E050000}"/>
    <cellStyle name="Style 1" xfId="1349" xr:uid="{00000000-0005-0000-0000-00001F050000}"/>
    <cellStyle name="Style 2" xfId="1350" xr:uid="{00000000-0005-0000-0000-000020050000}"/>
    <cellStyle name="STYLE1 - Style1" xfId="1351" xr:uid="{00000000-0005-0000-0000-000021050000}"/>
    <cellStyle name="Sub-total row" xfId="1354" xr:uid="{00000000-0005-0000-0000-000025050000}"/>
    <cellStyle name="Subsection Title" xfId="1352" xr:uid="{00000000-0005-0000-0000-000022050000}"/>
    <cellStyle name="Subtitle" xfId="708" xr:uid="{00000000-0005-0000-0000-000023050000}"/>
    <cellStyle name="Subtotal" xfId="1353" xr:uid="{00000000-0005-0000-0000-000024050000}"/>
    <cellStyle name="Subtotal1" xfId="729" xr:uid="{00000000-0005-0000-0000-000027050000}"/>
    <cellStyle name="Sum" xfId="1355" xr:uid="{00000000-0005-0000-0000-000028050000}"/>
    <cellStyle name="Suma" xfId="1356" xr:uid="{00000000-0005-0000-0000-000029050000}"/>
    <cellStyle name="Számítás" xfId="1357" xr:uid="{00000000-0005-0000-0000-00002A050000}"/>
    <cellStyle name="Százalék_ELEMZÉS2007" xfId="635" xr:uid="{00000000-0005-0000-0000-00002B050000}"/>
    <cellStyle name="Štýl 1" xfId="1358" xr:uid="{00000000-0005-0000-0000-00002C050000}"/>
    <cellStyle name="Štýl 2" xfId="1359" xr:uid="{00000000-0005-0000-0000-00002D050000}"/>
    <cellStyle name="t" xfId="748" xr:uid="{00000000-0005-0000-0000-00002E050000}"/>
    <cellStyle name="t_Personnel Expenses" xfId="1360" xr:uid="{00000000-0005-0000-0000-00002F050000}"/>
    <cellStyle name="t_Personnel Expenses_Kópia - tes290909" xfId="1361" xr:uid="{00000000-0005-0000-0000-000030050000}"/>
    <cellStyle name="t_Personnel Expenses_ShortVal_MEZ_2009_10_07" xfId="1362" xr:uid="{00000000-0005-0000-0000-000031050000}"/>
    <cellStyle name="t_Personnel Expenses_Val_Bruntál_2009_09_27" xfId="1363" xr:uid="{00000000-0005-0000-0000-000032050000}"/>
    <cellStyle name="t_Personnel Expenses_Val_Bruntál_2009_09_27a" xfId="1364" xr:uid="{00000000-0005-0000-0000-000033050000}"/>
    <cellStyle name="t_Val_Debrecín_2008_10_29" xfId="347" xr:uid="{00000000-0005-0000-0000-000034050000}"/>
    <cellStyle name="t_Val_Debrecín_2009_05_06f adjusted" xfId="1365" xr:uid="{00000000-0005-0000-0000-000035050000}"/>
    <cellStyle name="t_Val_Debrecín_2009_10 working" xfId="1366" xr:uid="{00000000-0005-0000-0000-000036050000}"/>
    <cellStyle name="t_Val_Debrecín_2009_10_09" xfId="1367" xr:uid="{00000000-0005-0000-0000-000037050000}"/>
    <cellStyle name="t_Val_GTS_CR_2007_11_14" xfId="237" xr:uid="{00000000-0005-0000-0000-000038050000}"/>
    <cellStyle name="Table" xfId="1368" xr:uid="{00000000-0005-0000-0000-000039050000}"/>
    <cellStyle name="Table Col Head" xfId="648" xr:uid="{00000000-0005-0000-0000-00003A050000}"/>
    <cellStyle name="Table finish row" xfId="332" xr:uid="{00000000-0005-0000-0000-00003B050000}"/>
    <cellStyle name="Table shading" xfId="1255" xr:uid="{00000000-0005-0000-0000-00003C050000}"/>
    <cellStyle name="Table Sub Head" xfId="1369" xr:uid="{00000000-0005-0000-0000-00003D050000}"/>
    <cellStyle name="Table Title" xfId="1370" xr:uid="{00000000-0005-0000-0000-00003E050000}"/>
    <cellStyle name="Table unfinish row" xfId="1371" xr:uid="{00000000-0005-0000-0000-00003F050000}"/>
    <cellStyle name="Table Units" xfId="1372" xr:uid="{00000000-0005-0000-0000-000040050000}"/>
    <cellStyle name="Table unshading" xfId="1373" xr:uid="{00000000-0005-0000-0000-000041050000}"/>
    <cellStyle name="Table_Copy of FINANCIAL MODEL - Kosice - FINAL" xfId="724" xr:uid="{00000000-0005-0000-0000-000042050000}"/>
    <cellStyle name="Tabulka_Rozvaha (2)" xfId="294" xr:uid="{00000000-0005-0000-0000-000043050000}"/>
    <cellStyle name="Tausender" xfId="1103" xr:uid="{00000000-0005-0000-0000-000044050000}"/>
    <cellStyle name="Tekst objaśnienia" xfId="1374" xr:uid="{00000000-0005-0000-0000-000045050000}"/>
    <cellStyle name="Tekst ostrzeżenia" xfId="1375" xr:uid="{00000000-0005-0000-0000-000046050000}"/>
    <cellStyle name="terv" xfId="775" xr:uid="{00000000-0005-0000-0000-000047050000}"/>
    <cellStyle name="tête chapitre" xfId="468" xr:uid="{00000000-0005-0000-0000-000048050000}"/>
    <cellStyle name="Text" xfId="1213" xr:uid="{00000000-0005-0000-0000-000049050000}"/>
    <cellStyle name="Text 8" xfId="1081" xr:uid="{00000000-0005-0000-0000-00004A050000}"/>
    <cellStyle name="Text Indent A" xfId="1377" xr:uid="{00000000-0005-0000-0000-00004B050000}"/>
    <cellStyle name="Text Indent B" xfId="1378" xr:uid="{00000000-0005-0000-0000-00004C050000}"/>
    <cellStyle name="Text Indent C" xfId="1379" xr:uid="{00000000-0005-0000-0000-00004D050000}"/>
    <cellStyle name="Text Level 1" xfId="1380" xr:uid="{00000000-0005-0000-0000-00004E050000}"/>
    <cellStyle name="Text Level 2" xfId="1381" xr:uid="{00000000-0005-0000-0000-00004F050000}"/>
    <cellStyle name="Text Level 3" xfId="1382" xr:uid="{00000000-0005-0000-0000-000050050000}"/>
    <cellStyle name="Text Level 4" xfId="1383" xr:uid="{00000000-0005-0000-0000-000051050000}"/>
    <cellStyle name="Text upozornění" xfId="107" xr:uid="{00000000-0005-0000-0000-000052050000}"/>
    <cellStyle name="Text upozornenia" xfId="1384" xr:uid="{00000000-0005-0000-0000-000053050000}"/>
    <cellStyle name="Text upozornenia 2" xfId="1385" xr:uid="{00000000-0005-0000-0000-000054050000}"/>
    <cellStyle name="Text upozornenia 3" xfId="802" xr:uid="{00000000-0005-0000-0000-000055050000}"/>
    <cellStyle name="Text Wrap" xfId="1094" xr:uid="{00000000-0005-0000-0000-000056050000}"/>
    <cellStyle name="TextNormal" xfId="1386" xr:uid="{00000000-0005-0000-0000-000057050000}"/>
    <cellStyle name="Thousands" xfId="1387" xr:uid="{00000000-0005-0000-0000-000058050000}"/>
    <cellStyle name="Times 10" xfId="1388" xr:uid="{00000000-0005-0000-0000-000059050000}"/>
    <cellStyle name="Times 12" xfId="1389" xr:uid="{00000000-0005-0000-0000-00005A050000}"/>
    <cellStyle name="Title Heading" xfId="1390" xr:uid="{00000000-0005-0000-0000-00005B050000}"/>
    <cellStyle name="Title10" xfId="1391" xr:uid="{00000000-0005-0000-0000-00005C050000}"/>
    <cellStyle name="Title2" xfId="1392" xr:uid="{00000000-0005-0000-0000-00005D050000}"/>
    <cellStyle name="Title8" xfId="1393" xr:uid="{00000000-0005-0000-0000-00005E050000}"/>
    <cellStyle name="Title8Left" xfId="799" xr:uid="{00000000-0005-0000-0000-00005F050000}"/>
    <cellStyle name="TitleCenter" xfId="1394" xr:uid="{00000000-0005-0000-0000-000060050000}"/>
    <cellStyle name="TitleLeft" xfId="1395" xr:uid="{00000000-0005-0000-0000-000061050000}"/>
    <cellStyle name="titre" xfId="1396" xr:uid="{00000000-0005-0000-0000-000062050000}"/>
    <cellStyle name="Titul" xfId="1397" xr:uid="{00000000-0005-0000-0000-000063050000}"/>
    <cellStyle name="Titul 2" xfId="1291" xr:uid="{00000000-0005-0000-0000-000064050000}"/>
    <cellStyle name="Titul 3" xfId="792" xr:uid="{00000000-0005-0000-0000-000065050000}"/>
    <cellStyle name="Top_$" xfId="1398" xr:uid="{00000000-0005-0000-0000-000066050000}"/>
    <cellStyle name="topline" xfId="1399" xr:uid="{00000000-0005-0000-0000-000067050000}"/>
    <cellStyle name="Total row" xfId="1400" xr:uid="{00000000-0005-0000-0000-000068050000}"/>
    <cellStyle name="Total1" xfId="1401" xr:uid="{00000000-0005-0000-0000-000069050000}"/>
    <cellStyle name="TransVal" xfId="1402" xr:uid="{00000000-0005-0000-0000-00006A050000}"/>
    <cellStyle name="TS-Format" xfId="1403" xr:uid="{00000000-0005-0000-0000-00006B050000}"/>
    <cellStyle name="Tytuł" xfId="1404" xr:uid="{00000000-0005-0000-0000-00006C050000}"/>
    <cellStyle name="Überschrift" xfId="1405" xr:uid="{00000000-0005-0000-0000-00006D050000}"/>
    <cellStyle name="Überschrift 1" xfId="1406" xr:uid="{00000000-0005-0000-0000-00006E050000}"/>
    <cellStyle name="Überschrift 2" xfId="595" xr:uid="{00000000-0005-0000-0000-00006F050000}"/>
    <cellStyle name="Überschrift 3" xfId="405" xr:uid="{00000000-0005-0000-0000-000070050000}"/>
    <cellStyle name="Überschrift 4" xfId="1407" xr:uid="{00000000-0005-0000-0000-000071050000}"/>
    <cellStyle name="Überschrift_Kapitalkonsolidierung" xfId="1408" xr:uid="{00000000-0005-0000-0000-000072050000}"/>
    <cellStyle name="ubordinated Debt" xfId="1409" xr:uid="{00000000-0005-0000-0000-000073050000}"/>
    <cellStyle name="UI Background" xfId="1410" xr:uid="{00000000-0005-0000-0000-000074050000}"/>
    <cellStyle name="UIScreenText" xfId="1411" xr:uid="{00000000-0005-0000-0000-000075050000}"/>
    <cellStyle name="underline" xfId="1412" xr:uid="{00000000-0005-0000-0000-000076050000}"/>
    <cellStyle name="Unhighlight" xfId="1413" xr:uid="{00000000-0005-0000-0000-000077050000}"/>
    <cellStyle name="Untotal row" xfId="1414" xr:uid="{00000000-0005-0000-0000-000078050000}"/>
    <cellStyle name="UploadThisRowValue" xfId="1415" xr:uid="{00000000-0005-0000-0000-000079050000}"/>
    <cellStyle name="Upozornenie" xfId="1187" xr:uid="{00000000-0005-0000-0000-00007A050000}"/>
    <cellStyle name="Uwaga" xfId="1416" xr:uid="{00000000-0005-0000-0000-00007B050000}"/>
    <cellStyle name="Validation" xfId="1154" xr:uid="{00000000-0005-0000-0000-00007C050000}"/>
    <cellStyle name="Valuta [0]_NEGS" xfId="1417" xr:uid="{00000000-0005-0000-0000-00007D050000}"/>
    <cellStyle name="Valuta_NEGS" xfId="1418" xr:uid="{00000000-0005-0000-0000-00007E050000}"/>
    <cellStyle name="Variables" xfId="1419" xr:uid="{00000000-0005-0000-0000-00007F050000}"/>
    <cellStyle name="Verknüpfte Zelle" xfId="77" xr:uid="{00000000-0005-0000-0000-000080050000}"/>
    <cellStyle name="Version Number" xfId="831" xr:uid="{00000000-0005-0000-0000-000081050000}"/>
    <cellStyle name="Vstup" xfId="1420" xr:uid="{00000000-0005-0000-0000-000082050000}"/>
    <cellStyle name="Vstup 2" xfId="1421" xr:uid="{00000000-0005-0000-0000-000083050000}"/>
    <cellStyle name="Vstup 3" xfId="1422" xr:uid="{00000000-0005-0000-0000-000084050000}"/>
    <cellStyle name="Výpočet 2" xfId="43" xr:uid="{00000000-0005-0000-0000-000085050000}"/>
    <cellStyle name="Výpočet 3" xfId="441" xr:uid="{00000000-0005-0000-0000-000086050000}"/>
    <cellStyle name="Výstup 2" xfId="1423" xr:uid="{00000000-0005-0000-0000-000087050000}"/>
    <cellStyle name="Výstup 3" xfId="1424" xr:uid="{00000000-0005-0000-0000-000088050000}"/>
    <cellStyle name="Vysvetľujúci text" xfId="562" xr:uid="{00000000-0005-0000-0000-000089050000}"/>
    <cellStyle name="Vysvetľujúci text 2" xfId="1425" xr:uid="{00000000-0005-0000-0000-00008A050000}"/>
    <cellStyle name="Vysvetľujúci text 3" xfId="1426" xr:uid="{00000000-0005-0000-0000-00008B050000}"/>
    <cellStyle name="Walutowy [0]_1" xfId="1427" xr:uid="{00000000-0005-0000-0000-00008C050000}"/>
    <cellStyle name="Walutowy_1" xfId="1428" xr:uid="{00000000-0005-0000-0000-00008D050000}"/>
    <cellStyle name="Warnender Text" xfId="1429" xr:uid="{00000000-0005-0000-0000-00008E050000}"/>
    <cellStyle name="Währung [0]_AfA" xfId="1430" xr:uid="{00000000-0005-0000-0000-00008F050000}"/>
    <cellStyle name="Währung_AfA" xfId="1431" xr:uid="{00000000-0005-0000-0000-000090050000}"/>
    <cellStyle name="WhiteCells" xfId="1432" xr:uid="{00000000-0005-0000-0000-000091050000}"/>
    <cellStyle name="WingDing" xfId="1376" xr:uid="{00000000-0005-0000-0000-000092050000}"/>
    <cellStyle name="Work in progress" xfId="1334" xr:uid="{00000000-0005-0000-0000-000093050000}"/>
    <cellStyle name="WP Header" xfId="879" xr:uid="{00000000-0005-0000-0000-000094050000}"/>
    <cellStyle name="wrapped" xfId="1433" xr:uid="{00000000-0005-0000-0000-000095050000}"/>
    <cellStyle name="xstyle" xfId="1434" xr:uid="{00000000-0005-0000-0000-000096050000}"/>
    <cellStyle name="Year" xfId="1435" xr:uid="{00000000-0005-0000-0000-000097050000}"/>
    <cellStyle name="Years" xfId="1436" xr:uid="{00000000-0005-0000-0000-000098050000}"/>
    <cellStyle name="Yen" xfId="1437" xr:uid="{00000000-0005-0000-0000-000099050000}"/>
    <cellStyle name="Yes_No" xfId="293" xr:uid="{00000000-0005-0000-0000-00009A050000}"/>
    <cellStyle name="Zelle überprüfen" xfId="1438" xr:uid="{00000000-0005-0000-0000-00009B050000}"/>
    <cellStyle name="Zlá" xfId="1439" xr:uid="{00000000-0005-0000-0000-00009C050000}"/>
    <cellStyle name="Zlá 2" xfId="1087" xr:uid="{00000000-0005-0000-0000-00009D050000}"/>
    <cellStyle name="Zlá 3" xfId="1090" xr:uid="{00000000-0005-0000-0000-00009E050000}"/>
    <cellStyle name="Złe" xfId="1440" xr:uid="{00000000-0005-0000-0000-00009F050000}"/>
    <cellStyle name="Zvýraznenie1" xfId="1014" xr:uid="{00000000-0005-0000-0000-0000A0050000}"/>
    <cellStyle name="Zvýraznenie1 2" xfId="1285" xr:uid="{00000000-0005-0000-0000-0000A1050000}"/>
    <cellStyle name="Zvýraznenie1 3" xfId="1441" xr:uid="{00000000-0005-0000-0000-0000A2050000}"/>
    <cellStyle name="Zvýraznenie2" xfId="1442" xr:uid="{00000000-0005-0000-0000-0000A3050000}"/>
    <cellStyle name="Zvýraznenie2 2" xfId="1443" xr:uid="{00000000-0005-0000-0000-0000A4050000}"/>
    <cellStyle name="Zvýraznenie2 3" xfId="1444" xr:uid="{00000000-0005-0000-0000-0000A5050000}"/>
    <cellStyle name="Zvýraznenie3" xfId="1445" xr:uid="{00000000-0005-0000-0000-0000A6050000}"/>
    <cellStyle name="Zvýraznenie3 2" xfId="1446" xr:uid="{00000000-0005-0000-0000-0000A7050000}"/>
    <cellStyle name="Zvýraznenie3 3" xfId="1447" xr:uid="{00000000-0005-0000-0000-0000A8050000}"/>
    <cellStyle name="Zvýraznenie4" xfId="56" xr:uid="{00000000-0005-0000-0000-0000A9050000}"/>
    <cellStyle name="Zvýraznenie4 2" xfId="1448" xr:uid="{00000000-0005-0000-0000-0000AA050000}"/>
    <cellStyle name="Zvýraznenie4 3" xfId="1449" xr:uid="{00000000-0005-0000-0000-0000AB050000}"/>
    <cellStyle name="Zvýraznenie5" xfId="1450" xr:uid="{00000000-0005-0000-0000-0000AC050000}"/>
    <cellStyle name="Zvýraznenie5 2" xfId="1451" xr:uid="{00000000-0005-0000-0000-0000AD050000}"/>
    <cellStyle name="Zvýraznenie5 3" xfId="1452" xr:uid="{00000000-0005-0000-0000-0000AE050000}"/>
    <cellStyle name="Zvýraznenie6" xfId="1453" xr:uid="{00000000-0005-0000-0000-0000AF050000}"/>
    <cellStyle name="Zvýraznenie6 2" xfId="1454" xr:uid="{00000000-0005-0000-0000-0000B0050000}"/>
    <cellStyle name="Zvýraznenie6 3" xfId="1455" xr:uid="{00000000-0005-0000-0000-0000B1050000}"/>
    <cellStyle name="Обычный_01_00 Annual Report" xfId="1456" xr:uid="{00000000-0005-0000-0000-0000B2050000}"/>
    <cellStyle name="Финансовый_Ravioli_Management_FS&amp;PL_2002-9M2005_KV" xfId="38" xr:uid="{00000000-0005-0000-0000-0000B3050000}"/>
  </cellStyles>
  <dxfs count="2"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mruColors>
      <color rgb="FFFFFFCC"/>
      <color rgb="FF0000FF"/>
      <color rgb="FFEAF1DB"/>
      <color rgb="FFCCFFCC"/>
      <color rgb="FFD3E1B5"/>
      <color rgb="FFDCEFF4"/>
      <color rgb="FFC5E4ED"/>
      <color rgb="FF000099"/>
      <color rgb="FFFEF4EC"/>
      <color rgb="FFFFEA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0E7CE-7B42-4E60-BFFE-8913DE9CA9D5}">
  <sheetPr>
    <tabColor rgb="FFEAF1DB"/>
  </sheetPr>
  <dimension ref="B2:Z64"/>
  <sheetViews>
    <sheetView tabSelected="1" workbookViewId="0"/>
  </sheetViews>
  <sheetFormatPr baseColWidth="10" defaultColWidth="8.83203125" defaultRowHeight="15"/>
  <cols>
    <col min="1" max="1" width="8.83203125" style="63"/>
    <col min="2" max="2" width="53.83203125" style="63" customWidth="1"/>
    <col min="3" max="9" width="14.5" style="63" customWidth="1"/>
    <col min="10" max="16384" width="8.83203125" style="63"/>
  </cols>
  <sheetData>
    <row r="2" spans="2:26">
      <c r="B2" s="1200" t="s">
        <v>3344</v>
      </c>
      <c r="C2" s="1200" t="s">
        <v>3376</v>
      </c>
      <c r="D2" s="1200" t="s">
        <v>3377</v>
      </c>
      <c r="E2" s="1200" t="s">
        <v>3378</v>
      </c>
      <c r="F2" s="1060"/>
      <c r="G2" s="1060"/>
      <c r="H2" s="1060"/>
      <c r="I2" s="1060"/>
      <c r="Z2" s="352" t="s">
        <v>3403</v>
      </c>
    </row>
    <row r="3" spans="2:26">
      <c r="B3" s="1158" t="s">
        <v>3379</v>
      </c>
      <c r="C3" s="1201">
        <f>SUM(Capex_model!D28:G28)/1000</f>
        <v>247784.8101108</v>
      </c>
      <c r="D3" s="1201">
        <f>SUM(Capex_model!D38:G38)/1000</f>
        <v>331960.50847599993</v>
      </c>
      <c r="E3" s="1201">
        <f>SUM(Capex_model!D48:J48)/1000</f>
        <v>740144.65509391984</v>
      </c>
      <c r="Z3" s="1115" t="s">
        <v>3363</v>
      </c>
    </row>
    <row r="4" spans="2:26">
      <c r="B4" s="1042"/>
      <c r="C4" s="604"/>
      <c r="D4" s="604"/>
      <c r="E4" s="604"/>
      <c r="F4" s="1060"/>
      <c r="G4" s="1060"/>
      <c r="H4" s="1060"/>
      <c r="I4" s="1060"/>
      <c r="Z4" s="1116" t="s">
        <v>3374</v>
      </c>
    </row>
    <row r="5" spans="2:26">
      <c r="B5" s="1202" t="s">
        <v>3342</v>
      </c>
      <c r="C5" s="69"/>
      <c r="D5" s="69"/>
      <c r="E5" s="69"/>
      <c r="Z5" s="1117" t="s">
        <v>3362</v>
      </c>
    </row>
    <row r="6" spans="2:26">
      <c r="B6" s="554" t="s">
        <v>3416</v>
      </c>
      <c r="C6" s="1054">
        <v>0.05</v>
      </c>
      <c r="D6" s="1054">
        <v>0.08</v>
      </c>
      <c r="E6" s="1054">
        <v>0.1</v>
      </c>
      <c r="F6" s="352" t="s">
        <v>3345</v>
      </c>
    </row>
    <row r="7" spans="2:26">
      <c r="B7" s="573" t="s">
        <v>3418</v>
      </c>
      <c r="C7" s="1054">
        <v>0.05</v>
      </c>
      <c r="D7" s="1054">
        <v>0.08</v>
      </c>
      <c r="E7" s="1054">
        <v>0.1</v>
      </c>
      <c r="F7" s="352" t="s">
        <v>3346</v>
      </c>
    </row>
    <row r="8" spans="2:26">
      <c r="B8" s="573" t="s">
        <v>3417</v>
      </c>
      <c r="C8" s="1054">
        <v>0</v>
      </c>
      <c r="D8" s="1054">
        <v>0</v>
      </c>
      <c r="E8" s="1054">
        <v>0.1</v>
      </c>
      <c r="F8" s="352" t="s">
        <v>3347</v>
      </c>
    </row>
    <row r="9" spans="2:26">
      <c r="B9" s="554" t="s">
        <v>3144</v>
      </c>
      <c r="C9" s="1054">
        <v>-0.03</v>
      </c>
      <c r="D9" s="1054">
        <v>-0.05</v>
      </c>
      <c r="E9" s="1054">
        <v>-0.15</v>
      </c>
      <c r="F9" s="352" t="s">
        <v>3348</v>
      </c>
    </row>
    <row r="10" spans="2:26">
      <c r="B10" s="554" t="s">
        <v>3145</v>
      </c>
      <c r="C10" s="1054">
        <v>0</v>
      </c>
      <c r="D10" s="1054">
        <v>0</v>
      </c>
      <c r="E10" s="1054">
        <v>0</v>
      </c>
      <c r="F10" s="352" t="s">
        <v>3349</v>
      </c>
    </row>
    <row r="11" spans="2:26">
      <c r="B11" s="554" t="s">
        <v>3146</v>
      </c>
      <c r="C11" s="1054">
        <v>7.0000000000000001E-3</v>
      </c>
      <c r="D11" s="1054">
        <v>1.2E-2</v>
      </c>
      <c r="E11" s="1054">
        <v>2.1999999999999999E-2</v>
      </c>
      <c r="F11" s="852" t="s">
        <v>3150</v>
      </c>
    </row>
    <row r="12" spans="2:26">
      <c r="B12" s="554" t="s">
        <v>3147</v>
      </c>
      <c r="C12" s="1054">
        <v>0.17</v>
      </c>
      <c r="D12" s="1054">
        <v>0.18</v>
      </c>
      <c r="E12" s="1054">
        <v>0.2</v>
      </c>
      <c r="F12" s="677" t="s">
        <v>3151</v>
      </c>
    </row>
    <row r="13" spans="2:26">
      <c r="B13" s="554" t="s">
        <v>3419</v>
      </c>
      <c r="C13" s="1054">
        <v>3.2000000000000001E-2</v>
      </c>
      <c r="D13" s="1054">
        <f>C13+2.1%</f>
        <v>5.3000000000000005E-2</v>
      </c>
      <c r="E13" s="1054">
        <f>D13+1.9%</f>
        <v>7.2000000000000008E-2</v>
      </c>
      <c r="F13" s="677" t="s">
        <v>3152</v>
      </c>
    </row>
    <row r="14" spans="2:26">
      <c r="B14" s="603" t="s">
        <v>3138</v>
      </c>
      <c r="C14" s="862">
        <v>0</v>
      </c>
      <c r="D14" s="862">
        <v>-0.02</v>
      </c>
      <c r="E14" s="862">
        <v>-0.08</v>
      </c>
      <c r="F14" s="1061" t="s">
        <v>3159</v>
      </c>
      <c r="G14" s="1060"/>
      <c r="H14" s="1060"/>
      <c r="I14" s="1060"/>
    </row>
    <row r="15" spans="2:26">
      <c r="B15" s="554" t="s">
        <v>3153</v>
      </c>
      <c r="C15" s="618">
        <v>0</v>
      </c>
      <c r="D15" s="618">
        <v>0</v>
      </c>
      <c r="E15" s="618">
        <v>-0.1</v>
      </c>
      <c r="F15" s="677" t="s">
        <v>3160</v>
      </c>
    </row>
    <row r="16" spans="2:26">
      <c r="B16" s="554" t="s">
        <v>3393</v>
      </c>
      <c r="C16" s="618">
        <v>0.42</v>
      </c>
      <c r="D16" s="618">
        <v>0.78</v>
      </c>
      <c r="E16" s="618">
        <v>1</v>
      </c>
    </row>
    <row r="17" spans="2:9">
      <c r="B17" s="1087" t="s">
        <v>3383</v>
      </c>
      <c r="C17" s="618">
        <v>7.8E-2</v>
      </c>
      <c r="D17" s="618">
        <v>5.8000000000000003E-2</v>
      </c>
      <c r="E17" s="618">
        <v>2.8000000000000001E-2</v>
      </c>
    </row>
    <row r="18" spans="2:9">
      <c r="B18" s="1087"/>
      <c r="C18" s="1087"/>
      <c r="D18" s="1087"/>
      <c r="E18" s="1087"/>
      <c r="F18" s="1087"/>
    </row>
    <row r="20" spans="2:9">
      <c r="B20" s="1158" t="s">
        <v>3343</v>
      </c>
      <c r="C20" s="1203"/>
      <c r="D20" s="1203"/>
      <c r="E20" s="1203"/>
      <c r="F20" s="1203"/>
      <c r="G20" s="1203"/>
      <c r="H20" s="1203"/>
      <c r="I20" s="1203"/>
    </row>
    <row r="21" spans="2:9">
      <c r="B21" s="573" t="s">
        <v>3338</v>
      </c>
      <c r="C21" s="1054">
        <v>0.5</v>
      </c>
      <c r="D21" s="352" t="s">
        <v>3405</v>
      </c>
    </row>
    <row r="22" spans="2:9">
      <c r="B22" s="573" t="s">
        <v>3421</v>
      </c>
      <c r="C22" s="1054">
        <v>0.2</v>
      </c>
      <c r="D22" s="352" t="s">
        <v>3350</v>
      </c>
    </row>
    <row r="23" spans="2:9">
      <c r="B23" s="573" t="s">
        <v>3420</v>
      </c>
      <c r="C23" s="1054">
        <v>0.35</v>
      </c>
      <c r="D23" s="352" t="s">
        <v>3351</v>
      </c>
    </row>
    <row r="24" spans="2:9">
      <c r="B24" s="1058" t="s">
        <v>3422</v>
      </c>
      <c r="C24" s="862">
        <v>1</v>
      </c>
      <c r="D24" s="1059" t="s">
        <v>3454</v>
      </c>
      <c r="E24" s="1060"/>
      <c r="F24" s="1060"/>
      <c r="G24" s="1060"/>
      <c r="H24" s="1060"/>
      <c r="I24" s="1060"/>
    </row>
    <row r="26" spans="2:9">
      <c r="B26" s="1158" t="s">
        <v>3352</v>
      </c>
      <c r="C26" s="863">
        <v>2022</v>
      </c>
      <c r="D26" s="863">
        <f>C26+1</f>
        <v>2023</v>
      </c>
      <c r="E26" s="863">
        <f t="shared" ref="E26:I26" si="0">D26+1</f>
        <v>2024</v>
      </c>
      <c r="F26" s="863">
        <f t="shared" si="0"/>
        <v>2025</v>
      </c>
      <c r="G26" s="863">
        <f t="shared" si="0"/>
        <v>2026</v>
      </c>
      <c r="H26" s="863">
        <f t="shared" si="0"/>
        <v>2027</v>
      </c>
      <c r="I26" s="863">
        <f t="shared" si="0"/>
        <v>2028</v>
      </c>
    </row>
    <row r="27" spans="2:9">
      <c r="B27" s="552" t="s">
        <v>3423</v>
      </c>
      <c r="C27" s="1056">
        <v>0</v>
      </c>
      <c r="D27" s="1056">
        <f>C27</f>
        <v>0</v>
      </c>
      <c r="E27" s="1056">
        <f t="shared" ref="E27:I27" si="1">D27</f>
        <v>0</v>
      </c>
      <c r="F27" s="1056">
        <f t="shared" si="1"/>
        <v>0</v>
      </c>
      <c r="G27" s="1056">
        <f t="shared" si="1"/>
        <v>0</v>
      </c>
      <c r="H27" s="1056">
        <f t="shared" si="1"/>
        <v>0</v>
      </c>
      <c r="I27" s="1056">
        <f t="shared" si="1"/>
        <v>0</v>
      </c>
    </row>
    <row r="28" spans="2:9">
      <c r="B28" s="552" t="s">
        <v>421</v>
      </c>
      <c r="C28" s="1056">
        <v>0</v>
      </c>
      <c r="D28" s="1056">
        <f t="shared" ref="D28:I30" si="2">C28</f>
        <v>0</v>
      </c>
      <c r="E28" s="1056">
        <f t="shared" si="2"/>
        <v>0</v>
      </c>
      <c r="F28" s="1056">
        <f t="shared" si="2"/>
        <v>0</v>
      </c>
      <c r="G28" s="1056">
        <f t="shared" si="2"/>
        <v>0</v>
      </c>
      <c r="H28" s="1056">
        <f t="shared" si="2"/>
        <v>0</v>
      </c>
      <c r="I28" s="1056">
        <f t="shared" si="2"/>
        <v>0</v>
      </c>
    </row>
    <row r="29" spans="2:9">
      <c r="B29" s="861" t="s">
        <v>3353</v>
      </c>
      <c r="C29" s="1128">
        <v>0</v>
      </c>
      <c r="D29" s="1128">
        <f t="shared" si="2"/>
        <v>0</v>
      </c>
      <c r="E29" s="1128">
        <f t="shared" si="2"/>
        <v>0</v>
      </c>
      <c r="F29" s="1128">
        <f t="shared" si="2"/>
        <v>0</v>
      </c>
      <c r="G29" s="1128">
        <f t="shared" si="2"/>
        <v>0</v>
      </c>
      <c r="H29" s="1128">
        <f t="shared" si="2"/>
        <v>0</v>
      </c>
      <c r="I29" s="1128">
        <f t="shared" si="2"/>
        <v>0</v>
      </c>
    </row>
    <row r="30" spans="2:9">
      <c r="B30" s="861" t="s">
        <v>2899</v>
      </c>
      <c r="C30" s="1128">
        <v>0</v>
      </c>
      <c r="D30" s="1128">
        <f t="shared" si="2"/>
        <v>0</v>
      </c>
      <c r="E30" s="1128">
        <f t="shared" si="2"/>
        <v>0</v>
      </c>
      <c r="F30" s="1128">
        <f t="shared" si="2"/>
        <v>0</v>
      </c>
      <c r="G30" s="1128">
        <f t="shared" si="2"/>
        <v>0</v>
      </c>
      <c r="H30" s="1128">
        <f t="shared" si="2"/>
        <v>0</v>
      </c>
      <c r="I30" s="1128">
        <f t="shared" si="2"/>
        <v>0</v>
      </c>
    </row>
    <row r="31" spans="2:9">
      <c r="B31" s="1158" t="s">
        <v>3404</v>
      </c>
    </row>
    <row r="32" spans="2:9">
      <c r="B32" s="554" t="s">
        <v>2988</v>
      </c>
      <c r="C32" s="1056">
        <v>0.2</v>
      </c>
    </row>
    <row r="33" spans="2:11">
      <c r="B33" s="554" t="s">
        <v>3354</v>
      </c>
      <c r="C33" s="1056">
        <v>0.2</v>
      </c>
    </row>
    <row r="34" spans="2:11">
      <c r="B34" s="554" t="s">
        <v>3355</v>
      </c>
      <c r="C34" s="1057">
        <v>0.1</v>
      </c>
    </row>
    <row r="35" spans="2:11">
      <c r="B35" s="554" t="s">
        <v>3356</v>
      </c>
      <c r="C35" s="1057">
        <v>0.1</v>
      </c>
    </row>
    <row r="36" spans="2:11">
      <c r="B36" s="1204" t="s">
        <v>3397</v>
      </c>
      <c r="C36" s="1205">
        <v>0.05</v>
      </c>
      <c r="H36" s="457"/>
      <c r="I36" s="552"/>
      <c r="J36" s="552"/>
      <c r="K36" s="552"/>
    </row>
    <row r="37" spans="2:11">
      <c r="B37" s="552" t="s">
        <v>3375</v>
      </c>
      <c r="C37" s="1120" t="s">
        <v>3362</v>
      </c>
      <c r="G37" s="1121"/>
      <c r="H37" s="69"/>
      <c r="I37" s="1122"/>
    </row>
    <row r="38" spans="2:11">
      <c r="B38" s="552" t="s">
        <v>3252</v>
      </c>
      <c r="C38" s="1127">
        <v>1</v>
      </c>
      <c r="G38" s="1121"/>
      <c r="H38" s="69"/>
      <c r="I38" s="1122"/>
    </row>
    <row r="39" spans="2:11">
      <c r="B39" s="552" t="s">
        <v>3402</v>
      </c>
      <c r="C39" s="1127">
        <v>1</v>
      </c>
      <c r="G39" s="1121"/>
      <c r="H39" s="69"/>
      <c r="I39" s="1122"/>
    </row>
    <row r="40" spans="2:11">
      <c r="B40" s="849" t="s">
        <v>3400</v>
      </c>
      <c r="C40" s="1119">
        <v>1</v>
      </c>
      <c r="G40" s="1121"/>
      <c r="H40" s="69"/>
      <c r="I40" s="1122"/>
    </row>
    <row r="41" spans="2:11">
      <c r="G41" s="1121"/>
      <c r="H41" s="69"/>
      <c r="I41" s="1122"/>
    </row>
    <row r="42" spans="2:11" ht="16" thickBot="1">
      <c r="D42" s="1206" t="s">
        <v>3363</v>
      </c>
      <c r="E42" s="1206" t="s">
        <v>3374</v>
      </c>
      <c r="F42" s="1206" t="s">
        <v>3362</v>
      </c>
      <c r="G42" s="1121"/>
      <c r="H42" s="69"/>
      <c r="I42" s="1122"/>
    </row>
    <row r="43" spans="2:11">
      <c r="B43" s="1594" t="s">
        <v>3171</v>
      </c>
      <c r="C43" s="1595"/>
      <c r="D43" s="1029">
        <f>Scenarios_Summary!E68</f>
        <v>0.14266893267631531</v>
      </c>
      <c r="E43" s="1088">
        <f>Scenarios_Summary!F68</f>
        <v>0.131298166513443</v>
      </c>
      <c r="F43" s="1023">
        <f>Scenarios_Summary!G68</f>
        <v>7.9423621296882643E-2</v>
      </c>
      <c r="G43" s="1121"/>
      <c r="H43" s="69"/>
      <c r="I43" s="1122"/>
    </row>
    <row r="44" spans="2:11">
      <c r="B44" s="1590"/>
      <c r="C44" s="1591" t="s">
        <v>3408</v>
      </c>
      <c r="D44" s="1030">
        <f>Scenarios_Summary!E70</f>
        <v>298864.09145190287</v>
      </c>
      <c r="E44" s="552">
        <f>Scenarios_Summary!F70</f>
        <v>347537.91624676716</v>
      </c>
      <c r="F44" s="1024">
        <f>Scenarios_Summary!G70</f>
        <v>79611.674744289368</v>
      </c>
      <c r="G44" s="1121"/>
      <c r="H44" s="69"/>
      <c r="I44" s="1122"/>
    </row>
    <row r="45" spans="2:11">
      <c r="B45" s="1590" t="s">
        <v>3384</v>
      </c>
      <c r="C45" s="1591"/>
      <c r="D45" s="1030">
        <f>Scenarios_Summary!E69</f>
        <v>622391.73852678342</v>
      </c>
      <c r="E45" s="552">
        <f>Scenarios_Summary!F69</f>
        <v>769949.12951030792</v>
      </c>
      <c r="F45" s="1024">
        <f>Scenarios_Summary!G69</f>
        <v>747317.69915252714</v>
      </c>
      <c r="G45" s="1121"/>
      <c r="H45" s="69"/>
      <c r="I45" s="1122"/>
    </row>
    <row r="46" spans="2:11" ht="16" thickBot="1">
      <c r="B46" s="1592" t="s">
        <v>3172</v>
      </c>
      <c r="C46" s="1593"/>
      <c r="D46" s="1031">
        <f>Scenarios_Summary!E71</f>
        <v>12</v>
      </c>
      <c r="E46" s="1089">
        <f>Scenarios_Summary!F71</f>
        <v>12</v>
      </c>
      <c r="F46" s="1025">
        <f>Scenarios_Summary!G71</f>
        <v>19</v>
      </c>
      <c r="G46" s="1121"/>
      <c r="H46" s="69"/>
      <c r="I46" s="1122"/>
    </row>
    <row r="47" spans="2:11">
      <c r="C47" s="1097"/>
      <c r="G47" s="1121"/>
      <c r="H47" s="69"/>
      <c r="I47" s="1122"/>
    </row>
    <row r="48" spans="2:11" ht="16" thickBot="1">
      <c r="B48" s="69"/>
      <c r="C48" s="69"/>
      <c r="D48" s="1207" t="s">
        <v>3398</v>
      </c>
      <c r="E48" s="1207" t="s">
        <v>3399</v>
      </c>
      <c r="F48" s="1207" t="s">
        <v>3385</v>
      </c>
      <c r="G48" s="1121"/>
      <c r="H48" s="69"/>
      <c r="I48" s="1122"/>
    </row>
    <row r="49" spans="2:9">
      <c r="B49" s="1594" t="s">
        <v>3171</v>
      </c>
      <c r="C49" s="1595"/>
      <c r="D49" s="1029">
        <f>Scenarios_Summary!E64</f>
        <v>6.6895285248756417E-2</v>
      </c>
      <c r="E49" s="1023">
        <f>Scenarios_Summary!F64</f>
        <v>7.9423621296882643E-2</v>
      </c>
      <c r="F49" s="1023">
        <f>Scenarios_Summary!G64</f>
        <v>1.2528336048126226E-2</v>
      </c>
      <c r="G49" s="1121"/>
      <c r="H49" s="69"/>
      <c r="I49" s="1122"/>
    </row>
    <row r="50" spans="2:9">
      <c r="B50" s="1590" t="s">
        <v>3384</v>
      </c>
      <c r="C50" s="1591"/>
      <c r="D50" s="1030">
        <f>Scenarios_Summary!E65</f>
        <v>566103.89420961333</v>
      </c>
      <c r="E50" s="1024">
        <f>Scenarios_Summary!F65</f>
        <v>747317.69915252714</v>
      </c>
      <c r="F50" s="1024">
        <f>Scenarios_Summary!G65</f>
        <v>181213.80494291382</v>
      </c>
      <c r="G50" s="1121"/>
      <c r="H50" s="69"/>
      <c r="I50" s="1122"/>
    </row>
    <row r="51" spans="2:9" ht="16" thickBot="1">
      <c r="B51" s="1592" t="s">
        <v>3172</v>
      </c>
      <c r="C51" s="1593"/>
      <c r="D51" s="1031" t="str">
        <f>Scenarios_Summary!E66</f>
        <v>VIAC než 20r.</v>
      </c>
      <c r="E51" s="1025">
        <f>Scenarios_Summary!F66</f>
        <v>19</v>
      </c>
      <c r="F51" s="1114" t="str">
        <f>Scenarios_Summary!G66</f>
        <v>na</v>
      </c>
      <c r="G51" s="1121"/>
      <c r="H51" s="69"/>
      <c r="I51" s="1122"/>
    </row>
    <row r="52" spans="2:9">
      <c r="G52" s="1121"/>
      <c r="H52" s="69"/>
      <c r="I52" s="1122"/>
    </row>
    <row r="53" spans="2:9">
      <c r="G53" s="1121"/>
      <c r="H53" s="69"/>
      <c r="I53" s="1122"/>
    </row>
    <row r="54" spans="2:9">
      <c r="D54" s="69"/>
      <c r="G54" s="1121"/>
      <c r="H54" s="69"/>
      <c r="I54" s="1122"/>
    </row>
    <row r="55" spans="2:9">
      <c r="G55" s="1121"/>
      <c r="H55" s="69"/>
      <c r="I55" s="1122"/>
    </row>
    <row r="56" spans="2:9">
      <c r="G56" s="1121"/>
      <c r="H56" s="69"/>
      <c r="I56" s="1122"/>
    </row>
    <row r="57" spans="2:9">
      <c r="G57" s="1121"/>
      <c r="H57" s="69"/>
      <c r="I57" s="1122"/>
    </row>
    <row r="58" spans="2:9">
      <c r="G58" s="1121"/>
      <c r="H58" s="69"/>
      <c r="I58" s="1122"/>
    </row>
    <row r="59" spans="2:9">
      <c r="G59" s="1121"/>
      <c r="H59" s="69"/>
      <c r="I59" s="1122"/>
    </row>
    <row r="60" spans="2:9">
      <c r="G60" s="1121"/>
      <c r="H60" s="69"/>
      <c r="I60" s="1122"/>
    </row>
    <row r="61" spans="2:9">
      <c r="G61" s="1121"/>
      <c r="H61" s="69"/>
      <c r="I61" s="1122"/>
    </row>
    <row r="62" spans="2:9">
      <c r="G62" s="1121"/>
      <c r="H62" s="69"/>
      <c r="I62" s="1122"/>
    </row>
    <row r="63" spans="2:9">
      <c r="G63" s="1121"/>
      <c r="H63" s="69"/>
      <c r="I63" s="1122"/>
    </row>
    <row r="64" spans="2:9">
      <c r="G64" s="1121"/>
      <c r="H64" s="69"/>
      <c r="I64" s="1122"/>
    </row>
  </sheetData>
  <mergeCells count="7">
    <mergeCell ref="B44:C44"/>
    <mergeCell ref="B51:C51"/>
    <mergeCell ref="B43:C43"/>
    <mergeCell ref="B45:C45"/>
    <mergeCell ref="B46:C46"/>
    <mergeCell ref="B49:C49"/>
    <mergeCell ref="B50:C50"/>
  </mergeCells>
  <dataValidations count="1">
    <dataValidation type="list" allowBlank="1" showInputMessage="1" showErrorMessage="1" sqref="C37" xr:uid="{C8D8E3A2-2AAB-44D6-9FD6-E5A9E4AEBCA5}">
      <formula1>$Z$3:$Z$5</formula1>
    </dataValidation>
  </dataValidation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B5A47-1F46-4CE6-881F-87ED88A31A12}">
  <sheetPr>
    <tabColor theme="1"/>
  </sheetPr>
  <dimension ref="B3:B9"/>
  <sheetViews>
    <sheetView workbookViewId="0"/>
  </sheetViews>
  <sheetFormatPr baseColWidth="10" defaultColWidth="8.83203125" defaultRowHeight="15"/>
  <cols>
    <col min="1" max="1" width="7.1640625" style="63" customWidth="1"/>
    <col min="2" max="2" width="17.5" style="63" customWidth="1"/>
    <col min="3" max="16384" width="8.83203125" style="63"/>
  </cols>
  <sheetData>
    <row r="3" spans="2:2">
      <c r="B3" s="352" t="s">
        <v>3094</v>
      </c>
    </row>
    <row r="4" spans="2:2">
      <c r="B4" s="352" t="s">
        <v>3095</v>
      </c>
    </row>
    <row r="5" spans="2:2">
      <c r="B5" s="352" t="s">
        <v>3096</v>
      </c>
    </row>
    <row r="6" spans="2:2">
      <c r="B6" s="352" t="s">
        <v>3097</v>
      </c>
    </row>
    <row r="7" spans="2:2">
      <c r="B7" s="352" t="s">
        <v>3098</v>
      </c>
    </row>
    <row r="8" spans="2:2">
      <c r="B8" s="352" t="s">
        <v>3107</v>
      </c>
    </row>
    <row r="9" spans="2:2">
      <c r="B9" s="352" t="s">
        <v>3108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2:Y38"/>
  <sheetViews>
    <sheetView workbookViewId="0"/>
  </sheetViews>
  <sheetFormatPr baseColWidth="10" defaultColWidth="9.1640625" defaultRowHeight="12"/>
  <cols>
    <col min="1" max="1" width="3.5" style="147" customWidth="1"/>
    <col min="2" max="2" width="30.6640625" style="147" customWidth="1"/>
    <col min="3" max="15" width="13.1640625" style="147" customWidth="1"/>
    <col min="16" max="25" width="15" style="147" customWidth="1"/>
    <col min="26" max="16384" width="9.1640625" style="147"/>
  </cols>
  <sheetData>
    <row r="2" spans="1:25" s="207" customFormat="1" ht="15" thickBot="1">
      <c r="B2" s="81" t="s">
        <v>261</v>
      </c>
      <c r="C2" s="343" t="s">
        <v>0</v>
      </c>
      <c r="D2" s="344" t="s">
        <v>1</v>
      </c>
      <c r="E2" s="208"/>
      <c r="F2" s="208"/>
      <c r="G2" s="208"/>
      <c r="H2" s="208"/>
      <c r="I2" s="208"/>
      <c r="J2" s="208"/>
      <c r="K2" s="209"/>
      <c r="L2" s="209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4" spans="1:25">
      <c r="B4" s="349" t="s">
        <v>263</v>
      </c>
      <c r="C4" s="347">
        <v>44682</v>
      </c>
      <c r="E4" s="354"/>
    </row>
    <row r="5" spans="1:25">
      <c r="B5" s="62" t="s">
        <v>3</v>
      </c>
      <c r="C5" s="148">
        <v>49674</v>
      </c>
      <c r="D5" s="210"/>
    </row>
    <row r="6" spans="1:25" ht="12" customHeight="1">
      <c r="B6" s="805" t="s">
        <v>3106</v>
      </c>
      <c r="C6" s="346">
        <f>'FCFs"0"'!C45</f>
        <v>0.05</v>
      </c>
    </row>
    <row r="7" spans="1:25">
      <c r="B7" s="333"/>
      <c r="C7" s="334"/>
    </row>
    <row r="8" spans="1:25" s="150" customFormat="1" ht="14">
      <c r="B8" s="350"/>
      <c r="C8" s="351"/>
      <c r="D8" s="149"/>
      <c r="G8" s="147"/>
      <c r="H8" s="147"/>
      <c r="I8" s="147"/>
      <c r="P8" s="147"/>
      <c r="Q8" s="147"/>
      <c r="R8" s="147"/>
      <c r="S8" s="147"/>
      <c r="T8" s="147"/>
      <c r="U8" s="147"/>
      <c r="V8" s="147"/>
      <c r="W8" s="147"/>
      <c r="X8" s="147"/>
      <c r="Y8" s="147"/>
    </row>
    <row r="9" spans="1:25">
      <c r="H9" s="119"/>
    </row>
    <row r="10" spans="1:25" s="211" customFormat="1">
      <c r="A10" s="147"/>
      <c r="B10" s="212" t="s">
        <v>260</v>
      </c>
      <c r="C10" s="213">
        <f>C23</f>
        <v>44196</v>
      </c>
      <c r="D10" s="229">
        <f t="shared" ref="D10:N10" si="0">D23</f>
        <v>44561</v>
      </c>
      <c r="E10" s="213">
        <f t="shared" si="0"/>
        <v>44926</v>
      </c>
      <c r="F10" s="213">
        <f t="shared" si="0"/>
        <v>45291</v>
      </c>
      <c r="G10" s="213">
        <f t="shared" si="0"/>
        <v>45657</v>
      </c>
      <c r="H10" s="213">
        <f t="shared" si="0"/>
        <v>46022</v>
      </c>
      <c r="I10" s="213">
        <f t="shared" si="0"/>
        <v>46387</v>
      </c>
      <c r="J10" s="213">
        <f t="shared" si="0"/>
        <v>46752</v>
      </c>
      <c r="K10" s="213">
        <f t="shared" si="0"/>
        <v>47118</v>
      </c>
      <c r="L10" s="213">
        <f t="shared" si="0"/>
        <v>47483</v>
      </c>
      <c r="M10" s="213">
        <f t="shared" si="0"/>
        <v>47848</v>
      </c>
      <c r="N10" s="213">
        <f t="shared" si="0"/>
        <v>48213</v>
      </c>
      <c r="O10" s="213">
        <f t="shared" ref="O10:P10" si="1">O23</f>
        <v>48579</v>
      </c>
      <c r="P10" s="213">
        <f t="shared" si="1"/>
        <v>48944</v>
      </c>
      <c r="Q10" s="213">
        <f t="shared" ref="Q10:R10" si="2">Q23</f>
        <v>49309</v>
      </c>
      <c r="R10" s="213">
        <f t="shared" si="2"/>
        <v>49674</v>
      </c>
      <c r="S10" s="213">
        <f t="shared" ref="S10:Y10" si="3">S23</f>
        <v>50040</v>
      </c>
      <c r="T10" s="213">
        <f t="shared" si="3"/>
        <v>50405</v>
      </c>
      <c r="U10" s="213">
        <f t="shared" si="3"/>
        <v>50770</v>
      </c>
      <c r="V10" s="213">
        <f t="shared" si="3"/>
        <v>51135</v>
      </c>
      <c r="W10" s="213">
        <f t="shared" si="3"/>
        <v>51501</v>
      </c>
      <c r="X10" s="213">
        <f t="shared" si="3"/>
        <v>51866</v>
      </c>
      <c r="Y10" s="213">
        <f t="shared" si="3"/>
        <v>52231</v>
      </c>
    </row>
    <row r="11" spans="1:25">
      <c r="B11" s="337" t="str">
        <f>'FCFs"0"'!B17</f>
        <v>Net Income</v>
      </c>
      <c r="C11" s="215"/>
      <c r="D11" s="220"/>
      <c r="E11" s="215">
        <f>'FCFs"0"'!C17</f>
        <v>-50654467.114827156</v>
      </c>
      <c r="F11" s="215">
        <f>'FCFs"0"'!D17</f>
        <v>-52374046.241634384</v>
      </c>
      <c r="G11" s="215">
        <f>'FCFs"0"'!E17</f>
        <v>-54901469.432360604</v>
      </c>
      <c r="H11" s="215">
        <f>'FCFs"0"'!F17</f>
        <v>-58251787.298964448</v>
      </c>
      <c r="I11" s="215">
        <f>'FCFs"0"'!G17</f>
        <v>-61653072.812749512</v>
      </c>
      <c r="J11" s="215">
        <f>'FCFs"0"'!H17</f>
        <v>-64804899.790278077</v>
      </c>
      <c r="K11" s="215">
        <f>'FCFs"0"'!I17</f>
        <v>-67892743.050507411</v>
      </c>
      <c r="L11" s="215">
        <f>'FCFs"0"'!J17</f>
        <v>-71025107.133106351</v>
      </c>
      <c r="M11" s="215">
        <f>'FCFs"0"'!K17</f>
        <v>-72397471.214230597</v>
      </c>
      <c r="N11" s="215">
        <f>'FCFs"0"'!L17</f>
        <v>-71991962.241689771</v>
      </c>
      <c r="O11" s="215">
        <f>'FCFs"0"'!M17</f>
        <v>-73611333.334734738</v>
      </c>
      <c r="P11" s="215">
        <f>'FCFs"0"'!N17</f>
        <v>-74115477.865642637</v>
      </c>
      <c r="Q11" s="215">
        <f>'FCFs"0"'!O17</f>
        <v>-74931473.54142271</v>
      </c>
      <c r="R11" s="215">
        <f>'FCFs"0"'!P17</f>
        <v>-75855702.646941185</v>
      </c>
      <c r="S11" s="215">
        <f>'FCFs"0"'!Q17</f>
        <v>-76927638.532693684</v>
      </c>
      <c r="T11" s="215">
        <f>'FCFs"0"'!R17</f>
        <v>-78021366.581706643</v>
      </c>
      <c r="U11" s="215">
        <f>'FCFs"0"'!S17</f>
        <v>-78513349.636997581</v>
      </c>
      <c r="V11" s="215">
        <f>'FCFs"0"'!T17</f>
        <v>-78722782.350738138</v>
      </c>
      <c r="W11" s="215">
        <f>'FCFs"0"'!U17</f>
        <v>-79884604.615274519</v>
      </c>
      <c r="X11" s="215">
        <f>'FCFs"0"'!V17</f>
        <v>-81070062.198139429</v>
      </c>
      <c r="Y11" s="215">
        <f>'FCFs"0"'!W17</f>
        <v>-82279639.881139025</v>
      </c>
    </row>
    <row r="12" spans="1:25">
      <c r="B12" s="337" t="str">
        <f>'FCFs"0"'!B18</f>
        <v>Depreciation</v>
      </c>
      <c r="C12" s="215"/>
      <c r="D12" s="220"/>
      <c r="E12" s="215">
        <f>'FCFs"0"'!C18</f>
        <v>4846695.1041666688</v>
      </c>
      <c r="F12" s="215">
        <f>'FCFs"0"'!D18</f>
        <v>6156315.0388158597</v>
      </c>
      <c r="G12" s="215">
        <f>'FCFs"0"'!E18</f>
        <v>8534533.6094973274</v>
      </c>
      <c r="H12" s="215">
        <f>'FCFs"0"'!F18</f>
        <v>10914924.959136931</v>
      </c>
      <c r="I12" s="215">
        <f>'FCFs"0"'!G18</f>
        <v>13297950.826180108</v>
      </c>
      <c r="J12" s="215">
        <f>'FCFs"0"'!H18</f>
        <v>15692540.956811899</v>
      </c>
      <c r="K12" s="215">
        <f>'FCFs"0"'!I18</f>
        <v>18013735.410146296</v>
      </c>
      <c r="L12" s="215">
        <f>'FCFs"0"'!J18</f>
        <v>20273011.916609157</v>
      </c>
      <c r="M12" s="215">
        <f>'FCFs"0"'!K18</f>
        <v>20633119.833471134</v>
      </c>
      <c r="N12" s="215">
        <f>'FCFs"0"'!L18</f>
        <v>19199311.310270887</v>
      </c>
      <c r="O12" s="215">
        <f>'FCFs"0"'!M18</f>
        <v>19765803.344187789</v>
      </c>
      <c r="P12" s="215">
        <f>'FCFs"0"'!N18</f>
        <v>20378220.072313197</v>
      </c>
      <c r="Q12" s="215">
        <f>'FCFs"0"'!O18</f>
        <v>21030651.4840413</v>
      </c>
      <c r="R12" s="215">
        <f>'FCFs"0"'!P18</f>
        <v>21789429.585473225</v>
      </c>
      <c r="S12" s="215">
        <f>'FCFs"0"'!Q18</f>
        <v>22646723.12273242</v>
      </c>
      <c r="T12" s="215">
        <f>'FCFs"0"'!R18</f>
        <v>23521162.530736797</v>
      </c>
      <c r="U12" s="215">
        <f>'FCFs"0"'!S18</f>
        <v>23789106.786901273</v>
      </c>
      <c r="V12" s="215">
        <f>'FCFs"0"'!T18</f>
        <v>23769644.326989017</v>
      </c>
      <c r="W12" s="215">
        <f>'FCFs"0"'!U18</f>
        <v>24697606.422278523</v>
      </c>
      <c r="X12" s="215">
        <f>'FCFs"0"'!V18</f>
        <v>25644127.759473823</v>
      </c>
      <c r="Y12" s="215">
        <f>'FCFs"0"'!W18</f>
        <v>26609579.523413032</v>
      </c>
    </row>
    <row r="13" spans="1:25">
      <c r="B13" s="337" t="str">
        <f>'FCFs"0"'!B19</f>
        <v>Net increase of WC</v>
      </c>
      <c r="C13" s="215"/>
      <c r="D13" s="220"/>
      <c r="E13" s="215">
        <f>'FCFs"0"'!C19</f>
        <v>2104396.8255800605</v>
      </c>
      <c r="F13" s="215">
        <f>'FCFs"0"'!D19</f>
        <v>-158768.28509280086</v>
      </c>
      <c r="G13" s="215">
        <f>'FCFs"0"'!E19</f>
        <v>200247.98636204004</v>
      </c>
      <c r="H13" s="215">
        <f>'FCFs"0"'!F19</f>
        <v>612122.75319260359</v>
      </c>
      <c r="I13" s="215">
        <f>'FCFs"0"'!G19</f>
        <v>876973.1523271203</v>
      </c>
      <c r="J13" s="215">
        <f>'FCFs"0"'!H19</f>
        <v>-1528699.6711140573</v>
      </c>
      <c r="K13" s="215">
        <f>'FCFs"0"'!I19</f>
        <v>-1214328.71086514</v>
      </c>
      <c r="L13" s="215">
        <f>'FCFs"0"'!J19</f>
        <v>-303048.89918267727</v>
      </c>
      <c r="M13" s="215">
        <f>'FCFs"0"'!K19</f>
        <v>603938.74728482962</v>
      </c>
      <c r="N13" s="215">
        <f>'FCFs"0"'!L19</f>
        <v>581294.71492746472</v>
      </c>
      <c r="O13" s="215">
        <f>'FCFs"0"'!M19</f>
        <v>609852.14252391458</v>
      </c>
      <c r="P13" s="215">
        <f>'FCFs"0"'!N19</f>
        <v>14435.552067160606</v>
      </c>
      <c r="Q13" s="215">
        <f>'FCFs"0"'!O19</f>
        <v>105849.43755176663</v>
      </c>
      <c r="R13" s="215">
        <f>'FCFs"0"'!P19</f>
        <v>73692.377588152885</v>
      </c>
      <c r="S13" s="215">
        <f>'FCFs"0"'!Q19</f>
        <v>200381.80768191814</v>
      </c>
      <c r="T13" s="215">
        <f>'FCFs"0"'!R19</f>
        <v>204600.24866238236</v>
      </c>
      <c r="U13" s="215">
        <f>'FCFs"0"'!S19</f>
        <v>208912.99083301425</v>
      </c>
      <c r="V13" s="215">
        <f>'FCFs"0"'!T19</f>
        <v>213322.16852712631</v>
      </c>
      <c r="W13" s="215">
        <f>'FCFs"0"'!U19</f>
        <v>217829.96497189999</v>
      </c>
      <c r="X13" s="215">
        <f>'FCFs"0"'!V19</f>
        <v>222438.6134224534</v>
      </c>
      <c r="Y13" s="215">
        <f>'FCFs"0"'!W19</f>
        <v>227150.39832079411</v>
      </c>
    </row>
    <row r="14" spans="1:25">
      <c r="B14" s="337" t="str">
        <f>'FCFs"0"'!B20</f>
        <v>CAPEX</v>
      </c>
      <c r="C14" s="215"/>
      <c r="D14" s="220"/>
      <c r="E14" s="215">
        <f>'FCFs"0"'!C20</f>
        <v>-12088799.396761749</v>
      </c>
      <c r="F14" s="215">
        <f>'FCFs"0"'!D20</f>
        <v>-21952786.806290466</v>
      </c>
      <c r="G14" s="215">
        <f>'FCFs"0"'!E20</f>
        <v>-21972843.227442522</v>
      </c>
      <c r="H14" s="215">
        <f>'FCFs"0"'!F20</f>
        <v>-21997161.849629313</v>
      </c>
      <c r="I14" s="215">
        <f>'FCFs"0"'!G20</f>
        <v>-22103908.898139633</v>
      </c>
      <c r="J14" s="215">
        <f>'FCFs"0"'!H20</f>
        <v>-21426410.338471331</v>
      </c>
      <c r="K14" s="215">
        <f>'FCFs"0"'!I20</f>
        <v>-20854860.059657201</v>
      </c>
      <c r="L14" s="215">
        <f>'FCFs"0"'!J20</f>
        <v>-21271957.260850329</v>
      </c>
      <c r="M14" s="215">
        <f>'FCFs"0"'!K20</f>
        <v>-21697396.406067342</v>
      </c>
      <c r="N14" s="215">
        <f>'FCFs"0"'!L20</f>
        <v>-22131344.334188696</v>
      </c>
      <c r="O14" s="215">
        <f>'FCFs"0"'!M20</f>
        <v>-22573971.220872484</v>
      </c>
      <c r="P14" s="215">
        <f>'FCFs"0"'!N20</f>
        <v>-23025450.645289905</v>
      </c>
      <c r="Q14" s="215">
        <f>'FCFs"0"'!O20</f>
        <v>-23485959.6581957</v>
      </c>
      <c r="R14" s="215">
        <f>'FCFs"0"'!P20</f>
        <v>-23955678.851359621</v>
      </c>
      <c r="S14" s="215">
        <f>'FCFs"0"'!Q20</f>
        <v>-24434792.428386826</v>
      </c>
      <c r="T14" s="215">
        <f>'FCFs"0"'!R20</f>
        <v>-24923488.276954584</v>
      </c>
      <c r="U14" s="215">
        <f>'FCFs"0"'!S20</f>
        <v>-25421958.042493619</v>
      </c>
      <c r="V14" s="215">
        <f>'FCFs"0"'!T20</f>
        <v>-25930397.203343533</v>
      </c>
      <c r="W14" s="215">
        <f>'FCFs"0"'!U20</f>
        <v>-26449005.147410363</v>
      </c>
      <c r="X14" s="215">
        <f>'FCFs"0"'!V20</f>
        <v>-26977985.250358604</v>
      </c>
      <c r="Y14" s="215">
        <f>'FCFs"0"'!W20</f>
        <v>-27517544.955365777</v>
      </c>
    </row>
    <row r="15" spans="1:25">
      <c r="B15" s="337" t="str">
        <f>'FCFs"0"'!B21</f>
        <v>Change in LT receivables and payables</v>
      </c>
      <c r="C15" s="215"/>
      <c r="D15" s="220"/>
      <c r="E15" s="215">
        <f>'FCFs"0"'!C21</f>
        <v>0</v>
      </c>
      <c r="F15" s="215">
        <f>'FCFs"0"'!D21</f>
        <v>0</v>
      </c>
      <c r="G15" s="215">
        <f>'FCFs"0"'!E21</f>
        <v>0</v>
      </c>
      <c r="H15" s="215">
        <f>'FCFs"0"'!F21</f>
        <v>0</v>
      </c>
      <c r="I15" s="215">
        <f>'FCFs"0"'!G21</f>
        <v>0</v>
      </c>
      <c r="J15" s="215">
        <f>'FCFs"0"'!H21</f>
        <v>0</v>
      </c>
      <c r="K15" s="215">
        <f>'FCFs"0"'!I21</f>
        <v>0</v>
      </c>
      <c r="L15" s="215">
        <f>'FCFs"0"'!J21</f>
        <v>0</v>
      </c>
      <c r="M15" s="215">
        <f>'FCFs"0"'!K21</f>
        <v>0</v>
      </c>
      <c r="N15" s="215">
        <f>'FCFs"0"'!L21</f>
        <v>0</v>
      </c>
      <c r="O15" s="215">
        <f>'FCFs"0"'!M21</f>
        <v>0</v>
      </c>
      <c r="P15" s="215">
        <f>'FCFs"0"'!N21</f>
        <v>0</v>
      </c>
      <c r="Q15" s="215">
        <f>'FCFs"0"'!O21</f>
        <v>0</v>
      </c>
      <c r="R15" s="215">
        <f>'FCFs"0"'!P21</f>
        <v>0</v>
      </c>
      <c r="S15" s="215">
        <f>'FCFs"0"'!Q21</f>
        <v>0</v>
      </c>
      <c r="T15" s="215">
        <f>'FCFs"0"'!R21</f>
        <v>0</v>
      </c>
      <c r="U15" s="215">
        <f>'FCFs"0"'!S21</f>
        <v>0</v>
      </c>
      <c r="V15" s="215">
        <f>'FCFs"0"'!T21</f>
        <v>0</v>
      </c>
      <c r="W15" s="215">
        <f>'FCFs"0"'!U21</f>
        <v>0</v>
      </c>
      <c r="X15" s="215">
        <f>'FCFs"0"'!V21</f>
        <v>0</v>
      </c>
      <c r="Y15" s="215">
        <f>'FCFs"0"'!W21</f>
        <v>0</v>
      </c>
    </row>
    <row r="16" spans="1:25">
      <c r="B16" s="337" t="str">
        <f>'FCFs"0"'!B23</f>
        <v>Interests (net of Tax shield)</v>
      </c>
      <c r="C16" s="215"/>
      <c r="D16" s="214"/>
      <c r="E16" s="215">
        <f>'FCFs"0"'!C23</f>
        <v>0</v>
      </c>
      <c r="F16" s="215">
        <f>'FCFs"0"'!D23</f>
        <v>0</v>
      </c>
      <c r="G16" s="215">
        <f>'FCFs"0"'!E23</f>
        <v>0</v>
      </c>
      <c r="H16" s="215">
        <f>'FCFs"0"'!F23</f>
        <v>0</v>
      </c>
      <c r="I16" s="215">
        <f>'FCFs"0"'!G23</f>
        <v>0</v>
      </c>
      <c r="J16" s="215">
        <f>'FCFs"0"'!H23</f>
        <v>0</v>
      </c>
      <c r="K16" s="215">
        <f>'FCFs"0"'!I23</f>
        <v>0</v>
      </c>
      <c r="L16" s="215">
        <f>'FCFs"0"'!J23</f>
        <v>0</v>
      </c>
      <c r="M16" s="215">
        <f>'FCFs"0"'!K23</f>
        <v>0</v>
      </c>
      <c r="N16" s="215">
        <f>'FCFs"0"'!L23</f>
        <v>0</v>
      </c>
      <c r="O16" s="215">
        <f>'FCFs"0"'!M23</f>
        <v>0</v>
      </c>
      <c r="P16" s="215">
        <f>'FCFs"0"'!N23</f>
        <v>0</v>
      </c>
      <c r="Q16" s="215">
        <f>'FCFs"0"'!O23</f>
        <v>0</v>
      </c>
      <c r="R16" s="215">
        <f>'FCFs"0"'!P23</f>
        <v>0</v>
      </c>
      <c r="S16" s="215">
        <f>'FCFs"0"'!Q23</f>
        <v>0</v>
      </c>
      <c r="T16" s="215">
        <f>'FCFs"0"'!R23</f>
        <v>0</v>
      </c>
      <c r="U16" s="215">
        <f>'FCFs"0"'!S23</f>
        <v>0</v>
      </c>
      <c r="V16" s="215">
        <f>'FCFs"0"'!T23</f>
        <v>0</v>
      </c>
      <c r="W16" s="215">
        <f>'FCFs"0"'!U23</f>
        <v>0</v>
      </c>
      <c r="X16" s="215">
        <f>'FCFs"0"'!V23</f>
        <v>0</v>
      </c>
      <c r="Y16" s="215">
        <f>'FCFs"0"'!W23</f>
        <v>0</v>
      </c>
    </row>
    <row r="17" spans="1:25">
      <c r="B17" s="338" t="str">
        <f>'FCFs"0"'!B24</f>
        <v>FCFF</v>
      </c>
      <c r="C17" s="336"/>
      <c r="D17" s="335"/>
      <c r="E17" s="336">
        <f>'FCFs"0"'!C24</f>
        <v>-55792174.581842169</v>
      </c>
      <c r="F17" s="336">
        <f>'FCFs"0"'!D24</f>
        <v>-68329286.294201791</v>
      </c>
      <c r="G17" s="336">
        <f>'FCFs"0"'!E24</f>
        <v>-68139531.063943759</v>
      </c>
      <c r="H17" s="336">
        <f>'FCFs"0"'!F24</f>
        <v>-68721901.436264217</v>
      </c>
      <c r="I17" s="336">
        <f>'FCFs"0"'!G24</f>
        <v>-69582057.73238191</v>
      </c>
      <c r="J17" s="336">
        <f>'FCFs"0"'!H24</f>
        <v>-72067468.843051568</v>
      </c>
      <c r="K17" s="336">
        <f>'FCFs"0"'!I24</f>
        <v>-71948196.410883456</v>
      </c>
      <c r="L17" s="336">
        <f>'FCFs"0"'!J24</f>
        <v>-72327101.3765302</v>
      </c>
      <c r="M17" s="336">
        <f>'FCFs"0"'!K24</f>
        <v>-72857809.039541975</v>
      </c>
      <c r="N17" s="336">
        <f>'FCFs"0"'!L24</f>
        <v>-74342700.550680116</v>
      </c>
      <c r="O17" s="336">
        <f>'FCFs"0"'!M24</f>
        <v>-75809649.068895519</v>
      </c>
      <c r="P17" s="336">
        <f>'FCFs"0"'!N24</f>
        <v>-76748272.886552185</v>
      </c>
      <c r="Q17" s="336">
        <f>'FCFs"0"'!O24</f>
        <v>-77280932.278025344</v>
      </c>
      <c r="R17" s="336">
        <f>'FCFs"0"'!P24</f>
        <v>-77948259.535239428</v>
      </c>
      <c r="S17" s="336">
        <f>'FCFs"0"'!Q24</f>
        <v>-78515326.030666173</v>
      </c>
      <c r="T17" s="336">
        <f>'FCFs"0"'!R24</f>
        <v>-79219092.079262048</v>
      </c>
      <c r="U17" s="336">
        <f>'FCFs"0"'!S24</f>
        <v>-79937287.901756912</v>
      </c>
      <c r="V17" s="336">
        <f>'FCFs"0"'!T24</f>
        <v>-80670213.058565527</v>
      </c>
      <c r="W17" s="336">
        <f>'FCFs"0"'!U24</f>
        <v>-81418173.375434458</v>
      </c>
      <c r="X17" s="336">
        <f>'FCFs"0"'!V24</f>
        <v>-82181481.075601757</v>
      </c>
      <c r="Y17" s="336">
        <f>'FCFs"0"'!W24</f>
        <v>-82960454.914770976</v>
      </c>
    </row>
    <row r="18" spans="1:25">
      <c r="B18" s="337" t="str">
        <f>'FCFs"0"'!B25</f>
        <v>Interests (net of Tax shield)</v>
      </c>
      <c r="C18" s="215"/>
      <c r="D18" s="220"/>
      <c r="E18" s="215">
        <f>'FCFs"0"'!C25</f>
        <v>0</v>
      </c>
      <c r="F18" s="215">
        <f>'FCFs"0"'!D25</f>
        <v>0</v>
      </c>
      <c r="G18" s="215">
        <f>'FCFs"0"'!E25</f>
        <v>0</v>
      </c>
      <c r="H18" s="215">
        <f>'FCFs"0"'!F25</f>
        <v>0</v>
      </c>
      <c r="I18" s="215">
        <f>'FCFs"0"'!G25</f>
        <v>0</v>
      </c>
      <c r="J18" s="215">
        <f>'FCFs"0"'!H25</f>
        <v>0</v>
      </c>
      <c r="K18" s="215">
        <f>'FCFs"0"'!I25</f>
        <v>0</v>
      </c>
      <c r="L18" s="215">
        <f>'FCFs"0"'!J25</f>
        <v>0</v>
      </c>
      <c r="M18" s="215">
        <f>'FCFs"0"'!K25</f>
        <v>0</v>
      </c>
      <c r="N18" s="215">
        <f>'FCFs"0"'!L25</f>
        <v>0</v>
      </c>
      <c r="O18" s="215">
        <f>'FCFs"0"'!M25</f>
        <v>0</v>
      </c>
      <c r="P18" s="215">
        <f>'FCFs"0"'!N25</f>
        <v>0</v>
      </c>
      <c r="Q18" s="215">
        <f>'FCFs"0"'!O25</f>
        <v>0</v>
      </c>
      <c r="R18" s="215">
        <f>'FCFs"0"'!P25</f>
        <v>0</v>
      </c>
      <c r="S18" s="215">
        <f>'FCFs"0"'!Q25</f>
        <v>0</v>
      </c>
      <c r="T18" s="215">
        <f>'FCFs"0"'!R25</f>
        <v>0</v>
      </c>
      <c r="U18" s="215">
        <f>'FCFs"0"'!S25</f>
        <v>0</v>
      </c>
      <c r="V18" s="215">
        <f>'FCFs"0"'!T25</f>
        <v>0</v>
      </c>
      <c r="W18" s="215">
        <f>'FCFs"0"'!U25</f>
        <v>0</v>
      </c>
      <c r="X18" s="215">
        <f>'FCFs"0"'!V25</f>
        <v>0</v>
      </c>
      <c r="Y18" s="215">
        <f>'FCFs"0"'!W25</f>
        <v>0</v>
      </c>
    </row>
    <row r="19" spans="1:25">
      <c r="B19" s="337" t="str">
        <f>'FCFs"0"'!B26</f>
        <v>Change in debt</v>
      </c>
      <c r="C19" s="215"/>
      <c r="D19" s="214"/>
      <c r="E19" s="215">
        <f>'FCFs"0"'!C26</f>
        <v>0</v>
      </c>
      <c r="F19" s="215">
        <f>'FCFs"0"'!D26</f>
        <v>0</v>
      </c>
      <c r="G19" s="215">
        <f>'FCFs"0"'!E26</f>
        <v>0</v>
      </c>
      <c r="H19" s="215">
        <f>'FCFs"0"'!F26</f>
        <v>0</v>
      </c>
      <c r="I19" s="215">
        <f>'FCFs"0"'!G26</f>
        <v>0</v>
      </c>
      <c r="J19" s="215">
        <f>'FCFs"0"'!H26</f>
        <v>0</v>
      </c>
      <c r="K19" s="215">
        <f>'FCFs"0"'!I26</f>
        <v>0</v>
      </c>
      <c r="L19" s="215">
        <f>'FCFs"0"'!J26</f>
        <v>0</v>
      </c>
      <c r="M19" s="215">
        <f>'FCFs"0"'!K26</f>
        <v>0</v>
      </c>
      <c r="N19" s="215">
        <f>'FCFs"0"'!L26</f>
        <v>0</v>
      </c>
      <c r="O19" s="215">
        <f>'FCFs"0"'!M26</f>
        <v>0</v>
      </c>
      <c r="P19" s="215">
        <f>'FCFs"0"'!N26</f>
        <v>0</v>
      </c>
      <c r="Q19" s="215">
        <f>'FCFs"0"'!O26</f>
        <v>0</v>
      </c>
      <c r="R19" s="215">
        <f>'FCFs"0"'!P26</f>
        <v>0</v>
      </c>
      <c r="S19" s="215">
        <f>'FCFs"0"'!Q26</f>
        <v>0</v>
      </c>
      <c r="T19" s="215">
        <f>'FCFs"0"'!R26</f>
        <v>0</v>
      </c>
      <c r="U19" s="215">
        <f>'FCFs"0"'!S26</f>
        <v>0</v>
      </c>
      <c r="V19" s="215">
        <f>'FCFs"0"'!T26</f>
        <v>0</v>
      </c>
      <c r="W19" s="215">
        <f>'FCFs"0"'!U26</f>
        <v>0</v>
      </c>
      <c r="X19" s="215">
        <f>'FCFs"0"'!V26</f>
        <v>0</v>
      </c>
      <c r="Y19" s="215">
        <f>'FCFs"0"'!W26</f>
        <v>0</v>
      </c>
    </row>
    <row r="20" spans="1:25">
      <c r="B20" s="338" t="s">
        <v>33</v>
      </c>
      <c r="C20" s="336"/>
      <c r="D20" s="335"/>
      <c r="E20" s="336">
        <f>'FCFs"0"'!C27</f>
        <v>-55792174.581842169</v>
      </c>
      <c r="F20" s="336">
        <f>'FCFs"0"'!D27</f>
        <v>-68329286.294201791</v>
      </c>
      <c r="G20" s="336">
        <f>'FCFs"0"'!E27</f>
        <v>-68139531.063943759</v>
      </c>
      <c r="H20" s="336">
        <f>'FCFs"0"'!F27</f>
        <v>-68721901.436264217</v>
      </c>
      <c r="I20" s="336">
        <f>'FCFs"0"'!G27</f>
        <v>-69582057.73238191</v>
      </c>
      <c r="J20" s="336">
        <f>'FCFs"0"'!H27</f>
        <v>-72067468.843051568</v>
      </c>
      <c r="K20" s="336">
        <f>'FCFs"0"'!I27</f>
        <v>-71948196.410883456</v>
      </c>
      <c r="L20" s="336">
        <f>'FCFs"0"'!J27</f>
        <v>-72327101.3765302</v>
      </c>
      <c r="M20" s="336">
        <f>'FCFs"0"'!K27</f>
        <v>-72857809.039541975</v>
      </c>
      <c r="N20" s="336">
        <f>'FCFs"0"'!L27</f>
        <v>-74342700.550680116</v>
      </c>
      <c r="O20" s="336">
        <f>'FCFs"0"'!M27</f>
        <v>-75809649.068895519</v>
      </c>
      <c r="P20" s="336">
        <f>'FCFs"0"'!N27</f>
        <v>-76748272.886552185</v>
      </c>
      <c r="Q20" s="336">
        <f>'FCFs"0"'!O27</f>
        <v>-77280932.278025344</v>
      </c>
      <c r="R20" s="336">
        <f>'FCFs"0"'!P27</f>
        <v>-77948259.535239428</v>
      </c>
      <c r="S20" s="336">
        <f>'FCFs"0"'!Q27</f>
        <v>-78515326.030666173</v>
      </c>
      <c r="T20" s="336">
        <f>'FCFs"0"'!R27</f>
        <v>-79219092.079262048</v>
      </c>
      <c r="U20" s="336">
        <f>'FCFs"0"'!S27</f>
        <v>-79937287.901756912</v>
      </c>
      <c r="V20" s="336">
        <f>'FCFs"0"'!T27</f>
        <v>-80670213.058565527</v>
      </c>
      <c r="W20" s="336">
        <f>'FCFs"0"'!U27</f>
        <v>-81418173.375434458</v>
      </c>
      <c r="X20" s="336">
        <f>'FCFs"0"'!V27</f>
        <v>-82181481.075601757</v>
      </c>
      <c r="Y20" s="336">
        <f>'FCFs"0"'!W27</f>
        <v>-82960454.914770976</v>
      </c>
    </row>
    <row r="21" spans="1:25">
      <c r="A21" s="211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1:25">
      <c r="A22" s="211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</row>
    <row r="23" spans="1:25" s="211" customFormat="1">
      <c r="A23" s="147"/>
      <c r="B23" s="212" t="s">
        <v>6</v>
      </c>
      <c r="C23" s="323">
        <f>'PL"0"'!G5</f>
        <v>44196</v>
      </c>
      <c r="D23" s="229">
        <f>'PL"0"'!H5</f>
        <v>44561</v>
      </c>
      <c r="E23" s="213">
        <f>'PL"0"'!I5</f>
        <v>44926</v>
      </c>
      <c r="F23" s="213">
        <f>'PL"0"'!J5</f>
        <v>45291</v>
      </c>
      <c r="G23" s="213">
        <f>'PL"0"'!K5</f>
        <v>45657</v>
      </c>
      <c r="H23" s="213">
        <f>'PL"0"'!L5</f>
        <v>46022</v>
      </c>
      <c r="I23" s="213">
        <f>'PL"0"'!M5</f>
        <v>46387</v>
      </c>
      <c r="J23" s="213">
        <f>'PL"0"'!N5</f>
        <v>46752</v>
      </c>
      <c r="K23" s="213">
        <f>'PL"0"'!O5</f>
        <v>47118</v>
      </c>
      <c r="L23" s="213">
        <f>'PL"0"'!P5</f>
        <v>47483</v>
      </c>
      <c r="M23" s="213">
        <f>'PL"0"'!Q5</f>
        <v>47848</v>
      </c>
      <c r="N23" s="213">
        <f>'PL"0"'!R5</f>
        <v>48213</v>
      </c>
      <c r="O23" s="213">
        <f>'PL"0"'!S5</f>
        <v>48579</v>
      </c>
      <c r="P23" s="213">
        <f>'PL"0"'!T5</f>
        <v>48944</v>
      </c>
      <c r="Q23" s="213">
        <f>'PL"0"'!U5</f>
        <v>49309</v>
      </c>
      <c r="R23" s="213">
        <f>'PL"0"'!V5</f>
        <v>49674</v>
      </c>
      <c r="S23" s="213">
        <f>'PL"0"'!W5</f>
        <v>50040</v>
      </c>
      <c r="T23" s="213">
        <f>'PL"0"'!X5</f>
        <v>50405</v>
      </c>
      <c r="U23" s="213">
        <f>'PL"0"'!Y5</f>
        <v>50770</v>
      </c>
      <c r="V23" s="213">
        <f>'PL"0"'!Z5</f>
        <v>51135</v>
      </c>
      <c r="W23" s="213">
        <f>'PL"0"'!AA5</f>
        <v>51501</v>
      </c>
      <c r="X23" s="213">
        <f>'PL"0"'!AB5</f>
        <v>51866</v>
      </c>
      <c r="Y23" s="213">
        <f>'PL"0"'!AC5</f>
        <v>52231</v>
      </c>
    </row>
    <row r="24" spans="1:25" s="211" customFormat="1">
      <c r="A24" s="342"/>
      <c r="B24" s="219" t="s">
        <v>7</v>
      </c>
      <c r="C24" s="221">
        <f>+('PL"0"'!G6+'PL"0"'!G10)</f>
        <v>113754441.91</v>
      </c>
      <c r="D24" s="220">
        <f>+('PL"0"'!H6+'PL"0"'!H10)</f>
        <v>130654218.07000001</v>
      </c>
      <c r="E24" s="221">
        <f>+('PL"0"'!I6+'PL"0"'!I10)</f>
        <v>137436090.04849327</v>
      </c>
      <c r="F24" s="221">
        <f>+('PL"0"'!J6+'PL"0"'!J10)</f>
        <v>136131907.30879638</v>
      </c>
      <c r="G24" s="221">
        <f>+('PL"0"'!K6+'PL"0"'!K10)</f>
        <v>136255594.02466041</v>
      </c>
      <c r="H24" s="221">
        <f>+('PL"0"'!L6+'PL"0"'!L10)</f>
        <v>136405596.77358985</v>
      </c>
      <c r="I24" s="221">
        <f>+('PL"0"'!M6+'PL"0"'!M10)</f>
        <v>137067156.24146107</v>
      </c>
      <c r="J24" s="221">
        <f>+('PL"0"'!N6+'PL"0"'!N10)</f>
        <v>132861614.20025352</v>
      </c>
      <c r="K24" s="221">
        <f>+('PL"0"'!O6+'PL"0"'!O10)</f>
        <v>129313648.10290082</v>
      </c>
      <c r="L24" s="221">
        <f>+('PL"0"'!P6+'PL"0"'!P10)</f>
        <v>127596404.01717199</v>
      </c>
      <c r="M24" s="221">
        <f>+('PL"0"'!Q6+'PL"0"'!Q10)</f>
        <v>127666594.98439071</v>
      </c>
      <c r="N24" s="221">
        <f>+('PL"0"'!R6+'PL"0"'!R10)</f>
        <v>127667858.54847263</v>
      </c>
      <c r="O24" s="221">
        <f>+('PL"0"'!S6+'PL"0"'!S10)</f>
        <v>127700518.15256914</v>
      </c>
      <c r="P24" s="221">
        <f>+('PL"0"'!T6+'PL"0"'!T10)</f>
        <v>127682938.79507931</v>
      </c>
      <c r="Q24" s="221">
        <f>+('PL"0"'!U6+'PL"0"'!U10)</f>
        <v>127569816.72511443</v>
      </c>
      <c r="R24" s="221">
        <f>+('PL"0"'!V6+'PL"0"'!V10)</f>
        <v>127381990.10024224</v>
      </c>
      <c r="S24" s="221">
        <f>+('PL"0"'!W6+'PL"0"'!W10)</f>
        <v>127396288.42936128</v>
      </c>
      <c r="T24" s="221">
        <f>+('PL"0"'!X6+'PL"0"'!X10)</f>
        <v>127410586.75848033</v>
      </c>
      <c r="U24" s="221">
        <f>+('PL"0"'!Y6+'PL"0"'!Y10)</f>
        <v>127424885.08759937</v>
      </c>
      <c r="V24" s="221">
        <f>+('PL"0"'!Z6+'PL"0"'!Z10)</f>
        <v>127439183.41671841</v>
      </c>
      <c r="W24" s="221">
        <f>+('PL"0"'!AA6+'PL"0"'!AA10)</f>
        <v>127453481.74583744</v>
      </c>
      <c r="X24" s="221">
        <f>+('PL"0"'!AB6+'PL"0"'!AB10)</f>
        <v>127467780.07495646</v>
      </c>
      <c r="Y24" s="221">
        <f>+('PL"0"'!AC6+'PL"0"'!AC10)</f>
        <v>127482078.4040755</v>
      </c>
    </row>
    <row r="25" spans="1:25">
      <c r="B25" s="216" t="s">
        <v>8</v>
      </c>
      <c r="C25" s="218"/>
      <c r="D25" s="217">
        <f t="shared" ref="D25:O25" si="4">+D24/C24-1</f>
        <v>0.14856365937227078</v>
      </c>
      <c r="E25" s="218">
        <f t="shared" si="4"/>
        <v>5.1907026643868148E-2</v>
      </c>
      <c r="F25" s="218">
        <f t="shared" si="4"/>
        <v>-9.4893760382496195E-3</v>
      </c>
      <c r="G25" s="218">
        <f t="shared" si="4"/>
        <v>9.0857990833459468E-4</v>
      </c>
      <c r="H25" s="218">
        <f t="shared" si="4"/>
        <v>1.1008924074140669E-3</v>
      </c>
      <c r="I25" s="218">
        <f t="shared" si="4"/>
        <v>4.8499437231253051E-3</v>
      </c>
      <c r="J25" s="218">
        <f t="shared" si="4"/>
        <v>-3.0682346935096305E-2</v>
      </c>
      <c r="K25" s="218">
        <f t="shared" si="4"/>
        <v>-2.6704222425034563E-2</v>
      </c>
      <c r="L25" s="218">
        <f t="shared" si="4"/>
        <v>-1.3279681695796963E-2</v>
      </c>
      <c r="M25" s="218">
        <f t="shared" si="4"/>
        <v>5.5010145277489819E-4</v>
      </c>
      <c r="N25" s="218">
        <f t="shared" si="4"/>
        <v>9.8973743449803919E-6</v>
      </c>
      <c r="O25" s="218">
        <f t="shared" si="4"/>
        <v>2.5581696495757811E-4</v>
      </c>
      <c r="P25" s="218">
        <f t="shared" ref="P25:R25" si="5">+P24/O24-1</f>
        <v>-1.376608156659076E-4</v>
      </c>
      <c r="Q25" s="218">
        <f t="shared" si="5"/>
        <v>-8.8596073236080208E-4</v>
      </c>
      <c r="R25" s="218">
        <f t="shared" si="5"/>
        <v>-1.4723437698191955E-3</v>
      </c>
      <c r="S25" s="218">
        <f t="shared" ref="S25" si="6">+S24/R24-1</f>
        <v>1.1224765061212949E-4</v>
      </c>
      <c r="T25" s="218">
        <f t="shared" ref="T25" si="7">+T24/S24-1</f>
        <v>1.1223505249113863E-4</v>
      </c>
      <c r="U25" s="218">
        <f t="shared" ref="U25" si="8">+U24/T24-1</f>
        <v>1.1222245719766377E-4</v>
      </c>
      <c r="V25" s="218">
        <f t="shared" ref="V25" si="9">+V24/U24-1</f>
        <v>1.1220986473103878E-4</v>
      </c>
      <c r="W25" s="218">
        <f t="shared" ref="W25" si="10">+W24/V24-1</f>
        <v>1.1219727508970934E-4</v>
      </c>
      <c r="X25" s="218">
        <f t="shared" ref="X25" si="11">+X24/W24-1</f>
        <v>1.121846882734534E-4</v>
      </c>
      <c r="Y25" s="218">
        <f t="shared" ref="Y25" si="12">+Y24/X24-1</f>
        <v>1.1217210428093871E-4</v>
      </c>
    </row>
    <row r="26" spans="1:25">
      <c r="B26" s="62" t="s">
        <v>9</v>
      </c>
      <c r="C26" s="215">
        <f>+'PL"0"'!G16</f>
        <v>55924988.559999995</v>
      </c>
      <c r="D26" s="214">
        <f>+'PL"0"'!H16</f>
        <v>65819233.030000016</v>
      </c>
      <c r="E26" s="215">
        <f>+'PL"0"'!I16</f>
        <v>69304817.483769208</v>
      </c>
      <c r="F26" s="215">
        <f>+'PL"0"'!J16</f>
        <v>68034930.201611847</v>
      </c>
      <c r="G26" s="215">
        <f>+'PL"0"'!K16</f>
        <v>67970882.459194526</v>
      </c>
      <c r="H26" s="215">
        <f>+'PL"0"'!L16</f>
        <v>67932835.860636204</v>
      </c>
      <c r="I26" s="215">
        <f>+'PL"0"'!M16</f>
        <v>68209174.34271808</v>
      </c>
      <c r="J26" s="215">
        <f>+'PL"0"'!N16</f>
        <v>65461210.516919613</v>
      </c>
      <c r="K26" s="215">
        <f>+'PL"0"'!O16</f>
        <v>63117507.533882432</v>
      </c>
      <c r="L26" s="215">
        <f>+'PL"0"'!P16</f>
        <v>61906567.621509343</v>
      </c>
      <c r="M26" s="215">
        <f>+'PL"0"'!Q16</f>
        <v>61801888.698850825</v>
      </c>
      <c r="N26" s="215">
        <f>+'PL"0"'!R16</f>
        <v>61650906.987032168</v>
      </c>
      <c r="O26" s="215">
        <f>+'PL"0"'!S16</f>
        <v>61515843.277208477</v>
      </c>
      <c r="P26" s="215">
        <f>+'PL"0"'!T16</f>
        <v>61346475.726923101</v>
      </c>
      <c r="Q26" s="215">
        <f>+'PL"0"'!U16</f>
        <v>61113874.489582568</v>
      </c>
      <c r="R26" s="215">
        <f>+'PL"0"'!V16</f>
        <v>60831010.896357588</v>
      </c>
      <c r="S26" s="215">
        <f>+'PL"0"'!W16</f>
        <v>60658363.980812058</v>
      </c>
      <c r="T26" s="215">
        <f>+'PL"0"'!X16</f>
        <v>60481730.657284886</v>
      </c>
      <c r="U26" s="215">
        <f>+'PL"0"'!Y16</f>
        <v>60301021.811570339</v>
      </c>
      <c r="V26" s="215">
        <f>+'PL"0"'!Z16</f>
        <v>60116146.312527329</v>
      </c>
      <c r="W26" s="215">
        <f>+'PL"0"'!AA16</f>
        <v>59927010.965874597</v>
      </c>
      <c r="X26" s="215">
        <f>+'PL"0"'!AB16</f>
        <v>59733520.466914907</v>
      </c>
      <c r="Y26" s="215">
        <f>+'PL"0"'!AC16</f>
        <v>59535577.352163345</v>
      </c>
    </row>
    <row r="27" spans="1:25">
      <c r="A27" s="211"/>
      <c r="B27" s="62" t="s">
        <v>220</v>
      </c>
      <c r="C27" s="215">
        <f>'PL"0"'!G17</f>
        <v>87082760.310000002</v>
      </c>
      <c r="D27" s="214">
        <f>'PL"0"'!H17</f>
        <v>114071965.58000001</v>
      </c>
      <c r="E27" s="215">
        <f>'PL"0"'!I17</f>
        <v>114071965.57999998</v>
      </c>
      <c r="F27" s="215">
        <f>'PL"0"'!J17</f>
        <v>113192428.28583489</v>
      </c>
      <c r="G27" s="215">
        <f>'PL"0"'!K17</f>
        <v>113254373.74904798</v>
      </c>
      <c r="H27" s="215">
        <f>'PL"0"'!L17</f>
        <v>114159752.57236886</v>
      </c>
      <c r="I27" s="215">
        <f>'PL"0"'!M17</f>
        <v>115426140.642731</v>
      </c>
      <c r="J27" s="215">
        <f>'PL"0"'!N17</f>
        <v>113417482.08955772</v>
      </c>
      <c r="K27" s="215">
        <f>'PL"0"'!O17</f>
        <v>111820596.52147932</v>
      </c>
      <c r="L27" s="215">
        <f>'PL"0"'!P17</f>
        <v>111458285.66650629</v>
      </c>
      <c r="M27" s="215">
        <f>'PL"0"'!Q17</f>
        <v>112336744.48340628</v>
      </c>
      <c r="N27" s="215">
        <f>'PL"0"'!R17</f>
        <v>113184467.34574276</v>
      </c>
      <c r="O27" s="215">
        <f>'PL"0"'!S17</f>
        <v>114071965.57999998</v>
      </c>
      <c r="P27" s="215">
        <f>'PL"0"'!T17</f>
        <v>113767338.65979795</v>
      </c>
      <c r="Q27" s="215">
        <f>'PL"0"'!U17</f>
        <v>113670012.86045536</v>
      </c>
      <c r="R27" s="215">
        <f>'PL"0"'!V17</f>
        <v>113523841.28271183</v>
      </c>
      <c r="S27" s="215">
        <f>'PL"0"'!W17</f>
        <v>113535910.07430361</v>
      </c>
      <c r="T27" s="215">
        <f>'PL"0"'!X17</f>
        <v>113547978.86589538</v>
      </c>
      <c r="U27" s="215">
        <f>'PL"0"'!Y17</f>
        <v>113560047.65748718</v>
      </c>
      <c r="V27" s="215">
        <f>'PL"0"'!Z17</f>
        <v>113572116.44907896</v>
      </c>
      <c r="W27" s="215">
        <f>'PL"0"'!AA17</f>
        <v>113584185.2406707</v>
      </c>
      <c r="X27" s="215">
        <f>'PL"0"'!AB17</f>
        <v>113596254.03226249</v>
      </c>
      <c r="Y27" s="215">
        <f>'PL"0"'!AC17</f>
        <v>113608322.82385427</v>
      </c>
    </row>
    <row r="28" spans="1:25" s="211" customFormat="1">
      <c r="A28" s="147"/>
      <c r="B28" s="219" t="s">
        <v>11</v>
      </c>
      <c r="C28" s="221">
        <f>+'PL"0"'!G61</f>
        <v>-21025499.590000004</v>
      </c>
      <c r="D28" s="220">
        <f>+'PL"0"'!H61</f>
        <v>-14794588.939999998</v>
      </c>
      <c r="E28" s="221">
        <f>+'PL"0"'!I61</f>
        <v>-45690643.653960481</v>
      </c>
      <c r="F28" s="221">
        <f>+'PL"0"'!J61</f>
        <v>-46100602.846118525</v>
      </c>
      <c r="G28" s="221">
        <f>+'PL"0"'!K61</f>
        <v>-46249807.466163278</v>
      </c>
      <c r="H28" s="221">
        <f>+'PL"0"'!L61</f>
        <v>-47219733.983127512</v>
      </c>
      <c r="I28" s="221">
        <f>+'PL"0"'!M61</f>
        <v>-48237993.629869401</v>
      </c>
      <c r="J28" s="221">
        <f>+'PL"0"'!N61</f>
        <v>-48995230.476766177</v>
      </c>
      <c r="K28" s="221">
        <f>+'PL"0"'!O61</f>
        <v>-49761879.283661112</v>
      </c>
      <c r="L28" s="221">
        <f>+'PL"0"'!P61</f>
        <v>-50634966.859797195</v>
      </c>
      <c r="M28" s="221">
        <f>+'PL"0"'!Q61</f>
        <v>-51647223.02405946</v>
      </c>
      <c r="N28" s="221">
        <f>+'PL"0"'!R61</f>
        <v>-52675522.574718878</v>
      </c>
      <c r="O28" s="221">
        <f>+'PL"0"'!S61</f>
        <v>-53728401.633846946</v>
      </c>
      <c r="P28" s="221">
        <f>+'PL"0"'!T61</f>
        <v>-53620129.436629437</v>
      </c>
      <c r="Q28" s="221">
        <f>+'PL"0"'!U61</f>
        <v>-53783693.700681403</v>
      </c>
      <c r="R28" s="221">
        <f>+'PL"0"'!V61</f>
        <v>-53949144.704767957</v>
      </c>
      <c r="S28" s="221">
        <f>+'PL"0"'!W61</f>
        <v>-54163787.053261265</v>
      </c>
      <c r="T28" s="221">
        <f>+'PL"0"'!X61</f>
        <v>-54383075.694269843</v>
      </c>
      <c r="U28" s="221">
        <f>+'PL"0"'!Y61</f>
        <v>-54607114.493396305</v>
      </c>
      <c r="V28" s="221">
        <f>+'PL"0"'!Z61</f>
        <v>-54836009.667049117</v>
      </c>
      <c r="W28" s="221">
        <f>+'PL"0"'!AA61</f>
        <v>-55069869.836295992</v>
      </c>
      <c r="X28" s="221">
        <f>+'PL"0"'!AB61</f>
        <v>-55308806.081965603</v>
      </c>
      <c r="Y28" s="221">
        <f>+'PL"0"'!AC61</f>
        <v>-55552932.00102599</v>
      </c>
    </row>
    <row r="29" spans="1:25">
      <c r="B29" s="216" t="s">
        <v>10</v>
      </c>
      <c r="C29" s="223">
        <f t="shared" ref="C29:O29" si="13">+C28/C24</f>
        <v>-0.18483233917700476</v>
      </c>
      <c r="D29" s="222">
        <f t="shared" si="13"/>
        <v>-0.11323468280276698</v>
      </c>
      <c r="E29" s="223">
        <f t="shared" si="13"/>
        <v>-0.33245011290585236</v>
      </c>
      <c r="F29" s="223">
        <f t="shared" si="13"/>
        <v>-0.33864656536065196</v>
      </c>
      <c r="G29" s="223">
        <f t="shared" si="13"/>
        <v>-0.3394341920214497</v>
      </c>
      <c r="H29" s="223">
        <f t="shared" si="13"/>
        <v>-0.34617152888165037</v>
      </c>
      <c r="I29" s="223">
        <f t="shared" si="13"/>
        <v>-0.35192963035500713</v>
      </c>
      <c r="J29" s="223">
        <f t="shared" si="13"/>
        <v>-0.36876889364688065</v>
      </c>
      <c r="K29" s="223">
        <f t="shared" si="13"/>
        <v>-0.38481536955838797</v>
      </c>
      <c r="L29" s="223">
        <f t="shared" si="13"/>
        <v>-0.39683694262247948</v>
      </c>
      <c r="M29" s="223">
        <f t="shared" si="13"/>
        <v>-0.40454766597616365</v>
      </c>
      <c r="N29" s="223">
        <f t="shared" si="13"/>
        <v>-0.41259815253123527</v>
      </c>
      <c r="O29" s="223">
        <f t="shared" si="13"/>
        <v>-0.4207375381958543</v>
      </c>
      <c r="P29" s="223">
        <f t="shared" ref="P29:R29" si="14">+P28/P24</f>
        <v>-0.41994748822852024</v>
      </c>
      <c r="Q29" s="223">
        <f t="shared" si="14"/>
        <v>-0.42160203002073537</v>
      </c>
      <c r="R29" s="223">
        <f t="shared" si="14"/>
        <v>-0.42352254555226454</v>
      </c>
      <c r="S29" s="223">
        <f t="shared" ref="S29" si="15">+S28/S24</f>
        <v>-0.42515985136642354</v>
      </c>
      <c r="T29" s="223">
        <f t="shared" ref="T29" si="16">+T28/T24</f>
        <v>-0.42683325677919115</v>
      </c>
      <c r="U29" s="223">
        <f t="shared" ref="U29" si="17">+U28/U24</f>
        <v>-0.42854356475076405</v>
      </c>
      <c r="V29" s="223">
        <f t="shared" ref="V29" si="18">+V28/V24</f>
        <v>-0.43029159632747088</v>
      </c>
      <c r="W29" s="223">
        <f t="shared" ref="W29" si="19">+W28/W24</f>
        <v>-0.43207819105416118</v>
      </c>
      <c r="X29" s="223">
        <f t="shared" ref="X29" si="20">+X28/X24</f>
        <v>-0.43390420739610963</v>
      </c>
      <c r="Y29" s="223">
        <f t="shared" ref="Y29" si="21">+Y28/Y24</f>
        <v>-0.43577052317065146</v>
      </c>
    </row>
    <row r="30" spans="1:25">
      <c r="B30" s="62" t="s">
        <v>12</v>
      </c>
      <c r="C30" s="215">
        <f>-'CF"0"'!F24</f>
        <v>8168920.8399999961</v>
      </c>
      <c r="D30" s="214">
        <f>-'CF"0"'!G24</f>
        <v>3317821.060000021</v>
      </c>
      <c r="E30" s="215">
        <f>-'CF"0"'!H24</f>
        <v>12088799.396761749</v>
      </c>
      <c r="F30" s="215">
        <f>-'CF"0"'!I24</f>
        <v>21952786.806290466</v>
      </c>
      <c r="G30" s="215">
        <f>-'CF"0"'!J24</f>
        <v>21972843.227442522</v>
      </c>
      <c r="H30" s="215">
        <f>-'CF"0"'!K24</f>
        <v>21997161.849629313</v>
      </c>
      <c r="I30" s="215">
        <f>-'CF"0"'!L24</f>
        <v>22103908.898139633</v>
      </c>
      <c r="J30" s="215">
        <f>-'CF"0"'!M24</f>
        <v>21426410.338471331</v>
      </c>
      <c r="K30" s="215">
        <f>-'CF"0"'!N24</f>
        <v>20854860.059657201</v>
      </c>
      <c r="L30" s="215">
        <f>-'CF"0"'!O24</f>
        <v>21271957.260850329</v>
      </c>
      <c r="M30" s="215">
        <f>-'CF"0"'!P24</f>
        <v>21697396.406067342</v>
      </c>
      <c r="N30" s="215">
        <f>-'CF"0"'!Q24</f>
        <v>22131344.334188696</v>
      </c>
      <c r="O30" s="215">
        <f>-'CF"0"'!R24</f>
        <v>22573971.220872484</v>
      </c>
      <c r="P30" s="215">
        <f>-'CF"0"'!S24</f>
        <v>23025450.645289905</v>
      </c>
      <c r="Q30" s="215">
        <f>-'CF"0"'!T24</f>
        <v>23485959.6581957</v>
      </c>
      <c r="R30" s="215">
        <f>-'CF"0"'!U24</f>
        <v>23955678.851359621</v>
      </c>
      <c r="S30" s="215">
        <f>-'CF"0"'!V24</f>
        <v>24434792.428386826</v>
      </c>
      <c r="T30" s="215">
        <f>-'CF"0"'!W24</f>
        <v>24923488.276954584</v>
      </c>
      <c r="U30" s="215">
        <f>-'CF"0"'!X24</f>
        <v>25421958.042493619</v>
      </c>
      <c r="V30" s="215">
        <f>-'CF"0"'!Y24</f>
        <v>25930397.203343533</v>
      </c>
      <c r="W30" s="215">
        <f>-'CF"0"'!Z24</f>
        <v>26449005.147410363</v>
      </c>
      <c r="X30" s="215">
        <f>-'CF"0"'!AA24</f>
        <v>26977985.250358604</v>
      </c>
      <c r="Y30" s="215">
        <f>-'CF"0"'!AB24</f>
        <v>27517544.955365777</v>
      </c>
    </row>
    <row r="31" spans="1:25">
      <c r="B31" s="62" t="s">
        <v>13</v>
      </c>
      <c r="C31" s="215">
        <f>+('BS"0"'!G33+'BS"0"'!G23-'BS"0"'!G71)</f>
        <v>-106995428.8</v>
      </c>
      <c r="D31" s="214">
        <f>+('BS"0"'!H33+'BS"0"'!H23-'BS"0"'!H71)</f>
        <v>-125949229.95999999</v>
      </c>
      <c r="E31" s="215">
        <f>+('BS"0"'!I33+'BS"0"'!I23-'BS"0"'!I71)</f>
        <v>-128053626.78558004</v>
      </c>
      <c r="F31" s="215">
        <f>+('BS"0"'!J33+'BS"0"'!J23-'BS"0"'!J71)</f>
        <v>-127894858.50048724</v>
      </c>
      <c r="G31" s="215">
        <f>+('BS"0"'!K33+'BS"0"'!K23-'BS"0"'!K71)</f>
        <v>-128095106.48684931</v>
      </c>
      <c r="H31" s="215">
        <f>+('BS"0"'!L33+'BS"0"'!L23-'BS"0"'!L71)</f>
        <v>-128707229.24004191</v>
      </c>
      <c r="I31" s="215">
        <f>+('BS"0"'!M33+'BS"0"'!M23-'BS"0"'!M71)</f>
        <v>-129584202.39236905</v>
      </c>
      <c r="J31" s="215">
        <f>+('BS"0"'!N33+'BS"0"'!N23-'BS"0"'!N71)</f>
        <v>-128055502.72125497</v>
      </c>
      <c r="K31" s="215">
        <f>+('BS"0"'!O33+'BS"0"'!O23-'BS"0"'!O71)</f>
        <v>-126841174.01038983</v>
      </c>
      <c r="L31" s="215">
        <f>+('BS"0"'!P33+'BS"0"'!P23-'BS"0"'!P71)</f>
        <v>-126538125.11120716</v>
      </c>
      <c r="M31" s="215">
        <f>+('BS"0"'!Q33+'BS"0"'!Q23-'BS"0"'!Q71)</f>
        <v>-127142063.858492</v>
      </c>
      <c r="N31" s="215">
        <f>+('BS"0"'!R33+'BS"0"'!R23-'BS"0"'!R71)</f>
        <v>-127723358.57341948</v>
      </c>
      <c r="O31" s="215">
        <f>+('BS"0"'!S33+'BS"0"'!S23-'BS"0"'!S71)</f>
        <v>-128333210.7159434</v>
      </c>
      <c r="P31" s="215">
        <f>+('BS"0"'!T33+'BS"0"'!T23-'BS"0"'!T71)</f>
        <v>-128347646.26801057</v>
      </c>
      <c r="Q31" s="215">
        <f>+('BS"0"'!U33+'BS"0"'!U23-'BS"0"'!U71)</f>
        <v>-128453495.70556235</v>
      </c>
      <c r="R31" s="215">
        <f>+('BS"0"'!V33+'BS"0"'!V23-'BS"0"'!V71)</f>
        <v>-128527188.08315049</v>
      </c>
      <c r="S31" s="215">
        <f>+('BS"0"'!W33+'BS"0"'!W23-'BS"0"'!W71)</f>
        <v>-128727569.89083239</v>
      </c>
      <c r="T31" s="215">
        <f>+('BS"0"'!X33+'BS"0"'!X23-'BS"0"'!X71)</f>
        <v>-128932170.13949478</v>
      </c>
      <c r="U31" s="215">
        <f>+('BS"0"'!Y33+'BS"0"'!Y23-'BS"0"'!Y71)</f>
        <v>-129141083.13032779</v>
      </c>
      <c r="V31" s="215">
        <f>+('BS"0"'!Z33+'BS"0"'!Z23-'BS"0"'!Z71)</f>
        <v>-129354405.29885492</v>
      </c>
      <c r="W31" s="215">
        <f>+('BS"0"'!AA33+'BS"0"'!AA23-'BS"0"'!AA71)</f>
        <v>-129572235.2638268</v>
      </c>
      <c r="X31" s="215">
        <f>+('BS"0"'!AB33+'BS"0"'!AB23-'BS"0"'!AB71)</f>
        <v>-129794673.87724924</v>
      </c>
      <c r="Y31" s="215">
        <f>+('BS"0"'!AC33+'BS"0"'!AC23-'BS"0"'!AC71)</f>
        <v>-130021824.27557006</v>
      </c>
    </row>
    <row r="32" spans="1:25">
      <c r="B32" s="62" t="s">
        <v>14</v>
      </c>
      <c r="C32" s="215">
        <f t="shared" ref="C32" si="22">+C33-C35</f>
        <v>-10408678.65</v>
      </c>
      <c r="D32" s="214">
        <f t="shared" ref="D32:J32" si="23">+D33-D35</f>
        <v>-27851088.379999999</v>
      </c>
      <c r="E32" s="215">
        <f t="shared" si="23"/>
        <v>-27851088.379999999</v>
      </c>
      <c r="F32" s="215">
        <f t="shared" si="23"/>
        <v>-27851088.379999999</v>
      </c>
      <c r="G32" s="215">
        <f t="shared" si="23"/>
        <v>-27851088.379999999</v>
      </c>
      <c r="H32" s="215">
        <f t="shared" si="23"/>
        <v>-27851088.379999999</v>
      </c>
      <c r="I32" s="215">
        <f t="shared" si="23"/>
        <v>-27851088.379999999</v>
      </c>
      <c r="J32" s="215">
        <f t="shared" si="23"/>
        <v>-27851088.379999999</v>
      </c>
      <c r="K32" s="215">
        <f t="shared" ref="K32:O32" si="24">+K33-K35</f>
        <v>-27851088.379999999</v>
      </c>
      <c r="L32" s="215">
        <f t="shared" si="24"/>
        <v>-27851088.379999999</v>
      </c>
      <c r="M32" s="215">
        <f t="shared" si="24"/>
        <v>-27851088.379999999</v>
      </c>
      <c r="N32" s="215">
        <f t="shared" si="24"/>
        <v>-27851088.379999999</v>
      </c>
      <c r="O32" s="215">
        <f t="shared" si="24"/>
        <v>-27851088.379999999</v>
      </c>
      <c r="P32" s="215">
        <f t="shared" ref="P32:R32" si="25">+P33-P35</f>
        <v>-27851088.379999999</v>
      </c>
      <c r="Q32" s="215">
        <f t="shared" si="25"/>
        <v>-27851088.379999999</v>
      </c>
      <c r="R32" s="215">
        <f t="shared" si="25"/>
        <v>-27851088.379999999</v>
      </c>
      <c r="S32" s="215">
        <f t="shared" ref="S32:Y32" si="26">+S33-S35</f>
        <v>50664237.650666185</v>
      </c>
      <c r="T32" s="215">
        <f t="shared" si="26"/>
        <v>129883329.72992823</v>
      </c>
      <c r="U32" s="215">
        <f t="shared" si="26"/>
        <v>209820617.63168523</v>
      </c>
      <c r="V32" s="215">
        <f t="shared" si="26"/>
        <v>290490830.69025093</v>
      </c>
      <c r="W32" s="215">
        <f t="shared" si="26"/>
        <v>371909004.06568527</v>
      </c>
      <c r="X32" s="215">
        <f t="shared" si="26"/>
        <v>454090485.14128697</v>
      </c>
      <c r="Y32" s="215">
        <f t="shared" si="26"/>
        <v>537050940.05605793</v>
      </c>
    </row>
    <row r="33" spans="2:25">
      <c r="B33" s="224" t="s">
        <v>15</v>
      </c>
      <c r="C33" s="215">
        <f>+('BS"0"'!G79)</f>
        <v>608873.73</v>
      </c>
      <c r="D33" s="214">
        <f>+('BS"0"'!H79)</f>
        <v>608873.73</v>
      </c>
      <c r="E33" s="215">
        <f>+('BS"0"'!I79)</f>
        <v>608873.73</v>
      </c>
      <c r="F33" s="215">
        <f>+('BS"0"'!J79)</f>
        <v>608873.73</v>
      </c>
      <c r="G33" s="215">
        <f>+('BS"0"'!K79)</f>
        <v>608873.73</v>
      </c>
      <c r="H33" s="215">
        <f>+('BS"0"'!L79)</f>
        <v>608873.73</v>
      </c>
      <c r="I33" s="215">
        <f>+('BS"0"'!M79)</f>
        <v>608873.73</v>
      </c>
      <c r="J33" s="215">
        <f>+('BS"0"'!N79)</f>
        <v>608873.73</v>
      </c>
      <c r="K33" s="215">
        <f>+('BS"0"'!O79)</f>
        <v>608873.73</v>
      </c>
      <c r="L33" s="215">
        <f>+('BS"0"'!P79)</f>
        <v>608873.73</v>
      </c>
      <c r="M33" s="215">
        <f>+('BS"0"'!Q79)</f>
        <v>608873.73</v>
      </c>
      <c r="N33" s="215">
        <f>+('BS"0"'!R79)</f>
        <v>608873.73</v>
      </c>
      <c r="O33" s="215">
        <f>+('BS"0"'!S79)</f>
        <v>608873.73</v>
      </c>
      <c r="P33" s="215">
        <f>+('BS"0"'!T79)</f>
        <v>608873.73</v>
      </c>
      <c r="Q33" s="215">
        <f>+('BS"0"'!U79)</f>
        <v>608873.73</v>
      </c>
      <c r="R33" s="215">
        <f>+('BS"0"'!V79)</f>
        <v>608873.73</v>
      </c>
      <c r="S33" s="215">
        <f>+('BS"0"'!W79)</f>
        <v>608873.73</v>
      </c>
      <c r="T33" s="215">
        <f>+('BS"0"'!X79)</f>
        <v>608873.73</v>
      </c>
      <c r="U33" s="215">
        <f>+('BS"0"'!Y79)</f>
        <v>608873.73</v>
      </c>
      <c r="V33" s="215">
        <f>+('BS"0"'!Z79)</f>
        <v>608873.73</v>
      </c>
      <c r="W33" s="215">
        <f>+('BS"0"'!AA79)</f>
        <v>608873.73</v>
      </c>
      <c r="X33" s="215">
        <f>+('BS"0"'!AB79)</f>
        <v>608873.73</v>
      </c>
      <c r="Y33" s="215">
        <f>+('BS"0"'!AC79)</f>
        <v>608873.73</v>
      </c>
    </row>
    <row r="34" spans="2:25">
      <c r="B34" s="225" t="s">
        <v>16</v>
      </c>
      <c r="C34" s="227">
        <f t="shared" ref="C34:O34" si="27">+C33/C28</f>
        <v>-2.8958823422659031E-2</v>
      </c>
      <c r="D34" s="226">
        <f t="shared" si="27"/>
        <v>-4.1155163720283806E-2</v>
      </c>
      <c r="E34" s="227">
        <f t="shared" si="27"/>
        <v>-1.3326004654504852E-2</v>
      </c>
      <c r="F34" s="227">
        <f t="shared" si="27"/>
        <v>-1.3207500388495778E-2</v>
      </c>
      <c r="G34" s="227">
        <f t="shared" si="27"/>
        <v>-1.3164892209453126E-2</v>
      </c>
      <c r="H34" s="227">
        <f t="shared" si="27"/>
        <v>-1.2894476072600533E-2</v>
      </c>
      <c r="I34" s="227">
        <f t="shared" si="27"/>
        <v>-1.2622285550926808E-2</v>
      </c>
      <c r="J34" s="227">
        <f t="shared" si="27"/>
        <v>-1.242720411915873E-2</v>
      </c>
      <c r="K34" s="227">
        <f t="shared" si="27"/>
        <v>-1.2235746293446727E-2</v>
      </c>
      <c r="L34" s="227">
        <f t="shared" si="27"/>
        <v>-1.2024768016258531E-2</v>
      </c>
      <c r="M34" s="227">
        <f t="shared" si="27"/>
        <v>-1.1789089409828693E-2</v>
      </c>
      <c r="N34" s="227">
        <f t="shared" si="27"/>
        <v>-1.1558949968390502E-2</v>
      </c>
      <c r="O34" s="227">
        <f t="shared" si="27"/>
        <v>-1.1332437062792347E-2</v>
      </c>
      <c r="P34" s="227">
        <f t="shared" ref="P34:R34" si="28">+P33/P28</f>
        <v>-1.1355320033674909E-2</v>
      </c>
      <c r="Q34" s="227">
        <f t="shared" si="28"/>
        <v>-1.1320786805542252E-2</v>
      </c>
      <c r="R34" s="227">
        <f t="shared" si="28"/>
        <v>-1.1286068265437923E-2</v>
      </c>
      <c r="S34" s="227">
        <f t="shared" ref="S34:Y34" si="29">+S33/S28</f>
        <v>-1.1241343397965725E-2</v>
      </c>
      <c r="T34" s="227">
        <f t="shared" si="29"/>
        <v>-1.1196014977581617E-2</v>
      </c>
      <c r="U34" s="227">
        <f t="shared" si="29"/>
        <v>-1.1150080637819304E-2</v>
      </c>
      <c r="V34" s="227">
        <f t="shared" si="29"/>
        <v>-1.1103538235129303E-2</v>
      </c>
      <c r="W34" s="227">
        <f t="shared" si="29"/>
        <v>-1.1056385856911859E-2</v>
      </c>
      <c r="X34" s="227">
        <f t="shared" si="29"/>
        <v>-1.100862182954504E-2</v>
      </c>
      <c r="Y34" s="227">
        <f t="shared" si="29"/>
        <v>-1.0960244726394548E-2</v>
      </c>
    </row>
    <row r="35" spans="2:25">
      <c r="B35" s="339" t="s">
        <v>17</v>
      </c>
      <c r="C35" s="340">
        <f>+'BS"0"'!G41</f>
        <v>11017552.380000001</v>
      </c>
      <c r="D35" s="341">
        <f>+'BS"0"'!H41</f>
        <v>28459962.109999999</v>
      </c>
      <c r="E35" s="340">
        <f>+'BS"0"'!I41</f>
        <v>28459962.109999999</v>
      </c>
      <c r="F35" s="340">
        <f>+'BS"0"'!J41</f>
        <v>28459962.109999999</v>
      </c>
      <c r="G35" s="340">
        <f>+'BS"0"'!K41</f>
        <v>28459962.109999999</v>
      </c>
      <c r="H35" s="340">
        <f>+'BS"0"'!L41</f>
        <v>28459962.109999999</v>
      </c>
      <c r="I35" s="340">
        <f>+'BS"0"'!M41</f>
        <v>28459962.109999999</v>
      </c>
      <c r="J35" s="340">
        <f>+'BS"0"'!N41</f>
        <v>28459962.109999999</v>
      </c>
      <c r="K35" s="340">
        <f>+'BS"0"'!O41</f>
        <v>28459962.109999999</v>
      </c>
      <c r="L35" s="340">
        <f>+'BS"0"'!P41</f>
        <v>28459962.109999999</v>
      </c>
      <c r="M35" s="340">
        <f>+'BS"0"'!Q41</f>
        <v>28459962.109999999</v>
      </c>
      <c r="N35" s="340">
        <f>+'BS"0"'!R41</f>
        <v>28459962.109999999</v>
      </c>
      <c r="O35" s="340">
        <f>+'BS"0"'!S41</f>
        <v>28459962.109999999</v>
      </c>
      <c r="P35" s="340">
        <f>+'BS"0"'!T41</f>
        <v>28459962.109999999</v>
      </c>
      <c r="Q35" s="340">
        <f>+'BS"0"'!U41</f>
        <v>28459962.109999999</v>
      </c>
      <c r="R35" s="340">
        <f>+'BS"0"'!V41</f>
        <v>28459962.109999999</v>
      </c>
      <c r="S35" s="340">
        <f>+'BS"0"'!W41</f>
        <v>-50055363.920666188</v>
      </c>
      <c r="T35" s="340">
        <f>+'BS"0"'!X41</f>
        <v>-129274455.99992822</v>
      </c>
      <c r="U35" s="340">
        <f>+'BS"0"'!Y41</f>
        <v>-209211743.90168524</v>
      </c>
      <c r="V35" s="340">
        <f>+'BS"0"'!Z41</f>
        <v>-289881956.96025091</v>
      </c>
      <c r="W35" s="340">
        <f>+'BS"0"'!AA41</f>
        <v>-371300130.33568525</v>
      </c>
      <c r="X35" s="340">
        <f>+'BS"0"'!AB41</f>
        <v>-453481611.41128695</v>
      </c>
      <c r="Y35" s="340">
        <f>+'BS"0"'!AC41</f>
        <v>-536442066.32605791</v>
      </c>
    </row>
    <row r="37" spans="2:25">
      <c r="D37" s="215"/>
    </row>
    <row r="38" spans="2:25">
      <c r="D38" s="215"/>
    </row>
  </sheetData>
  <dataValidations count="1">
    <dataValidation type="list" allowBlank="1" showInputMessage="1" showErrorMessage="1" sqref="C5" xr:uid="{00000000-0002-0000-0000-000002000000}">
      <formula1>$H$10:$R$10</formula1>
    </dataValidation>
  </dataValidations>
  <pageMargins left="0.25" right="0.25" top="0.75" bottom="0.75" header="0.3" footer="0.3"/>
  <pageSetup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EAD5"/>
    <outlinePr summaryBelow="0"/>
  </sheetPr>
  <dimension ref="A1:AC86"/>
  <sheetViews>
    <sheetView workbookViewId="0"/>
  </sheetViews>
  <sheetFormatPr baseColWidth="10" defaultColWidth="9.1640625" defaultRowHeight="12"/>
  <cols>
    <col min="1" max="1" width="2.5" style="5" customWidth="1"/>
    <col min="2" max="2" width="48.6640625" style="108" customWidth="1"/>
    <col min="3" max="6" width="11.83203125" style="109" customWidth="1"/>
    <col min="7" max="7" width="13" style="109" customWidth="1"/>
    <col min="8" max="29" width="11.83203125" style="4" customWidth="1"/>
    <col min="30" max="16384" width="9.1640625" style="4"/>
  </cols>
  <sheetData>
    <row r="1" spans="1:29" ht="12.75" customHeight="1">
      <c r="A1" s="78"/>
      <c r="B1" s="78"/>
      <c r="C1" s="78"/>
      <c r="D1" s="78"/>
      <c r="E1" s="78"/>
      <c r="F1" s="78"/>
      <c r="G1" s="78"/>
      <c r="H1" s="79"/>
      <c r="I1" s="79"/>
      <c r="J1" s="79"/>
    </row>
    <row r="2" spans="1:29" ht="12.75" customHeight="1">
      <c r="B2" s="80" t="s">
        <v>1</v>
      </c>
      <c r="C2" s="78"/>
      <c r="D2" s="78"/>
      <c r="E2" s="78"/>
      <c r="F2" s="78"/>
      <c r="G2" s="78"/>
      <c r="H2" s="79"/>
      <c r="I2" s="79"/>
      <c r="J2" s="79"/>
    </row>
    <row r="3" spans="1:29" ht="15" thickBot="1">
      <c r="B3" s="81" t="s">
        <v>133</v>
      </c>
      <c r="C3" s="82"/>
      <c r="D3" s="82"/>
      <c r="E3" s="82"/>
      <c r="F3" s="82"/>
      <c r="G3" s="8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2.75" customHeight="1">
      <c r="B4" s="84"/>
      <c r="C4" s="78"/>
      <c r="D4" s="78"/>
      <c r="E4" s="78"/>
      <c r="F4" s="78"/>
      <c r="G4" s="78"/>
      <c r="H4" s="79"/>
      <c r="I4" s="79"/>
      <c r="J4" s="79"/>
    </row>
    <row r="5" spans="1:29" ht="14.25" customHeight="1" thickBot="1">
      <c r="B5" s="85" t="s">
        <v>134</v>
      </c>
      <c r="C5" s="86">
        <f>+'BS"0"'!C5</f>
        <v>42735</v>
      </c>
      <c r="D5" s="86">
        <f>+'BS"0"'!D5</f>
        <v>43100</v>
      </c>
      <c r="E5" s="86">
        <f>+'BS"0"'!E5</f>
        <v>43465</v>
      </c>
      <c r="F5" s="86">
        <f>+'BS"0"'!F5</f>
        <v>43830</v>
      </c>
      <c r="G5" s="86">
        <f>+'BS"0"'!G5</f>
        <v>44196</v>
      </c>
      <c r="H5" s="165">
        <f>+'BS"0"'!H5</f>
        <v>44561</v>
      </c>
      <c r="I5" s="87">
        <f>+'BS"0"'!I5</f>
        <v>44926</v>
      </c>
      <c r="J5" s="87">
        <f>+'BS"0"'!J5</f>
        <v>45291</v>
      </c>
      <c r="K5" s="87">
        <f>+'BS"0"'!K5</f>
        <v>45657</v>
      </c>
      <c r="L5" s="87">
        <f>+'BS"0"'!L5</f>
        <v>46022</v>
      </c>
      <c r="M5" s="87">
        <f>+'BS"0"'!M5</f>
        <v>46387</v>
      </c>
      <c r="N5" s="87">
        <f>+'BS"0"'!N5</f>
        <v>46752</v>
      </c>
      <c r="O5" s="87">
        <f>+'BS"0"'!O5</f>
        <v>47118</v>
      </c>
      <c r="P5" s="87">
        <f>+'BS"0"'!P5</f>
        <v>47483</v>
      </c>
      <c r="Q5" s="87">
        <f>+'BS"0"'!Q5</f>
        <v>47848</v>
      </c>
      <c r="R5" s="87">
        <f>+'BS"0"'!R5</f>
        <v>48213</v>
      </c>
      <c r="S5" s="87">
        <f>+'BS"0"'!S5</f>
        <v>48579</v>
      </c>
      <c r="T5" s="87">
        <f>+'BS"0"'!T5</f>
        <v>48944</v>
      </c>
      <c r="U5" s="87">
        <f>+'BS"0"'!U5</f>
        <v>49309</v>
      </c>
      <c r="V5" s="87">
        <f>+'BS"0"'!V5</f>
        <v>49674</v>
      </c>
      <c r="W5" s="87">
        <f>+'BS"0"'!W5</f>
        <v>50040</v>
      </c>
      <c r="X5" s="87">
        <f>+'BS"0"'!X5</f>
        <v>50405</v>
      </c>
      <c r="Y5" s="87">
        <f>+'BS"0"'!Y5</f>
        <v>50770</v>
      </c>
      <c r="Z5" s="87">
        <f>+'BS"0"'!Z5</f>
        <v>51135</v>
      </c>
      <c r="AA5" s="87">
        <f>+'BS"0"'!AA5</f>
        <v>51501</v>
      </c>
      <c r="AB5" s="87">
        <f>+'BS"0"'!AB5</f>
        <v>51866</v>
      </c>
      <c r="AC5" s="87">
        <f>+'BS"0"'!AC5</f>
        <v>52231</v>
      </c>
    </row>
    <row r="6" spans="1:29" ht="13.5" customHeight="1">
      <c r="B6" s="88" t="s">
        <v>135</v>
      </c>
      <c r="C6" s="89">
        <f>PL_data!E72</f>
        <v>0</v>
      </c>
      <c r="D6" s="89">
        <f>PL_data!F72</f>
        <v>0</v>
      </c>
      <c r="E6" s="89">
        <f>PL_data!G72</f>
        <v>0</v>
      </c>
      <c r="F6" s="89">
        <f>PL_data!H72</f>
        <v>187717.1</v>
      </c>
      <c r="G6" s="89">
        <f>PL_data!I72</f>
        <v>2409124.59</v>
      </c>
      <c r="H6" s="89">
        <f>PL_data!J72</f>
        <v>3162118.92</v>
      </c>
      <c r="I6" s="90">
        <f>'Revenues"0"'!H27</f>
        <v>3162118.92</v>
      </c>
      <c r="J6" s="90">
        <f>'Revenues"0"'!I27</f>
        <v>3130275.0339484517</v>
      </c>
      <c r="K6" s="90">
        <f>'Revenues"0"'!J27</f>
        <v>3132444.2584969206</v>
      </c>
      <c r="L6" s="90">
        <f>'Revenues"0"'!K27</f>
        <v>3135105.2056349148</v>
      </c>
      <c r="M6" s="90">
        <f>'Revenues"0"'!L27</f>
        <v>3149934.9917484848</v>
      </c>
      <c r="N6" s="90">
        <f>'Revenues"0"'!M27</f>
        <v>3048969.8580969861</v>
      </c>
      <c r="O6" s="90">
        <f>'Revenues"0"'!N27</f>
        <v>2963699.6186000686</v>
      </c>
      <c r="P6" s="90">
        <f>'Revenues"0"'!O27</f>
        <v>2922002.2552786563</v>
      </c>
      <c r="Q6" s="90">
        <f>'Revenues"0"'!P27</f>
        <v>2922810.5615959656</v>
      </c>
      <c r="R6" s="90">
        <f>'Revenues"0"'!Q27</f>
        <v>2921977.7971641342</v>
      </c>
      <c r="S6" s="90">
        <f>'Revenues"0"'!R27</f>
        <v>2921888.414245463</v>
      </c>
      <c r="T6" s="90">
        <f>'Revenues"0"'!S27</f>
        <v>2920792.6692198059</v>
      </c>
      <c r="U6" s="90">
        <f>'Revenues"0"'!T27</f>
        <v>2917384.6392809376</v>
      </c>
      <c r="V6" s="90">
        <f>'Revenues"0"'!U27</f>
        <v>2912204.3902390073</v>
      </c>
      <c r="W6" s="90">
        <f>'Revenues"0"'!V27</f>
        <v>2912543.4749531467</v>
      </c>
      <c r="X6" s="90">
        <f>'Revenues"0"'!W27</f>
        <v>2912882.5596672855</v>
      </c>
      <c r="Y6" s="90">
        <f>'Revenues"0"'!X27</f>
        <v>2913221.6443814253</v>
      </c>
      <c r="Z6" s="90">
        <f>'Revenues"0"'!Y27</f>
        <v>2913560.7290955642</v>
      </c>
      <c r="AA6" s="90">
        <f>'Revenues"0"'!Z27</f>
        <v>2913899.8138097036</v>
      </c>
      <c r="AB6" s="90">
        <f>'Revenues"0"'!AA27</f>
        <v>2914238.8985238425</v>
      </c>
      <c r="AC6" s="90">
        <f>'Revenues"0"'!AB27</f>
        <v>2914577.9832379818</v>
      </c>
    </row>
    <row r="7" spans="1:29" ht="13.5" customHeight="1">
      <c r="B7" s="88" t="s">
        <v>136</v>
      </c>
      <c r="C7" s="91">
        <f>PL_data!E8</f>
        <v>0</v>
      </c>
      <c r="D7" s="91">
        <f>PL_data!F8</f>
        <v>0</v>
      </c>
      <c r="E7" s="91">
        <f>PL_data!G8</f>
        <v>0</v>
      </c>
      <c r="F7" s="91">
        <f>PL_data!H8</f>
        <v>162991.97</v>
      </c>
      <c r="G7" s="91">
        <f>PL_data!I8</f>
        <v>2138186.7799999998</v>
      </c>
      <c r="H7" s="91">
        <f>PL_data!J8</f>
        <v>2875276.47</v>
      </c>
      <c r="I7" s="92">
        <f>'Costs"0"'!H35</f>
        <v>2809131.4463573173</v>
      </c>
      <c r="J7" s="92">
        <f>'Costs"0"'!I35</f>
        <v>2780842.2947014957</v>
      </c>
      <c r="K7" s="92">
        <f>'Costs"0"'!J35</f>
        <v>2782769.3686185367</v>
      </c>
      <c r="L7" s="92">
        <f>'Costs"0"'!K35</f>
        <v>2785133.2741108811</v>
      </c>
      <c r="M7" s="92">
        <f>'Costs"0"'!L35</f>
        <v>2798307.6105505689</v>
      </c>
      <c r="N7" s="92">
        <f>'Costs"0"'!M35</f>
        <v>2708613.2191941254</v>
      </c>
      <c r="O7" s="92">
        <f>'Costs"0"'!N35</f>
        <v>2632861.7002698435</v>
      </c>
      <c r="P7" s="92">
        <f>'Costs"0"'!O35</f>
        <v>2595819.0154436934</v>
      </c>
      <c r="Q7" s="92">
        <f>'Costs"0"'!P35</f>
        <v>2596537.0904913712</v>
      </c>
      <c r="R7" s="92">
        <f>'Costs"0"'!Q35</f>
        <v>2595797.2875895672</v>
      </c>
      <c r="S7" s="92">
        <f>'Costs"0"'!R35</f>
        <v>2595717.8824900254</v>
      </c>
      <c r="T7" s="92">
        <f>'Costs"0"'!S35</f>
        <v>2594744.4555296116</v>
      </c>
      <c r="U7" s="92">
        <f>'Costs"0"'!T35</f>
        <v>2591716.8641222008</v>
      </c>
      <c r="V7" s="92">
        <f>'Costs"0"'!U35</f>
        <v>2587114.8865078837</v>
      </c>
      <c r="W7" s="92">
        <f>'Costs"0"'!V35</f>
        <v>2587416.119180521</v>
      </c>
      <c r="X7" s="92">
        <f>'Costs"0"'!W35</f>
        <v>2587717.3518531574</v>
      </c>
      <c r="Y7" s="92">
        <f>'Costs"0"'!X35</f>
        <v>2588018.5845257952</v>
      </c>
      <c r="Z7" s="92">
        <f>'Costs"0"'!Y35</f>
        <v>2588319.8171984316</v>
      </c>
      <c r="AA7" s="92">
        <f>'Costs"0"'!Z35</f>
        <v>2588621.0498710689</v>
      </c>
      <c r="AB7" s="92">
        <f>'Costs"0"'!AA35</f>
        <v>2588922.2825437053</v>
      </c>
      <c r="AC7" s="92">
        <f>'Costs"0"'!AB35</f>
        <v>2589223.5152163426</v>
      </c>
    </row>
    <row r="8" spans="1:29" ht="13.5" customHeight="1">
      <c r="B8" s="93" t="s">
        <v>137</v>
      </c>
      <c r="C8" s="94">
        <f t="shared" ref="C8" si="0">C6-C7</f>
        <v>0</v>
      </c>
      <c r="D8" s="94">
        <f t="shared" ref="D8:G8" si="1">D6-D7</f>
        <v>0</v>
      </c>
      <c r="E8" s="94">
        <f t="shared" si="1"/>
        <v>0</v>
      </c>
      <c r="F8" s="94">
        <f t="shared" si="1"/>
        <v>24725.130000000005</v>
      </c>
      <c r="G8" s="94">
        <f t="shared" si="1"/>
        <v>270937.81000000006</v>
      </c>
      <c r="H8" s="94">
        <f t="shared" ref="H8" si="2">H6-H7</f>
        <v>286842.44999999972</v>
      </c>
      <c r="I8" s="95">
        <f t="shared" ref="I8:M8" si="3">I6-I7</f>
        <v>352987.47364268266</v>
      </c>
      <c r="J8" s="95">
        <f t="shared" si="3"/>
        <v>349432.73924695607</v>
      </c>
      <c r="K8" s="95">
        <f t="shared" si="3"/>
        <v>349674.88987838384</v>
      </c>
      <c r="L8" s="95">
        <f t="shared" si="3"/>
        <v>349971.93152403366</v>
      </c>
      <c r="M8" s="95">
        <f t="shared" si="3"/>
        <v>351627.38119791588</v>
      </c>
      <c r="N8" s="95">
        <f t="shared" ref="N8:R8" si="4">N6-N7</f>
        <v>340356.63890286069</v>
      </c>
      <c r="O8" s="95">
        <f t="shared" si="4"/>
        <v>330837.91833022516</v>
      </c>
      <c r="P8" s="95">
        <f t="shared" si="4"/>
        <v>326183.23983496288</v>
      </c>
      <c r="Q8" s="95">
        <f t="shared" si="4"/>
        <v>326273.47110459441</v>
      </c>
      <c r="R8" s="95">
        <f t="shared" si="4"/>
        <v>326180.50957456697</v>
      </c>
      <c r="S8" s="95">
        <f t="shared" ref="S8:V8" si="5">S6-S7</f>
        <v>326170.53175543761</v>
      </c>
      <c r="T8" s="95">
        <f t="shared" si="5"/>
        <v>326048.2136901943</v>
      </c>
      <c r="U8" s="95">
        <f t="shared" si="5"/>
        <v>325667.77515873685</v>
      </c>
      <c r="V8" s="95">
        <f t="shared" si="5"/>
        <v>325089.50373112364</v>
      </c>
      <c r="W8" s="95">
        <f t="shared" ref="W8" si="6">W6-W7</f>
        <v>325127.35577262565</v>
      </c>
      <c r="X8" s="95">
        <f t="shared" ref="X8:AC8" si="7">X6-X7</f>
        <v>325165.20781412814</v>
      </c>
      <c r="Y8" s="95">
        <f t="shared" si="7"/>
        <v>325203.05985563016</v>
      </c>
      <c r="Z8" s="95">
        <f t="shared" si="7"/>
        <v>325240.91189713264</v>
      </c>
      <c r="AA8" s="95">
        <f t="shared" si="7"/>
        <v>325278.76393863466</v>
      </c>
      <c r="AB8" s="95">
        <f t="shared" si="7"/>
        <v>325316.61598013714</v>
      </c>
      <c r="AC8" s="95">
        <f t="shared" si="7"/>
        <v>325354.46802163916</v>
      </c>
    </row>
    <row r="9" spans="1:29" ht="13.5" customHeight="1">
      <c r="B9" s="93" t="s">
        <v>138</v>
      </c>
      <c r="C9" s="96">
        <f t="shared" ref="C9" si="8">SUM(C10:C12)</f>
        <v>92013925.840000004</v>
      </c>
      <c r="D9" s="96">
        <f t="shared" ref="D9:G9" si="9">SUM(D10:D12)</f>
        <v>91580974.519999996</v>
      </c>
      <c r="E9" s="96">
        <f t="shared" si="9"/>
        <v>96802267.170000002</v>
      </c>
      <c r="F9" s="96">
        <f t="shared" si="9"/>
        <v>106428024.78</v>
      </c>
      <c r="G9" s="151">
        <f t="shared" si="9"/>
        <v>111377666.52</v>
      </c>
      <c r="H9" s="94">
        <f t="shared" ref="H9" si="10">SUM(H10:H12)</f>
        <v>127538109.19000001</v>
      </c>
      <c r="I9" s="95">
        <f t="shared" ref="I9:L9" si="11">SUM(I10:I12)</f>
        <v>134319993.29735285</v>
      </c>
      <c r="J9" s="95">
        <f t="shared" si="11"/>
        <v>133047192.76539674</v>
      </c>
      <c r="K9" s="95">
        <f t="shared" si="11"/>
        <v>133168746.83298486</v>
      </c>
      <c r="L9" s="95">
        <f t="shared" si="11"/>
        <v>133316132.42199589</v>
      </c>
      <c r="M9" s="95">
        <f t="shared" ref="M9:R9" si="12">SUM(M10:M12)</f>
        <v>133963084.23114918</v>
      </c>
      <c r="N9" s="95">
        <f t="shared" si="12"/>
        <v>129857032.35437183</v>
      </c>
      <c r="O9" s="95">
        <f t="shared" si="12"/>
        <v>126393091.27064963</v>
      </c>
      <c r="P9" s="95">
        <f t="shared" si="12"/>
        <v>124716937.81611259</v>
      </c>
      <c r="Q9" s="95">
        <f t="shared" si="12"/>
        <v>124786336.79352842</v>
      </c>
      <c r="R9" s="95">
        <f t="shared" si="12"/>
        <v>124788425.37763876</v>
      </c>
      <c r="S9" s="95">
        <f t="shared" ref="S9:V9" si="13">SUM(S10:S12)</f>
        <v>124821177.51768707</v>
      </c>
      <c r="T9" s="95">
        <f t="shared" si="13"/>
        <v>124804682.29795687</v>
      </c>
      <c r="U9" s="95">
        <f t="shared" si="13"/>
        <v>124694922.73147951</v>
      </c>
      <c r="V9" s="95">
        <f t="shared" si="13"/>
        <v>124512204.82143906</v>
      </c>
      <c r="W9" s="95">
        <f t="shared" ref="W9" si="14">SUM(W10:W12)</f>
        <v>124526173.48486218</v>
      </c>
      <c r="X9" s="95">
        <f t="shared" ref="X9:AC9" si="15">SUM(X10:X12)</f>
        <v>124540142.1482853</v>
      </c>
      <c r="Y9" s="95">
        <f t="shared" si="15"/>
        <v>124554110.81170844</v>
      </c>
      <c r="Z9" s="95">
        <f t="shared" si="15"/>
        <v>124568079.47513156</v>
      </c>
      <c r="AA9" s="95">
        <f t="shared" si="15"/>
        <v>124582048.13855466</v>
      </c>
      <c r="AB9" s="95">
        <f t="shared" si="15"/>
        <v>124596016.80197778</v>
      </c>
      <c r="AC9" s="95">
        <f t="shared" si="15"/>
        <v>124609985.4654009</v>
      </c>
    </row>
    <row r="10" spans="1:29" ht="13.5" customHeight="1">
      <c r="B10" s="97" t="s">
        <v>139</v>
      </c>
      <c r="C10" s="98">
        <f>PL_data!E71</f>
        <v>91969966.840000004</v>
      </c>
      <c r="D10" s="98">
        <f>PL_data!F71</f>
        <v>91537466.319999993</v>
      </c>
      <c r="E10" s="98">
        <f>PL_data!G71</f>
        <v>96758427.370000005</v>
      </c>
      <c r="F10" s="98">
        <f>PL_data!H71</f>
        <v>106384314.98</v>
      </c>
      <c r="G10" s="91">
        <f>PL_data!I71</f>
        <v>111345317.31999999</v>
      </c>
      <c r="H10" s="91">
        <f>PL_data!J71</f>
        <v>127492099.15000001</v>
      </c>
      <c r="I10" s="92">
        <f>'Revenues"0"'!H3+'Revenues"0"'!H18</f>
        <v>134273971.12849328</v>
      </c>
      <c r="J10" s="92">
        <f>'Revenues"0"'!I3+'Revenues"0"'!I18</f>
        <v>133001632.27484791</v>
      </c>
      <c r="K10" s="92">
        <f>'Revenues"0"'!J3+'Revenues"0"'!J18</f>
        <v>133123149.76616348</v>
      </c>
      <c r="L10" s="92">
        <f>'Revenues"0"'!K3+'Revenues"0"'!K18</f>
        <v>133270491.56795493</v>
      </c>
      <c r="M10" s="92">
        <f>'Revenues"0"'!L3+'Revenues"0"'!L18</f>
        <v>133917221.24971259</v>
      </c>
      <c r="N10" s="92">
        <f>'Revenues"0"'!M3+'Revenues"0"'!M18</f>
        <v>129812644.34215653</v>
      </c>
      <c r="O10" s="92">
        <f>'Revenues"0"'!N3+'Revenues"0"'!N18</f>
        <v>126349948.48430075</v>
      </c>
      <c r="P10" s="92">
        <f>'Revenues"0"'!O3+'Revenues"0"'!O18</f>
        <v>124674401.76189333</v>
      </c>
      <c r="Q10" s="92">
        <f>'Revenues"0"'!P3+'Revenues"0"'!P18</f>
        <v>124743784.42279474</v>
      </c>
      <c r="R10" s="92">
        <f>'Revenues"0"'!Q3+'Revenues"0"'!Q18</f>
        <v>124745880.7513085</v>
      </c>
      <c r="S10" s="92">
        <f>'Revenues"0"'!R3+'Revenues"0"'!R18</f>
        <v>124778629.73832369</v>
      </c>
      <c r="T10" s="92">
        <f>'Revenues"0"'!S3+'Revenues"0"'!S18</f>
        <v>124762146.1258595</v>
      </c>
      <c r="U10" s="92">
        <f>'Revenues"0"'!T3+'Revenues"0"'!T18</f>
        <v>124652432.08583349</v>
      </c>
      <c r="V10" s="92">
        <f>'Revenues"0"'!U3+'Revenues"0"'!U18</f>
        <v>124469785.71000324</v>
      </c>
      <c r="W10" s="92">
        <f>'Revenues"0"'!V3+'Revenues"0"'!V18</f>
        <v>124483744.95440814</v>
      </c>
      <c r="X10" s="92">
        <f>'Revenues"0"'!W3+'Revenues"0"'!W18</f>
        <v>124497704.19881304</v>
      </c>
      <c r="Y10" s="92">
        <f>'Revenues"0"'!X3+'Revenues"0"'!X18</f>
        <v>124511663.44321795</v>
      </c>
      <c r="Z10" s="92">
        <f>'Revenues"0"'!Y3+'Revenues"0"'!Y18</f>
        <v>124525622.68762285</v>
      </c>
      <c r="AA10" s="92">
        <f>'Revenues"0"'!Z3+'Revenues"0"'!Z18</f>
        <v>124539581.93202773</v>
      </c>
      <c r="AB10" s="92">
        <f>'Revenues"0"'!AA3+'Revenues"0"'!AA18</f>
        <v>124553541.17643262</v>
      </c>
      <c r="AC10" s="92">
        <f>'Revenues"0"'!AB3+'Revenues"0"'!AB18</f>
        <v>124567500.42083752</v>
      </c>
    </row>
    <row r="11" spans="1:29" ht="13.5" customHeight="1">
      <c r="B11" s="97" t="s">
        <v>140</v>
      </c>
      <c r="C11" s="91"/>
      <c r="D11" s="91"/>
      <c r="E11" s="91"/>
      <c r="F11" s="91"/>
      <c r="G11" s="91"/>
      <c r="H11" s="91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29" ht="13.5" customHeight="1">
      <c r="B12" s="99" t="s">
        <v>216</v>
      </c>
      <c r="C12" s="91">
        <f>PL_data!E78</f>
        <v>43959</v>
      </c>
      <c r="D12" s="91">
        <f>PL_data!F78</f>
        <v>43508.2</v>
      </c>
      <c r="E12" s="91">
        <f>PL_data!G78</f>
        <v>43839.8</v>
      </c>
      <c r="F12" s="91">
        <f>PL_data!H78</f>
        <v>43709.8</v>
      </c>
      <c r="G12" s="91">
        <f>PL_data!I78</f>
        <v>32349.200000000001</v>
      </c>
      <c r="H12" s="91">
        <f>PL_data!J78</f>
        <v>46010.04</v>
      </c>
      <c r="I12" s="92">
        <f>'Revenues"0"'!H35</f>
        <v>46022.168859563928</v>
      </c>
      <c r="J12" s="92">
        <f>'Revenues"0"'!I35</f>
        <v>45560.490548834583</v>
      </c>
      <c r="K12" s="92">
        <f>'Revenues"0"'!J35</f>
        <v>45597.06682137819</v>
      </c>
      <c r="L12" s="92">
        <f>'Revenues"0"'!K35</f>
        <v>45640.854040969723</v>
      </c>
      <c r="M12" s="92">
        <f>'Revenues"0"'!L35</f>
        <v>45862.981436587936</v>
      </c>
      <c r="N12" s="92">
        <f>'Revenues"0"'!M35</f>
        <v>44388.012215300027</v>
      </c>
      <c r="O12" s="92">
        <f>'Revenues"0"'!N35</f>
        <v>43142.78634887642</v>
      </c>
      <c r="P12" s="92">
        <f>'Revenues"0"'!O35</f>
        <v>42536.054219257043</v>
      </c>
      <c r="Q12" s="92">
        <f>'Revenues"0"'!P35</f>
        <v>42552.370733681331</v>
      </c>
      <c r="R12" s="92">
        <f>'Revenues"0"'!Q35</f>
        <v>42544.626330260355</v>
      </c>
      <c r="S12" s="92">
        <f>'Revenues"0"'!R35</f>
        <v>42547.779363378868</v>
      </c>
      <c r="T12" s="92">
        <f>'Revenues"0"'!S35</f>
        <v>42536.17209736826</v>
      </c>
      <c r="U12" s="92">
        <f>'Revenues"0"'!T35</f>
        <v>42490.645646018194</v>
      </c>
      <c r="V12" s="92">
        <f>'Revenues"0"'!U35</f>
        <v>42419.111435810461</v>
      </c>
      <c r="W12" s="92">
        <f>'Revenues"0"'!V35</f>
        <v>42428.530454034306</v>
      </c>
      <c r="X12" s="92">
        <f>'Revenues"0"'!W35</f>
        <v>42437.949472258158</v>
      </c>
      <c r="Y12" s="92">
        <f>'Revenues"0"'!X35</f>
        <v>42447.368490482011</v>
      </c>
      <c r="Z12" s="92">
        <f>'Revenues"0"'!Y35</f>
        <v>42456.787508705856</v>
      </c>
      <c r="AA12" s="92">
        <f>'Revenues"0"'!Z35</f>
        <v>42466.206526929702</v>
      </c>
      <c r="AB12" s="92">
        <f>'Revenues"0"'!AA35</f>
        <v>42475.625545153547</v>
      </c>
      <c r="AC12" s="92">
        <f>'Revenues"0"'!AB35</f>
        <v>42485.044563377392</v>
      </c>
    </row>
    <row r="13" spans="1:29" ht="13.5" customHeight="1">
      <c r="B13" s="93" t="s">
        <v>141</v>
      </c>
      <c r="C13" s="96">
        <f t="shared" ref="C13" si="16">SUM(C14:C15)</f>
        <v>41997490.840000004</v>
      </c>
      <c r="D13" s="96">
        <f t="shared" ref="D13:G13" si="17">SUM(D14:D15)</f>
        <v>41754838.82</v>
      </c>
      <c r="E13" s="96">
        <f t="shared" si="17"/>
        <v>44678743.620000005</v>
      </c>
      <c r="F13" s="96">
        <f t="shared" si="17"/>
        <v>52572288.100000001</v>
      </c>
      <c r="G13" s="151">
        <f t="shared" si="17"/>
        <v>55723615.770000003</v>
      </c>
      <c r="H13" s="94">
        <f t="shared" ref="H13" si="18">SUM(H14:H15)</f>
        <v>62005718.609999999</v>
      </c>
      <c r="I13" s="95">
        <f t="shared" ref="I13:R13" si="19">SUM(I14:I15)</f>
        <v>65368163.287226319</v>
      </c>
      <c r="J13" s="95">
        <f t="shared" si="19"/>
        <v>65361695.303031847</v>
      </c>
      <c r="K13" s="95">
        <f t="shared" si="19"/>
        <v>65547539.263668716</v>
      </c>
      <c r="L13" s="95">
        <f t="shared" si="19"/>
        <v>65733268.492883734</v>
      </c>
      <c r="M13" s="95">
        <f t="shared" si="19"/>
        <v>66105537.269629017</v>
      </c>
      <c r="N13" s="95">
        <f t="shared" si="19"/>
        <v>64736178.476355076</v>
      </c>
      <c r="O13" s="95">
        <f t="shared" si="19"/>
        <v>63606421.655097418</v>
      </c>
      <c r="P13" s="95">
        <f t="shared" si="19"/>
        <v>63136553.434438214</v>
      </c>
      <c r="Q13" s="95">
        <f t="shared" si="19"/>
        <v>63310721.565782189</v>
      </c>
      <c r="R13" s="95">
        <f t="shared" si="19"/>
        <v>63463698.900181159</v>
      </c>
      <c r="S13" s="95">
        <f t="shared" ref="S13:V13" si="20">SUM(S14:S15)</f>
        <v>63631504.77223403</v>
      </c>
      <c r="T13" s="95">
        <f t="shared" si="20"/>
        <v>63784254.78472396</v>
      </c>
      <c r="U13" s="95">
        <f t="shared" si="20"/>
        <v>63906716.017055683</v>
      </c>
      <c r="V13" s="95">
        <f t="shared" si="20"/>
        <v>64006283.428812593</v>
      </c>
      <c r="W13" s="95">
        <f t="shared" ref="W13" si="21">SUM(W14:W15)</f>
        <v>64192936.85982275</v>
      </c>
      <c r="X13" s="95">
        <f t="shared" ref="X13:AC13" si="22">SUM(X14:X15)</f>
        <v>64383576.698814541</v>
      </c>
      <c r="Y13" s="95">
        <f t="shared" si="22"/>
        <v>64578292.059993729</v>
      </c>
      <c r="Z13" s="95">
        <f t="shared" si="22"/>
        <v>64777174.074501358</v>
      </c>
      <c r="AA13" s="95">
        <f t="shared" si="22"/>
        <v>64980315.936618701</v>
      </c>
      <c r="AB13" s="95">
        <f t="shared" si="22"/>
        <v>65187812.951043017</v>
      </c>
      <c r="AC13" s="95">
        <f t="shared" si="22"/>
        <v>65399762.581259198</v>
      </c>
    </row>
    <row r="14" spans="1:29" ht="13.5" customHeight="1">
      <c r="B14" s="97" t="s">
        <v>142</v>
      </c>
      <c r="C14" s="91">
        <f>PL_data!E4-PL_data!E8</f>
        <v>37272809.100000001</v>
      </c>
      <c r="D14" s="91">
        <f>PL_data!F4-PL_data!F8</f>
        <v>37200873.170000002</v>
      </c>
      <c r="E14" s="91">
        <f>PL_data!G4-PL_data!G8</f>
        <v>39837612.020000003</v>
      </c>
      <c r="F14" s="91">
        <f>PL_data!H4-PL_data!H8</f>
        <v>47111293.770000003</v>
      </c>
      <c r="G14" s="91">
        <f>PL_data!I4-PL_data!I8</f>
        <v>49705294.82</v>
      </c>
      <c r="H14" s="91">
        <f>PL_data!J4-PL_data!J8</f>
        <v>56365612.130000003</v>
      </c>
      <c r="I14" s="92">
        <f>'Costs"0"'!H3</f>
        <v>60742394.808226317</v>
      </c>
      <c r="J14" s="92">
        <f>'Costs"0"'!I3</f>
        <v>60681456.191156849</v>
      </c>
      <c r="K14" s="92">
        <f>'Costs"0"'!J3</f>
        <v>60811467.753096841</v>
      </c>
      <c r="L14" s="92">
        <f>'Costs"0"'!K3</f>
        <v>60939968.773647562</v>
      </c>
      <c r="M14" s="92">
        <f>'Costs"0"'!L3</f>
        <v>61253578.636511937</v>
      </c>
      <c r="N14" s="92">
        <f>'Costs"0"'!M3</f>
        <v>59824094.456510074</v>
      </c>
      <c r="O14" s="92">
        <f>'Costs"0"'!N3</f>
        <v>58632709.113856293</v>
      </c>
      <c r="P14" s="92">
        <f>'Costs"0"'!O3</f>
        <v>58099671.658766061</v>
      </c>
      <c r="Q14" s="92">
        <f>'Costs"0"'!P3</f>
        <v>58209091.324818231</v>
      </c>
      <c r="R14" s="92">
        <f>'Costs"0"'!Q3</f>
        <v>58295701.482293099</v>
      </c>
      <c r="S14" s="92">
        <f>'Costs"0"'!R3</f>
        <v>58395480.997998774</v>
      </c>
      <c r="T14" s="92">
        <f>'Costs"0"'!S3</f>
        <v>58478503.995232821</v>
      </c>
      <c r="U14" s="92">
        <f>'Costs"0"'!T3</f>
        <v>58529495.036927268</v>
      </c>
      <c r="V14" s="92">
        <f>'Costs"0"'!U3</f>
        <v>58555805.503280967</v>
      </c>
      <c r="W14" s="92">
        <f>'Costs"0"'!V3</f>
        <v>58667370.565252833</v>
      </c>
      <c r="X14" s="92">
        <f>'Costs"0"'!W3</f>
        <v>58781044.82598038</v>
      </c>
      <c r="Y14" s="92">
        <f>'Costs"0"'!X3</f>
        <v>58896870.469438709</v>
      </c>
      <c r="Z14" s="92">
        <f>'Costs"0"'!Y3</f>
        <v>59014890.523282461</v>
      </c>
      <c r="AA14" s="92">
        <f>'Costs"0"'!Z3</f>
        <v>59135148.875719331</v>
      </c>
      <c r="AB14" s="92">
        <f>'Costs"0"'!AA3</f>
        <v>59257690.292721167</v>
      </c>
      <c r="AC14" s="92">
        <f>'Costs"0"'!AB3</f>
        <v>59382560.4355793</v>
      </c>
    </row>
    <row r="15" spans="1:29" ht="13.5" customHeight="1">
      <c r="B15" s="97" t="s">
        <v>143</v>
      </c>
      <c r="C15" s="91">
        <f>PL_data!E9</f>
        <v>4724681.74</v>
      </c>
      <c r="D15" s="91">
        <f>PL_data!F9</f>
        <v>4553965.6500000004</v>
      </c>
      <c r="E15" s="91">
        <f>PL_data!G9</f>
        <v>4841131.5999999996</v>
      </c>
      <c r="F15" s="91">
        <f>PL_data!H9</f>
        <v>5460994.3300000001</v>
      </c>
      <c r="G15" s="91">
        <f>PL_data!I9</f>
        <v>6018320.9500000002</v>
      </c>
      <c r="H15" s="91">
        <f>PL_data!J9</f>
        <v>5640106.4799999995</v>
      </c>
      <c r="I15" s="92">
        <f>'Costs"0"'!H4</f>
        <v>4625768.4790000003</v>
      </c>
      <c r="J15" s="92">
        <f>'Costs"0"'!I4</f>
        <v>4680239.1118750004</v>
      </c>
      <c r="K15" s="92">
        <f>'Costs"0"'!J4</f>
        <v>4736071.5105718756</v>
      </c>
      <c r="L15" s="92">
        <f>'Costs"0"'!K4</f>
        <v>4793299.7192361718</v>
      </c>
      <c r="M15" s="92">
        <f>'Costs"0"'!L4</f>
        <v>4851958.633117076</v>
      </c>
      <c r="N15" s="92">
        <f>'Costs"0"'!M4</f>
        <v>4912084.0198450023</v>
      </c>
      <c r="O15" s="92">
        <f>'Costs"0"'!N4</f>
        <v>4973712.5412411271</v>
      </c>
      <c r="P15" s="92">
        <f>'Costs"0"'!O4</f>
        <v>5036881.7756721554</v>
      </c>
      <c r="Q15" s="92">
        <f>'Costs"0"'!P4</f>
        <v>5101630.2409639582</v>
      </c>
      <c r="R15" s="92">
        <f>'Costs"0"'!Q4</f>
        <v>5167997.4178880574</v>
      </c>
      <c r="S15" s="92">
        <f>'Costs"0"'!R4</f>
        <v>5236023.7742352588</v>
      </c>
      <c r="T15" s="92">
        <f>'Costs"0"'!S4</f>
        <v>5305750.7894911384</v>
      </c>
      <c r="U15" s="92">
        <f>'Costs"0"'!T4</f>
        <v>5377220.9801284168</v>
      </c>
      <c r="V15" s="92">
        <f>'Costs"0"'!U4</f>
        <v>5450477.9255316267</v>
      </c>
      <c r="W15" s="92">
        <f>'Costs"0"'!V4</f>
        <v>5525566.294569917</v>
      </c>
      <c r="X15" s="92">
        <f>'Costs"0"'!W4</f>
        <v>5602531.8728341646</v>
      </c>
      <c r="Y15" s="92">
        <f>'Costs"0"'!X4</f>
        <v>5681421.5905550187</v>
      </c>
      <c r="Z15" s="92">
        <f>'Costs"0"'!Y4</f>
        <v>5762283.5512188943</v>
      </c>
      <c r="AA15" s="92">
        <f>'Costs"0"'!Z4</f>
        <v>5845167.0608993657</v>
      </c>
      <c r="AB15" s="92">
        <f>'Costs"0"'!AA4</f>
        <v>5930122.65832185</v>
      </c>
      <c r="AC15" s="92">
        <f>'Costs"0"'!AB4</f>
        <v>6017202.1456798958</v>
      </c>
    </row>
    <row r="16" spans="1:29" ht="13.5" customHeight="1">
      <c r="B16" s="100" t="s">
        <v>144</v>
      </c>
      <c r="C16" s="101">
        <f t="shared" ref="C16" si="23">SUM(C8,C9-C13)</f>
        <v>50016435</v>
      </c>
      <c r="D16" s="101">
        <f t="shared" ref="D16:G16" si="24">SUM(D8,D9-D13)</f>
        <v>49826135.699999996</v>
      </c>
      <c r="E16" s="495">
        <f t="shared" si="24"/>
        <v>52123523.549999997</v>
      </c>
      <c r="F16" s="495">
        <f t="shared" si="24"/>
        <v>53880461.810000002</v>
      </c>
      <c r="G16" s="496">
        <f t="shared" si="24"/>
        <v>55924988.559999995</v>
      </c>
      <c r="H16" s="491">
        <f t="shared" ref="H16" si="25">SUM(H8,H9-H13)</f>
        <v>65819233.030000016</v>
      </c>
      <c r="I16" s="102">
        <f t="shared" ref="I16:R16" si="26">SUM(I8,I9-I13)</f>
        <v>69304817.483769208</v>
      </c>
      <c r="J16" s="102">
        <f t="shared" si="26"/>
        <v>68034930.201611847</v>
      </c>
      <c r="K16" s="102">
        <f t="shared" si="26"/>
        <v>67970882.459194526</v>
      </c>
      <c r="L16" s="102">
        <f t="shared" si="26"/>
        <v>67932835.860636204</v>
      </c>
      <c r="M16" s="102">
        <f t="shared" si="26"/>
        <v>68209174.34271808</v>
      </c>
      <c r="N16" s="102">
        <f t="shared" si="26"/>
        <v>65461210.516919613</v>
      </c>
      <c r="O16" s="102">
        <f t="shared" si="26"/>
        <v>63117507.533882432</v>
      </c>
      <c r="P16" s="102">
        <f t="shared" si="26"/>
        <v>61906567.621509343</v>
      </c>
      <c r="Q16" s="102">
        <f t="shared" si="26"/>
        <v>61801888.698850825</v>
      </c>
      <c r="R16" s="102">
        <f t="shared" si="26"/>
        <v>61650906.987032168</v>
      </c>
      <c r="S16" s="102">
        <f t="shared" ref="S16:V16" si="27">SUM(S8,S9-S13)</f>
        <v>61515843.277208477</v>
      </c>
      <c r="T16" s="102">
        <f t="shared" si="27"/>
        <v>61346475.726923101</v>
      </c>
      <c r="U16" s="102">
        <f t="shared" si="27"/>
        <v>61113874.489582568</v>
      </c>
      <c r="V16" s="102">
        <f t="shared" si="27"/>
        <v>60831010.896357588</v>
      </c>
      <c r="W16" s="102">
        <f t="shared" ref="W16" si="28">SUM(W8,W9-W13)</f>
        <v>60658363.980812058</v>
      </c>
      <c r="X16" s="102">
        <f t="shared" ref="X16:AC16" si="29">SUM(X8,X9-X13)</f>
        <v>60481730.657284886</v>
      </c>
      <c r="Y16" s="102">
        <f t="shared" si="29"/>
        <v>60301021.811570339</v>
      </c>
      <c r="Z16" s="102">
        <f t="shared" si="29"/>
        <v>60116146.312527329</v>
      </c>
      <c r="AA16" s="102">
        <f t="shared" si="29"/>
        <v>59927010.965874597</v>
      </c>
      <c r="AB16" s="102">
        <f t="shared" si="29"/>
        <v>59733520.466914907</v>
      </c>
      <c r="AC16" s="102">
        <f t="shared" si="29"/>
        <v>59535577.352163345</v>
      </c>
    </row>
    <row r="17" spans="2:29" ht="13.5" customHeight="1">
      <c r="B17" s="103" t="s">
        <v>145</v>
      </c>
      <c r="C17" s="104">
        <f t="shared" ref="C17" si="30">SUM(C18:C21)</f>
        <v>63880621.670000002</v>
      </c>
      <c r="D17" s="104">
        <f t="shared" ref="D17" si="31">SUM(D18:D21)</f>
        <v>66871972.25</v>
      </c>
      <c r="E17" s="492">
        <f t="shared" ref="E17" si="32">SUM(E18:E21)</f>
        <v>68338361.200000003</v>
      </c>
      <c r="F17" s="492">
        <f t="shared" ref="F17" si="33">SUM(F18:F21)</f>
        <v>75700835.229999989</v>
      </c>
      <c r="G17" s="492">
        <f t="shared" ref="G17" si="34">SUM(G18:G21)</f>
        <v>87082760.310000002</v>
      </c>
      <c r="H17" s="492">
        <f t="shared" ref="H17" si="35">SUM(H18:H21)</f>
        <v>114071965.58000001</v>
      </c>
      <c r="I17" s="95">
        <f t="shared" ref="I17:R17" si="36">SUM(I18:I21)</f>
        <v>114071965.57999998</v>
      </c>
      <c r="J17" s="95">
        <f t="shared" si="36"/>
        <v>113192428.28583489</v>
      </c>
      <c r="K17" s="95">
        <f t="shared" si="36"/>
        <v>113254373.74904798</v>
      </c>
      <c r="L17" s="95">
        <f t="shared" si="36"/>
        <v>114159752.57236886</v>
      </c>
      <c r="M17" s="95">
        <f t="shared" si="36"/>
        <v>115426140.642731</v>
      </c>
      <c r="N17" s="95">
        <f t="shared" si="36"/>
        <v>113417482.08955772</v>
      </c>
      <c r="O17" s="95">
        <f t="shared" si="36"/>
        <v>111820596.52147932</v>
      </c>
      <c r="P17" s="95">
        <f t="shared" si="36"/>
        <v>111458285.66650629</v>
      </c>
      <c r="Q17" s="95">
        <f t="shared" si="36"/>
        <v>112336744.48340628</v>
      </c>
      <c r="R17" s="95">
        <f t="shared" si="36"/>
        <v>113184467.34574276</v>
      </c>
      <c r="S17" s="95">
        <f t="shared" ref="S17:V17" si="37">SUM(S18:S21)</f>
        <v>114071965.57999998</v>
      </c>
      <c r="T17" s="95">
        <f t="shared" si="37"/>
        <v>113767338.65979795</v>
      </c>
      <c r="U17" s="95">
        <f t="shared" si="37"/>
        <v>113670012.86045536</v>
      </c>
      <c r="V17" s="95">
        <f t="shared" si="37"/>
        <v>113523841.28271183</v>
      </c>
      <c r="W17" s="95">
        <f t="shared" ref="W17" si="38">SUM(W18:W21)</f>
        <v>113535910.07430361</v>
      </c>
      <c r="X17" s="95">
        <f t="shared" ref="X17:AC17" si="39">SUM(X18:X21)</f>
        <v>113547978.86589538</v>
      </c>
      <c r="Y17" s="95">
        <f t="shared" si="39"/>
        <v>113560047.65748718</v>
      </c>
      <c r="Z17" s="95">
        <f t="shared" si="39"/>
        <v>113572116.44907896</v>
      </c>
      <c r="AA17" s="95">
        <f t="shared" si="39"/>
        <v>113584185.2406707</v>
      </c>
      <c r="AB17" s="95">
        <f t="shared" si="39"/>
        <v>113596254.03226249</v>
      </c>
      <c r="AC17" s="95">
        <f t="shared" si="39"/>
        <v>113608322.82385427</v>
      </c>
    </row>
    <row r="18" spans="2:29" ht="13.5" customHeight="1">
      <c r="B18" s="97" t="s">
        <v>146</v>
      </c>
      <c r="C18" s="91">
        <f>PL_data!E15</f>
        <v>46180023.969999999</v>
      </c>
      <c r="D18" s="91">
        <f>PL_data!F15</f>
        <v>48277298.420000002</v>
      </c>
      <c r="E18" s="91">
        <f>PL_data!G15</f>
        <v>49311142.090000004</v>
      </c>
      <c r="F18" s="91">
        <f>PL_data!H15</f>
        <v>54574089.229999997</v>
      </c>
      <c r="G18" s="91">
        <f>PL_data!I15</f>
        <v>60552707.590000004</v>
      </c>
      <c r="H18" s="91">
        <f>PL_data!J15</f>
        <v>79419661.150000006</v>
      </c>
      <c r="I18" s="92">
        <f>'FTE"0"'!I24</f>
        <v>79419661.149999991</v>
      </c>
      <c r="J18" s="92">
        <f>'FTE"0"'!J24</f>
        <v>78807306.015097097</v>
      </c>
      <c r="K18" s="92">
        <f>'FTE"0"'!K24</f>
        <v>78850433.944673389</v>
      </c>
      <c r="L18" s="92">
        <f>'FTE"0"'!L24</f>
        <v>79480780.577125356</v>
      </c>
      <c r="M18" s="92">
        <f>'FTE"0"'!M24</f>
        <v>80362470.578004912</v>
      </c>
      <c r="N18" s="92">
        <f>'FTE"0"'!N24</f>
        <v>78963993.915943787</v>
      </c>
      <c r="O18" s="92">
        <f>'FTE"0"'!O24</f>
        <v>77852203.564411983</v>
      </c>
      <c r="P18" s="92">
        <f>'FTE"0"'!P24</f>
        <v>77599953.985064238</v>
      </c>
      <c r="Q18" s="92">
        <f>'FTE"0"'!Q24</f>
        <v>78211558.258013308</v>
      </c>
      <c r="R18" s="92">
        <f>'FTE"0"'!R24</f>
        <v>78801763.416077808</v>
      </c>
      <c r="S18" s="92">
        <f>'FTE"0"'!S24</f>
        <v>79419661.149999991</v>
      </c>
      <c r="T18" s="92">
        <f>'FTE"0"'!T24</f>
        <v>79207572.521066472</v>
      </c>
      <c r="U18" s="92">
        <f>'FTE"0"'!U24</f>
        <v>79139811.945839778</v>
      </c>
      <c r="V18" s="92">
        <f>'FTE"0"'!V24</f>
        <v>79038043.758405402</v>
      </c>
      <c r="W18" s="92">
        <f>'FTE"0"'!W24</f>
        <v>79046446.342982918</v>
      </c>
      <c r="X18" s="92">
        <f>'FTE"0"'!X24</f>
        <v>79054848.927560419</v>
      </c>
      <c r="Y18" s="92">
        <f>'FTE"0"'!Y24</f>
        <v>79063251.512137949</v>
      </c>
      <c r="Z18" s="92">
        <f>'FTE"0"'!Z24</f>
        <v>79071654.096715465</v>
      </c>
      <c r="AA18" s="92">
        <f>'FTE"0"'!AA24</f>
        <v>79080056.681292951</v>
      </c>
      <c r="AB18" s="92">
        <f>'FTE"0"'!AB24</f>
        <v>79088459.265870467</v>
      </c>
      <c r="AC18" s="92">
        <f>'FTE"0"'!AC24</f>
        <v>79096861.850447983</v>
      </c>
    </row>
    <row r="19" spans="2:29" ht="13.5" customHeight="1">
      <c r="B19" s="97" t="s">
        <v>147</v>
      </c>
      <c r="C19" s="91"/>
      <c r="D19" s="91"/>
      <c r="E19" s="91"/>
      <c r="F19" s="91"/>
      <c r="G19" s="91"/>
      <c r="H19" s="91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2:29" ht="13.5" customHeight="1">
      <c r="B20" s="97" t="s">
        <v>148</v>
      </c>
      <c r="C20" s="91">
        <f>SUM(PL_data!E16:E19)</f>
        <v>17700597.699999999</v>
      </c>
      <c r="D20" s="91">
        <f>SUM(PL_data!F16:F19)</f>
        <v>18594673.830000002</v>
      </c>
      <c r="E20" s="91">
        <f>SUM(PL_data!G16:G19)</f>
        <v>19027219.109999999</v>
      </c>
      <c r="F20" s="91">
        <f>SUM(PL_data!H16:H19)</f>
        <v>21126746</v>
      </c>
      <c r="G20" s="91">
        <f>SUM(PL_data!I16:I19)</f>
        <v>26530052.719999999</v>
      </c>
      <c r="H20" s="91">
        <f>SUM(PL_data!J16:J19)</f>
        <v>34652304.43</v>
      </c>
      <c r="I20" s="92">
        <f>'FTE"0"'!I27-'FTE"0"'!I24-'FTE"0"'!I59*'FTE"0"'!$I$60</f>
        <v>34652304.429999992</v>
      </c>
      <c r="J20" s="92">
        <f>'FTE"0"'!J27-'FTE"0"'!J24-'FTE"0"'!J59*'FTE"0"'!$I$60</f>
        <v>34385122.270737797</v>
      </c>
      <c r="K20" s="92">
        <f>'FTE"0"'!K27-'FTE"0"'!K24-'FTE"0"'!K59*'FTE"0"'!$I$60</f>
        <v>34403939.804374591</v>
      </c>
      <c r="L20" s="92">
        <f>'FTE"0"'!L27-'FTE"0"'!L24-'FTE"0"'!L59*'FTE"0"'!$I$60</f>
        <v>34678971.995243505</v>
      </c>
      <c r="M20" s="92">
        <f>'FTE"0"'!M27-'FTE"0"'!M24-'FTE"0"'!M59*'FTE"0"'!$I$60</f>
        <v>35063670.064726084</v>
      </c>
      <c r="N20" s="92">
        <f>'FTE"0"'!N27-'FTE"0"'!N24-'FTE"0"'!N59*'FTE"0"'!$I$60</f>
        <v>34453488.173613936</v>
      </c>
      <c r="O20" s="92">
        <f>'FTE"0"'!O27-'FTE"0"'!O24-'FTE"0"'!O59*'FTE"0"'!$I$60</f>
        <v>33968392.957067341</v>
      </c>
      <c r="P20" s="92">
        <f>'FTE"0"'!P27-'FTE"0"'!P24-'FTE"0"'!P59*'FTE"0"'!$I$60</f>
        <v>33858331.681442052</v>
      </c>
      <c r="Q20" s="92">
        <f>'FTE"0"'!Q27-'FTE"0"'!Q24-'FTE"0"'!Q59*'FTE"0"'!$I$60</f>
        <v>34125186.225392967</v>
      </c>
      <c r="R20" s="92">
        <f>'FTE"0"'!R27-'FTE"0"'!R24-'FTE"0"'!R59*'FTE"0"'!$I$60</f>
        <v>34382703.929664955</v>
      </c>
      <c r="S20" s="92">
        <f>'FTE"0"'!S27-'FTE"0"'!S24-'FTE"0"'!S59*'FTE"0"'!$I$60</f>
        <v>34652304.429999992</v>
      </c>
      <c r="T20" s="92">
        <f>'FTE"0"'!T27-'FTE"0"'!T24-'FTE"0"'!T59*'FTE"0"'!$I$60</f>
        <v>34559766.13873148</v>
      </c>
      <c r="U20" s="92">
        <f>'FTE"0"'!U27-'FTE"0"'!U24-'FTE"0"'!U59*'FTE"0"'!$I$60</f>
        <v>34530200.914615586</v>
      </c>
      <c r="V20" s="92">
        <f>'FTE"0"'!V27-'FTE"0"'!V24-'FTE"0"'!V59*'FTE"0"'!$I$60</f>
        <v>34485797.524306431</v>
      </c>
      <c r="W20" s="92">
        <f>'FTE"0"'!W27-'FTE"0"'!W24-'FTE"0"'!W59*'FTE"0"'!$I$60</f>
        <v>34489463.731320694</v>
      </c>
      <c r="X20" s="92">
        <f>'FTE"0"'!X27-'FTE"0"'!X24-'FTE"0"'!X59*'FTE"0"'!$I$60</f>
        <v>34493129.938334957</v>
      </c>
      <c r="Y20" s="92">
        <f>'FTE"0"'!Y27-'FTE"0"'!Y24-'FTE"0"'!Y59*'FTE"0"'!$I$60</f>
        <v>34496796.145349234</v>
      </c>
      <c r="Z20" s="92">
        <f>'FTE"0"'!Z27-'FTE"0"'!Z24-'FTE"0"'!Z59*'FTE"0"'!$I$60</f>
        <v>34500462.352363497</v>
      </c>
      <c r="AA20" s="92">
        <f>'FTE"0"'!AA27-'FTE"0"'!AA24-'FTE"0"'!AA59*'FTE"0"'!$I$60</f>
        <v>34504128.559377745</v>
      </c>
      <c r="AB20" s="92">
        <f>'FTE"0"'!AB27-'FTE"0"'!AB24-'FTE"0"'!AB59*'FTE"0"'!$I$60</f>
        <v>34507794.766392022</v>
      </c>
      <c r="AC20" s="92">
        <f>'FTE"0"'!AC27-'FTE"0"'!AC24-'FTE"0"'!AC59*'FTE"0"'!$I$60</f>
        <v>34511460.973406285</v>
      </c>
    </row>
    <row r="21" spans="2:29" ht="13.5" customHeight="1">
      <c r="B21" s="99" t="s">
        <v>218</v>
      </c>
      <c r="C21" s="91"/>
      <c r="D21" s="91"/>
      <c r="E21" s="91"/>
      <c r="F21" s="91"/>
      <c r="G21" s="91"/>
      <c r="H21" s="91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2:29" ht="13.5" customHeight="1">
      <c r="B22" s="93" t="s">
        <v>149</v>
      </c>
      <c r="C22" s="94">
        <f>PL_data!E20</f>
        <v>209755.82</v>
      </c>
      <c r="D22" s="94">
        <f>PL_data!F20</f>
        <v>197310.22</v>
      </c>
      <c r="E22" s="94">
        <f>PL_data!G20</f>
        <v>196038.3</v>
      </c>
      <c r="F22" s="94">
        <f>PL_data!H20</f>
        <v>268723.15999999997</v>
      </c>
      <c r="G22" s="94">
        <f>PL_data!I20</f>
        <v>350685.5</v>
      </c>
      <c r="H22" s="94">
        <f>PL_data!J20</f>
        <v>295644.62999999995</v>
      </c>
      <c r="I22" s="95">
        <f>'Costs"0"'!H45</f>
        <v>295644.63</v>
      </c>
      <c r="J22" s="95">
        <f>'Costs"0"'!I45</f>
        <v>295644.63</v>
      </c>
      <c r="K22" s="95">
        <f>'Costs"0"'!J45</f>
        <v>295644.63</v>
      </c>
      <c r="L22" s="95">
        <f>'Costs"0"'!K45</f>
        <v>295644.63</v>
      </c>
      <c r="M22" s="95">
        <f>'Costs"0"'!L45</f>
        <v>295644.63</v>
      </c>
      <c r="N22" s="95">
        <f>'Costs"0"'!M45</f>
        <v>295644.63</v>
      </c>
      <c r="O22" s="95">
        <f>'Costs"0"'!N45</f>
        <v>295644.63</v>
      </c>
      <c r="P22" s="95">
        <f>'Costs"0"'!O45</f>
        <v>295644.63</v>
      </c>
      <c r="Q22" s="95">
        <f>'Costs"0"'!P45</f>
        <v>295644.63</v>
      </c>
      <c r="R22" s="95">
        <f>'Costs"0"'!Q45</f>
        <v>295644.63</v>
      </c>
      <c r="S22" s="95">
        <f>'Costs"0"'!R45</f>
        <v>295644.63</v>
      </c>
      <c r="T22" s="95">
        <f>'Costs"0"'!S45</f>
        <v>295644.63</v>
      </c>
      <c r="U22" s="95">
        <f>'Costs"0"'!T45</f>
        <v>295644.63</v>
      </c>
      <c r="V22" s="95">
        <f>'Costs"0"'!U45</f>
        <v>295644.63</v>
      </c>
      <c r="W22" s="95">
        <f>'Costs"0"'!V45</f>
        <v>295644.63</v>
      </c>
      <c r="X22" s="95">
        <f>'Costs"0"'!W45</f>
        <v>295644.63</v>
      </c>
      <c r="Y22" s="95">
        <f>'Costs"0"'!X45</f>
        <v>295644.63</v>
      </c>
      <c r="Z22" s="95">
        <f>'Costs"0"'!Y45</f>
        <v>295644.63</v>
      </c>
      <c r="AA22" s="95">
        <f>'Costs"0"'!Z45</f>
        <v>295644.63</v>
      </c>
      <c r="AB22" s="95">
        <f>'Costs"0"'!AA45</f>
        <v>295644.63</v>
      </c>
      <c r="AC22" s="95">
        <f>'Costs"0"'!AB45</f>
        <v>295644.63</v>
      </c>
    </row>
    <row r="23" spans="2:29" ht="13.5" customHeight="1">
      <c r="B23" s="93" t="s">
        <v>150</v>
      </c>
      <c r="C23" s="94">
        <f>PL_data!E33</f>
        <v>6129480.5199999996</v>
      </c>
      <c r="D23" s="94">
        <f>PL_data!F33</f>
        <v>3137294.2</v>
      </c>
      <c r="E23" s="94">
        <f>PL_data!G33</f>
        <v>3230372.16</v>
      </c>
      <c r="F23" s="94">
        <f>PL_data!H33</f>
        <v>3423404.12</v>
      </c>
      <c r="G23" s="94">
        <f>PL_data!I33</f>
        <v>3970695.57</v>
      </c>
      <c r="H23" s="94">
        <f>PL_data!J33</f>
        <v>4445128.2300000004</v>
      </c>
      <c r="I23" s="712">
        <f>'Costs"0"'!H55+'Costs"0"'!H56</f>
        <v>4846695.1041666688</v>
      </c>
      <c r="J23" s="712">
        <f>'Costs"0"'!I55+'Costs"0"'!I56</f>
        <v>6156315.0388158597</v>
      </c>
      <c r="K23" s="712">
        <f>'Costs"0"'!J55+'Costs"0"'!J56</f>
        <v>8534533.6094973274</v>
      </c>
      <c r="L23" s="712">
        <f>'Costs"0"'!K55+'Costs"0"'!K56</f>
        <v>10914924.959136931</v>
      </c>
      <c r="M23" s="712">
        <f>'Costs"0"'!L55+'Costs"0"'!L56</f>
        <v>13297950.826180108</v>
      </c>
      <c r="N23" s="712">
        <f>'Costs"0"'!M55+'Costs"0"'!M56</f>
        <v>15692540.956811899</v>
      </c>
      <c r="O23" s="712">
        <f>'Costs"0"'!N55+'Costs"0"'!N56</f>
        <v>18013735.410146296</v>
      </c>
      <c r="P23" s="712">
        <f>'Costs"0"'!O55+'Costs"0"'!O56</f>
        <v>20273011.916609157</v>
      </c>
      <c r="Q23" s="712">
        <f>'Costs"0"'!P55+'Costs"0"'!P56</f>
        <v>20633119.833471134</v>
      </c>
      <c r="R23" s="712">
        <f>'Costs"0"'!Q55+'Costs"0"'!Q56</f>
        <v>19199311.310270887</v>
      </c>
      <c r="S23" s="712">
        <f>'Costs"0"'!R55+'Costs"0"'!R56</f>
        <v>19765803.344187789</v>
      </c>
      <c r="T23" s="712">
        <f>'Costs"0"'!S55+'Costs"0"'!S56</f>
        <v>20378220.072313197</v>
      </c>
      <c r="U23" s="712">
        <f>'Costs"0"'!T55+'Costs"0"'!T56</f>
        <v>21030651.4840413</v>
      </c>
      <c r="V23" s="712">
        <f>'Costs"0"'!U55+'Costs"0"'!U56</f>
        <v>21789429.585473225</v>
      </c>
      <c r="W23" s="712">
        <f>'Costs"0"'!V55+'Costs"0"'!V56</f>
        <v>22646723.12273242</v>
      </c>
      <c r="X23" s="712">
        <f>'Costs"0"'!W55+'Costs"0"'!W56</f>
        <v>23521162.530736797</v>
      </c>
      <c r="Y23" s="712">
        <f>'Costs"0"'!X55+'Costs"0"'!X56</f>
        <v>23789106.786901273</v>
      </c>
      <c r="Z23" s="712">
        <f>'Costs"0"'!Y55+'Costs"0"'!Y56</f>
        <v>23769644.326989017</v>
      </c>
      <c r="AA23" s="712">
        <f>'Costs"0"'!Z55+'Costs"0"'!Z56</f>
        <v>24697606.422278523</v>
      </c>
      <c r="AB23" s="712">
        <f>'Costs"0"'!AA55+'Costs"0"'!AA56</f>
        <v>25644127.759473823</v>
      </c>
      <c r="AC23" s="712">
        <f>'Costs"0"'!AB55+'Costs"0"'!AB56</f>
        <v>26609579.523413032</v>
      </c>
    </row>
    <row r="24" spans="2:29" ht="13.5" customHeight="1">
      <c r="B24" s="93" t="s">
        <v>151</v>
      </c>
      <c r="C24" s="96">
        <f t="shared" ref="C24" si="40">SUM(C25:C26)</f>
        <v>194833.33</v>
      </c>
      <c r="D24" s="96">
        <f t="shared" ref="D24:G24" si="41">SUM(D25:D26)</f>
        <v>2993.8</v>
      </c>
      <c r="E24" s="96">
        <f t="shared" si="41"/>
        <v>0</v>
      </c>
      <c r="F24" s="96">
        <f t="shared" si="41"/>
        <v>289400</v>
      </c>
      <c r="G24" s="151">
        <f t="shared" si="41"/>
        <v>4621.63</v>
      </c>
      <c r="H24" s="94">
        <f t="shared" ref="H24" si="42">SUM(H25:H26)</f>
        <v>0</v>
      </c>
      <c r="I24" s="95">
        <f t="shared" ref="I24:M24" si="43">SUM(I25:I26)</f>
        <v>0</v>
      </c>
      <c r="J24" s="95">
        <f t="shared" si="43"/>
        <v>0</v>
      </c>
      <c r="K24" s="95">
        <f t="shared" si="43"/>
        <v>0</v>
      </c>
      <c r="L24" s="95">
        <f t="shared" si="43"/>
        <v>0</v>
      </c>
      <c r="M24" s="95">
        <f t="shared" si="43"/>
        <v>0</v>
      </c>
      <c r="N24" s="95">
        <f t="shared" ref="N24:R24" si="44">SUM(N25:N26)</f>
        <v>0</v>
      </c>
      <c r="O24" s="95">
        <f t="shared" si="44"/>
        <v>0</v>
      </c>
      <c r="P24" s="95">
        <f t="shared" si="44"/>
        <v>0</v>
      </c>
      <c r="Q24" s="95">
        <f t="shared" si="44"/>
        <v>0</v>
      </c>
      <c r="R24" s="95">
        <f t="shared" si="44"/>
        <v>0</v>
      </c>
      <c r="S24" s="95">
        <f t="shared" ref="S24:V24" si="45">SUM(S25:S26)</f>
        <v>0</v>
      </c>
      <c r="T24" s="95">
        <f t="shared" si="45"/>
        <v>0</v>
      </c>
      <c r="U24" s="95">
        <f t="shared" si="45"/>
        <v>0</v>
      </c>
      <c r="V24" s="95">
        <f t="shared" si="45"/>
        <v>0</v>
      </c>
      <c r="W24" s="95">
        <f t="shared" ref="W24" si="46">SUM(W25:W26)</f>
        <v>0</v>
      </c>
      <c r="X24" s="95">
        <f t="shared" ref="X24:AC24" si="47">SUM(X25:X26)</f>
        <v>0</v>
      </c>
      <c r="Y24" s="95">
        <f t="shared" si="47"/>
        <v>0</v>
      </c>
      <c r="Z24" s="95">
        <f t="shared" si="47"/>
        <v>0</v>
      </c>
      <c r="AA24" s="95">
        <f t="shared" si="47"/>
        <v>0</v>
      </c>
      <c r="AB24" s="95">
        <f t="shared" si="47"/>
        <v>0</v>
      </c>
      <c r="AC24" s="95">
        <f t="shared" si="47"/>
        <v>0</v>
      </c>
    </row>
    <row r="25" spans="2:29" ht="13.5" customHeight="1">
      <c r="B25" s="97" t="s">
        <v>152</v>
      </c>
      <c r="C25" s="91">
        <f>PL_data!E88+PL_data!E89</f>
        <v>194833.33</v>
      </c>
      <c r="D25" s="91">
        <f>PL_data!F88+PL_data!F89</f>
        <v>2993.8</v>
      </c>
      <c r="E25" s="91">
        <f>PL_data!G88+PL_data!G89</f>
        <v>0</v>
      </c>
      <c r="F25" s="91">
        <f>PL_data!H88+PL_data!H89</f>
        <v>289400</v>
      </c>
      <c r="G25" s="91">
        <f>PL_data!I88+PL_data!I89</f>
        <v>4621.63</v>
      </c>
      <c r="H25" s="91">
        <f>PL_data!J88+PL_data!J89</f>
        <v>0</v>
      </c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2:29" ht="13.5" customHeight="1">
      <c r="B26" s="97" t="s">
        <v>153</v>
      </c>
      <c r="C26" s="91"/>
      <c r="D26" s="91"/>
      <c r="E26" s="91"/>
      <c r="F26" s="91"/>
      <c r="G26" s="91"/>
      <c r="H26" s="91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</row>
    <row r="27" spans="2:29" ht="13.5" customHeight="1">
      <c r="B27" s="93" t="s">
        <v>154</v>
      </c>
      <c r="C27" s="96">
        <f t="shared" ref="C27" si="48">SUM(C28:C29)</f>
        <v>0</v>
      </c>
      <c r="D27" s="96">
        <f t="shared" ref="D27:G27" si="49">SUM(D28:D29)</f>
        <v>0</v>
      </c>
      <c r="E27" s="96">
        <f t="shared" si="49"/>
        <v>0</v>
      </c>
      <c r="F27" s="96">
        <f t="shared" si="49"/>
        <v>0</v>
      </c>
      <c r="G27" s="151">
        <f t="shared" si="49"/>
        <v>0</v>
      </c>
      <c r="H27" s="94">
        <f t="shared" ref="H27" si="50">SUM(H28:H29)</f>
        <v>0</v>
      </c>
      <c r="I27" s="95">
        <f t="shared" ref="I27:M27" si="51">SUM(I28:I29)</f>
        <v>0</v>
      </c>
      <c r="J27" s="95">
        <f t="shared" si="51"/>
        <v>0</v>
      </c>
      <c r="K27" s="95">
        <f t="shared" si="51"/>
        <v>0</v>
      </c>
      <c r="L27" s="95">
        <f t="shared" si="51"/>
        <v>0</v>
      </c>
      <c r="M27" s="95">
        <f t="shared" si="51"/>
        <v>0</v>
      </c>
      <c r="N27" s="95">
        <f t="shared" ref="N27:R27" si="52">SUM(N28:N29)</f>
        <v>0</v>
      </c>
      <c r="O27" s="95">
        <f t="shared" si="52"/>
        <v>0</v>
      </c>
      <c r="P27" s="95">
        <f t="shared" si="52"/>
        <v>0</v>
      </c>
      <c r="Q27" s="95">
        <f t="shared" si="52"/>
        <v>0</v>
      </c>
      <c r="R27" s="95">
        <f t="shared" si="52"/>
        <v>0</v>
      </c>
      <c r="S27" s="95">
        <f t="shared" ref="S27:V27" si="53">SUM(S28:S29)</f>
        <v>0</v>
      </c>
      <c r="T27" s="95">
        <f t="shared" si="53"/>
        <v>0</v>
      </c>
      <c r="U27" s="95">
        <f t="shared" si="53"/>
        <v>0</v>
      </c>
      <c r="V27" s="95">
        <f t="shared" si="53"/>
        <v>0</v>
      </c>
      <c r="W27" s="95">
        <f t="shared" ref="W27" si="54">SUM(W28:W29)</f>
        <v>0</v>
      </c>
      <c r="X27" s="95">
        <f t="shared" ref="X27:AC27" si="55">SUM(X28:X29)</f>
        <v>0</v>
      </c>
      <c r="Y27" s="95">
        <f t="shared" si="55"/>
        <v>0</v>
      </c>
      <c r="Z27" s="95">
        <f t="shared" si="55"/>
        <v>0</v>
      </c>
      <c r="AA27" s="95">
        <f t="shared" si="55"/>
        <v>0</v>
      </c>
      <c r="AB27" s="95">
        <f t="shared" si="55"/>
        <v>0</v>
      </c>
      <c r="AC27" s="95">
        <f t="shared" si="55"/>
        <v>0</v>
      </c>
    </row>
    <row r="28" spans="2:29" ht="13.5" customHeight="1">
      <c r="B28" s="97" t="s">
        <v>155</v>
      </c>
      <c r="C28" s="98"/>
      <c r="D28" s="98"/>
      <c r="E28" s="98"/>
      <c r="F28" s="98"/>
      <c r="G28" s="152"/>
      <c r="H28" s="91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</row>
    <row r="29" spans="2:29" ht="13.5" customHeight="1">
      <c r="B29" s="97" t="s">
        <v>156</v>
      </c>
      <c r="C29" s="98"/>
      <c r="D29" s="98"/>
      <c r="E29" s="98"/>
      <c r="F29" s="98"/>
      <c r="G29" s="152"/>
      <c r="H29" s="91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</row>
    <row r="30" spans="2:29" ht="13.5" customHeight="1">
      <c r="B30" s="93" t="s">
        <v>157</v>
      </c>
      <c r="C30" s="96">
        <f>C32-C31</f>
        <v>-810267.88000000035</v>
      </c>
      <c r="D30" s="96">
        <f t="shared" ref="D30:G30" si="56">D32-D31</f>
        <v>-781846.05000000028</v>
      </c>
      <c r="E30" s="96">
        <f t="shared" si="56"/>
        <v>1538827.54</v>
      </c>
      <c r="F30" s="96">
        <f t="shared" si="56"/>
        <v>602980.93000000017</v>
      </c>
      <c r="G30" s="151">
        <f t="shared" si="56"/>
        <v>16976668.879999999</v>
      </c>
      <c r="H30" s="94">
        <f t="shared" ref="H30:R30" si="57">H32-H31</f>
        <v>10256009.540000001</v>
      </c>
      <c r="I30" s="95">
        <f t="shared" si="57"/>
        <v>3445871.5727297007</v>
      </c>
      <c r="J30" s="95">
        <f t="shared" si="57"/>
        <v>3465480.7768954625</v>
      </c>
      <c r="K30" s="95">
        <f t="shared" si="57"/>
        <v>3488692.1913098115</v>
      </c>
      <c r="L30" s="95">
        <f t="shared" si="57"/>
        <v>3515193.2863948522</v>
      </c>
      <c r="M30" s="95">
        <f t="shared" si="57"/>
        <v>3543403.3448564783</v>
      </c>
      <c r="N30" s="95">
        <f t="shared" si="57"/>
        <v>3561334.9191280622</v>
      </c>
      <c r="O30" s="95">
        <f t="shared" si="57"/>
        <v>3581166.3110642191</v>
      </c>
      <c r="P30" s="95">
        <f t="shared" si="57"/>
        <v>3605624.8298002407</v>
      </c>
      <c r="Q30" s="95">
        <f t="shared" si="57"/>
        <v>3634743.2545040119</v>
      </c>
      <c r="R30" s="95">
        <f t="shared" si="57"/>
        <v>3664338.2310082912</v>
      </c>
      <c r="S30" s="95">
        <f t="shared" ref="S30:V30" si="58">S32-S31</f>
        <v>3694655.3460554462</v>
      </c>
      <c r="T30" s="95">
        <f t="shared" si="58"/>
        <v>3721642.5187545884</v>
      </c>
      <c r="U30" s="95">
        <f t="shared" si="58"/>
        <v>3749931.3448086102</v>
      </c>
      <c r="V30" s="95">
        <f t="shared" si="58"/>
        <v>3778690.3334137127</v>
      </c>
      <c r="W30" s="95">
        <f t="shared" ref="W30" si="59">W32-W31</f>
        <v>3808616.9747697115</v>
      </c>
      <c r="X30" s="95">
        <f t="shared" ref="X30:AC30" si="60">X32-X31</f>
        <v>3839203.5006593466</v>
      </c>
      <c r="Y30" s="95">
        <f t="shared" si="60"/>
        <v>3870464.6624794565</v>
      </c>
      <c r="Z30" s="95">
        <f t="shared" si="60"/>
        <v>3902415.5454974696</v>
      </c>
      <c r="AA30" s="95">
        <f t="shared" si="60"/>
        <v>3935071.5764998961</v>
      </c>
      <c r="AB30" s="95">
        <f t="shared" si="60"/>
        <v>3968448.5316180252</v>
      </c>
      <c r="AC30" s="95">
        <f t="shared" si="60"/>
        <v>4002562.5443350673</v>
      </c>
    </row>
    <row r="31" spans="2:29" ht="13.5" customHeight="1">
      <c r="B31" s="97" t="s">
        <v>1041</v>
      </c>
      <c r="C31" s="91">
        <f>PL_data!E95</f>
        <v>4368225.57</v>
      </c>
      <c r="D31" s="91">
        <f>PL_data!F95</f>
        <v>3135530.72</v>
      </c>
      <c r="E31" s="91">
        <f>PL_data!G95</f>
        <v>1304184.8500000001</v>
      </c>
      <c r="F31" s="91">
        <f>PL_data!H95</f>
        <v>2788397.42</v>
      </c>
      <c r="G31" s="91">
        <f>PL_data!I95</f>
        <v>842174.89999999991</v>
      </c>
      <c r="H31" s="91">
        <f>PL_data!J95</f>
        <v>1248333.77</v>
      </c>
      <c r="I31" s="92">
        <f>'Revenues"0"'!H30</f>
        <v>0</v>
      </c>
      <c r="J31" s="92">
        <f>'Revenues"0"'!I30</f>
        <v>0</v>
      </c>
      <c r="K31" s="92">
        <f>'Revenues"0"'!J30</f>
        <v>0</v>
      </c>
      <c r="L31" s="92">
        <f>'Revenues"0"'!K30</f>
        <v>0</v>
      </c>
      <c r="M31" s="92">
        <f>'Revenues"0"'!L30</f>
        <v>0</v>
      </c>
      <c r="N31" s="92">
        <f>'Revenues"0"'!M30</f>
        <v>0</v>
      </c>
      <c r="O31" s="92">
        <f>'Revenues"0"'!N30</f>
        <v>0</v>
      </c>
      <c r="P31" s="92">
        <f>'Revenues"0"'!O30</f>
        <v>0</v>
      </c>
      <c r="Q31" s="92">
        <f>'Revenues"0"'!P30</f>
        <v>0</v>
      </c>
      <c r="R31" s="92">
        <f>'Revenues"0"'!Q30</f>
        <v>0</v>
      </c>
      <c r="S31" s="92">
        <f>'Revenues"0"'!R30</f>
        <v>0</v>
      </c>
      <c r="T31" s="92">
        <f>'Revenues"0"'!S30</f>
        <v>0</v>
      </c>
      <c r="U31" s="92">
        <f>'Revenues"0"'!T30</f>
        <v>0</v>
      </c>
      <c r="V31" s="92">
        <f>'Revenues"0"'!U30</f>
        <v>0</v>
      </c>
      <c r="W31" s="92">
        <f>'Revenues"0"'!V30</f>
        <v>0</v>
      </c>
      <c r="X31" s="92">
        <f>'Revenues"0"'!W30</f>
        <v>0</v>
      </c>
      <c r="Y31" s="92">
        <f>'Revenues"0"'!X30</f>
        <v>0</v>
      </c>
      <c r="Z31" s="92">
        <f>'Revenues"0"'!Y30</f>
        <v>0</v>
      </c>
      <c r="AA31" s="92">
        <f>'Revenues"0"'!Z30</f>
        <v>0</v>
      </c>
      <c r="AB31" s="92">
        <f>'Revenues"0"'!AA30</f>
        <v>0</v>
      </c>
      <c r="AC31" s="92">
        <f>'Revenues"0"'!AB30</f>
        <v>0</v>
      </c>
    </row>
    <row r="32" spans="2:29" ht="13.5" customHeight="1">
      <c r="B32" s="97" t="s">
        <v>1039</v>
      </c>
      <c r="C32" s="91">
        <f>PL_data!E34</f>
        <v>3557957.69</v>
      </c>
      <c r="D32" s="91">
        <f>PL_data!F34</f>
        <v>2353684.67</v>
      </c>
      <c r="E32" s="91">
        <f>PL_data!G34</f>
        <v>2843012.39</v>
      </c>
      <c r="F32" s="91">
        <f>PL_data!H34</f>
        <v>3391378.35</v>
      </c>
      <c r="G32" s="91">
        <f>PL_data!I34</f>
        <v>17818843.779999997</v>
      </c>
      <c r="H32" s="91">
        <f>PL_data!J34</f>
        <v>11504343.310000001</v>
      </c>
      <c r="I32" s="92">
        <f>'Costs"0"'!H44-'Costs"0"'!H47-'Costs"0"'!H55-'Costs"0"'!H56</f>
        <v>3445871.5727297007</v>
      </c>
      <c r="J32" s="92">
        <f>'Costs"0"'!I44-'Costs"0"'!I47-'Costs"0"'!I55-'Costs"0"'!I56</f>
        <v>3465480.7768954625</v>
      </c>
      <c r="K32" s="92">
        <f>'Costs"0"'!J44-'Costs"0"'!J47-'Costs"0"'!J55-'Costs"0"'!J56</f>
        <v>3488692.1913098115</v>
      </c>
      <c r="L32" s="92">
        <f>'Costs"0"'!K44-'Costs"0"'!K47-'Costs"0"'!K55-'Costs"0"'!K56</f>
        <v>3515193.2863948522</v>
      </c>
      <c r="M32" s="92">
        <f>'Costs"0"'!L44-'Costs"0"'!L47-'Costs"0"'!L55-'Costs"0"'!L56</f>
        <v>3543403.3448564783</v>
      </c>
      <c r="N32" s="92">
        <f>'Costs"0"'!M44-'Costs"0"'!M47-'Costs"0"'!M55-'Costs"0"'!M56</f>
        <v>3561334.9191280622</v>
      </c>
      <c r="O32" s="92">
        <f>'Costs"0"'!N44-'Costs"0"'!N47-'Costs"0"'!N55-'Costs"0"'!N56</f>
        <v>3581166.3110642191</v>
      </c>
      <c r="P32" s="92">
        <f>'Costs"0"'!O44-'Costs"0"'!O47-'Costs"0"'!O55-'Costs"0"'!O56</f>
        <v>3605624.8298002407</v>
      </c>
      <c r="Q32" s="92">
        <f>'Costs"0"'!P44-'Costs"0"'!P47-'Costs"0"'!P55-'Costs"0"'!P56</f>
        <v>3634743.2545040119</v>
      </c>
      <c r="R32" s="92">
        <f>'Costs"0"'!Q44-'Costs"0"'!Q47-'Costs"0"'!Q55-'Costs"0"'!Q56</f>
        <v>3664338.2310082912</v>
      </c>
      <c r="S32" s="92">
        <f>'Costs"0"'!R44-'Costs"0"'!R47-'Costs"0"'!R55-'Costs"0"'!R56</f>
        <v>3694655.3460554462</v>
      </c>
      <c r="T32" s="92">
        <f>'Costs"0"'!S44-'Costs"0"'!S47-'Costs"0"'!S55-'Costs"0"'!S56</f>
        <v>3721642.5187545884</v>
      </c>
      <c r="U32" s="92">
        <f>'Costs"0"'!T44-'Costs"0"'!T47-'Costs"0"'!T55-'Costs"0"'!T56</f>
        <v>3749931.3448086102</v>
      </c>
      <c r="V32" s="92">
        <f>'Costs"0"'!U44-'Costs"0"'!U47-'Costs"0"'!U55-'Costs"0"'!U56</f>
        <v>3778690.3334137127</v>
      </c>
      <c r="W32" s="92">
        <f>'Costs"0"'!V44-'Costs"0"'!V47-'Costs"0"'!V55-'Costs"0"'!V56</f>
        <v>3808616.9747697115</v>
      </c>
      <c r="X32" s="92">
        <f>'Costs"0"'!W44-'Costs"0"'!W47-'Costs"0"'!W55-'Costs"0"'!W56</f>
        <v>3839203.5006593466</v>
      </c>
      <c r="Y32" s="92">
        <f>'Costs"0"'!X44-'Costs"0"'!X47-'Costs"0"'!X55-'Costs"0"'!X56</f>
        <v>3870464.6624794565</v>
      </c>
      <c r="Z32" s="92">
        <f>'Costs"0"'!Y44-'Costs"0"'!Y47-'Costs"0"'!Y55-'Costs"0"'!Y56</f>
        <v>3902415.5454974696</v>
      </c>
      <c r="AA32" s="92">
        <f>'Costs"0"'!Z44-'Costs"0"'!Z47-'Costs"0"'!Z55-'Costs"0"'!Z56</f>
        <v>3935071.5764998961</v>
      </c>
      <c r="AB32" s="92">
        <f>'Costs"0"'!AA44-'Costs"0"'!AA47-'Costs"0"'!AA55-'Costs"0"'!AA56</f>
        <v>3968448.5316180252</v>
      </c>
      <c r="AC32" s="92">
        <f>'Costs"0"'!AB44-'Costs"0"'!AB47-'Costs"0"'!AB55-'Costs"0"'!AB56</f>
        <v>4002562.5443350673</v>
      </c>
    </row>
    <row r="33" spans="2:29" ht="13.5" customHeight="1">
      <c r="B33" s="93" t="s">
        <v>158</v>
      </c>
      <c r="C33" s="96">
        <f>SUM(C34:C35)</f>
        <v>3008393.21</v>
      </c>
      <c r="D33" s="96">
        <f t="shared" ref="D33:G33" si="61">SUM(D34:D35)</f>
        <v>4325937.68</v>
      </c>
      <c r="E33" s="96">
        <f t="shared" si="61"/>
        <v>28055791.98</v>
      </c>
      <c r="F33" s="96">
        <f t="shared" si="61"/>
        <v>28562724.199999999</v>
      </c>
      <c r="G33" s="151">
        <f t="shared" si="61"/>
        <v>38569187.309999995</v>
      </c>
      <c r="H33" s="493">
        <f t="shared" ref="H33:R33" si="62">SUM(H34:H35)</f>
        <v>48091411.140000001</v>
      </c>
      <c r="I33" s="95">
        <f t="shared" si="62"/>
        <v>2818020.645</v>
      </c>
      <c r="J33" s="95">
        <f t="shared" si="62"/>
        <v>2818020.645</v>
      </c>
      <c r="K33" s="95">
        <f t="shared" si="62"/>
        <v>2818020.645</v>
      </c>
      <c r="L33" s="95">
        <f t="shared" si="62"/>
        <v>2818020.645</v>
      </c>
      <c r="M33" s="95">
        <f t="shared" si="62"/>
        <v>2818020.645</v>
      </c>
      <c r="N33" s="95">
        <f t="shared" si="62"/>
        <v>2818020.645</v>
      </c>
      <c r="O33" s="95">
        <f t="shared" si="62"/>
        <v>2818020.645</v>
      </c>
      <c r="P33" s="95">
        <f t="shared" si="62"/>
        <v>2818020.645</v>
      </c>
      <c r="Q33" s="95">
        <f t="shared" si="62"/>
        <v>2818020.645</v>
      </c>
      <c r="R33" s="95">
        <f t="shared" si="62"/>
        <v>2818020.645</v>
      </c>
      <c r="S33" s="95">
        <f t="shared" ref="S33:V33" si="63">SUM(S34:S35)</f>
        <v>2818020.645</v>
      </c>
      <c r="T33" s="95">
        <f t="shared" si="63"/>
        <v>2818020.645</v>
      </c>
      <c r="U33" s="95">
        <f t="shared" si="63"/>
        <v>2818020.645</v>
      </c>
      <c r="V33" s="95">
        <f t="shared" si="63"/>
        <v>2818020.645</v>
      </c>
      <c r="W33" s="95">
        <f t="shared" ref="W33" si="64">SUM(W34:W35)</f>
        <v>2818020.645</v>
      </c>
      <c r="X33" s="95">
        <f t="shared" ref="X33:AC33" si="65">SUM(X34:X35)</f>
        <v>2818020.645</v>
      </c>
      <c r="Y33" s="95">
        <f t="shared" si="65"/>
        <v>2818020.645</v>
      </c>
      <c r="Z33" s="95">
        <f t="shared" si="65"/>
        <v>2818020.645</v>
      </c>
      <c r="AA33" s="95">
        <f t="shared" si="65"/>
        <v>2818020.645</v>
      </c>
      <c r="AB33" s="95">
        <f t="shared" si="65"/>
        <v>2818020.645</v>
      </c>
      <c r="AC33" s="95">
        <f t="shared" si="65"/>
        <v>2818020.645</v>
      </c>
    </row>
    <row r="34" spans="2:29" ht="13.5" customHeight="1">
      <c r="B34" s="97" t="s">
        <v>1038</v>
      </c>
      <c r="C34" s="91">
        <f>SUM(PL_data!E90:E93)</f>
        <v>137666.56</v>
      </c>
      <c r="D34" s="91">
        <f>SUM(PL_data!F90:F93)</f>
        <v>2315161.5999999996</v>
      </c>
      <c r="E34" s="91">
        <f>SUM(PL_data!G90:G93)</f>
        <v>26047703.530000001</v>
      </c>
      <c r="F34" s="91">
        <f>SUM(PL_data!H90:H93)</f>
        <v>25157453.629999999</v>
      </c>
      <c r="G34" s="91">
        <f>SUM(PL_data!I90:I93)</f>
        <v>30983199.079999998</v>
      </c>
      <c r="H34" s="91">
        <f>SUM(PL_data!J90:J93)</f>
        <v>2113476.08</v>
      </c>
      <c r="I34" s="92">
        <f>'Revenues"0"'!H31</f>
        <v>2818020.645</v>
      </c>
      <c r="J34" s="92">
        <f>'Revenues"0"'!I31</f>
        <v>2818020.645</v>
      </c>
      <c r="K34" s="92">
        <f>'Revenues"0"'!J31</f>
        <v>2818020.645</v>
      </c>
      <c r="L34" s="92">
        <f>'Revenues"0"'!K31</f>
        <v>2818020.645</v>
      </c>
      <c r="M34" s="92">
        <f>'Revenues"0"'!L31</f>
        <v>2818020.645</v>
      </c>
      <c r="N34" s="92">
        <f>'Revenues"0"'!M31</f>
        <v>2818020.645</v>
      </c>
      <c r="O34" s="92">
        <f>'Revenues"0"'!N31</f>
        <v>2818020.645</v>
      </c>
      <c r="P34" s="92">
        <f>'Revenues"0"'!O31</f>
        <v>2818020.645</v>
      </c>
      <c r="Q34" s="92">
        <f>'Revenues"0"'!P31</f>
        <v>2818020.645</v>
      </c>
      <c r="R34" s="92">
        <f>'Revenues"0"'!Q31</f>
        <v>2818020.645</v>
      </c>
      <c r="S34" s="92">
        <f>'Revenues"0"'!R31</f>
        <v>2818020.645</v>
      </c>
      <c r="T34" s="92">
        <f>'Revenues"0"'!S31</f>
        <v>2818020.645</v>
      </c>
      <c r="U34" s="92">
        <f>'Revenues"0"'!T31</f>
        <v>2818020.645</v>
      </c>
      <c r="V34" s="92">
        <f>'Revenues"0"'!U31</f>
        <v>2818020.645</v>
      </c>
      <c r="W34" s="92">
        <f>'Revenues"0"'!V31</f>
        <v>2818020.645</v>
      </c>
      <c r="X34" s="92">
        <f>'Revenues"0"'!W31</f>
        <v>2818020.645</v>
      </c>
      <c r="Y34" s="92">
        <f>'Revenues"0"'!X31</f>
        <v>2818020.645</v>
      </c>
      <c r="Z34" s="92">
        <f>'Revenues"0"'!Y31</f>
        <v>2818020.645</v>
      </c>
      <c r="AA34" s="92">
        <f>'Revenues"0"'!Z31</f>
        <v>2818020.645</v>
      </c>
      <c r="AB34" s="92">
        <f>'Revenues"0"'!AA31</f>
        <v>2818020.645</v>
      </c>
      <c r="AC34" s="92">
        <f>'Revenues"0"'!AB31</f>
        <v>2818020.645</v>
      </c>
    </row>
    <row r="35" spans="2:29" ht="13.5" customHeight="1">
      <c r="B35" s="97" t="s">
        <v>1040</v>
      </c>
      <c r="C35" s="91">
        <f>PL_data!E118-PL_data!E57</f>
        <v>2870726.65</v>
      </c>
      <c r="D35" s="91">
        <f>PL_data!F118-PL_data!F57</f>
        <v>2010776.08</v>
      </c>
      <c r="E35" s="91">
        <f>PL_data!G118-PL_data!G57</f>
        <v>2008088.45</v>
      </c>
      <c r="F35" s="91">
        <f>PL_data!H118-PL_data!H57</f>
        <v>3405270.57</v>
      </c>
      <c r="G35" s="91">
        <f>PL_data!I118-PL_data!I57</f>
        <v>7585988.2299999995</v>
      </c>
      <c r="H35" s="91">
        <f>PL_data!J118-PL_data!J57</f>
        <v>45977935.060000002</v>
      </c>
      <c r="I35" s="92">
        <f>'Revenues"0"'!H28-'Revenues"0"'!H35-'Revenues"0"'!H31-'Revenues"0"'!H30</f>
        <v>0</v>
      </c>
      <c r="J35" s="92">
        <f>'Revenues"0"'!I28-'Revenues"0"'!I35-'Revenues"0"'!I31-'Revenues"0"'!I30</f>
        <v>0</v>
      </c>
      <c r="K35" s="92">
        <f>'Revenues"0"'!J28-'Revenues"0"'!J35-'Revenues"0"'!J31-'Revenues"0"'!J30</f>
        <v>0</v>
      </c>
      <c r="L35" s="92">
        <f>'Revenues"0"'!K28-'Revenues"0"'!K35-'Revenues"0"'!K31-'Revenues"0"'!K30</f>
        <v>0</v>
      </c>
      <c r="M35" s="92">
        <f>'Revenues"0"'!L28-'Revenues"0"'!L35-'Revenues"0"'!L31-'Revenues"0"'!L30</f>
        <v>0</v>
      </c>
      <c r="N35" s="92">
        <f>'Revenues"0"'!M28-'Revenues"0"'!M35-'Revenues"0"'!M31-'Revenues"0"'!M30</f>
        <v>0</v>
      </c>
      <c r="O35" s="92">
        <f>'Revenues"0"'!N28-'Revenues"0"'!N35-'Revenues"0"'!N31-'Revenues"0"'!N30</f>
        <v>0</v>
      </c>
      <c r="P35" s="92">
        <f>'Revenues"0"'!O28-'Revenues"0"'!O35-'Revenues"0"'!O31-'Revenues"0"'!O30</f>
        <v>0</v>
      </c>
      <c r="Q35" s="92">
        <f>'Revenues"0"'!P28-'Revenues"0"'!P35-'Revenues"0"'!P31-'Revenues"0"'!P30</f>
        <v>0</v>
      </c>
      <c r="R35" s="92">
        <f>'Revenues"0"'!Q28-'Revenues"0"'!Q35-'Revenues"0"'!Q31-'Revenues"0"'!Q30</f>
        <v>0</v>
      </c>
      <c r="S35" s="92">
        <f>'Revenues"0"'!R28-'Revenues"0"'!R35-'Revenues"0"'!R31-'Revenues"0"'!R30</f>
        <v>0</v>
      </c>
      <c r="T35" s="92">
        <f>'Revenues"0"'!S28-'Revenues"0"'!S35-'Revenues"0"'!S31-'Revenues"0"'!S30</f>
        <v>0</v>
      </c>
      <c r="U35" s="92">
        <f>'Revenues"0"'!T28-'Revenues"0"'!T35-'Revenues"0"'!T31-'Revenues"0"'!T30</f>
        <v>0</v>
      </c>
      <c r="V35" s="92">
        <f>'Revenues"0"'!U28-'Revenues"0"'!U35-'Revenues"0"'!U31-'Revenues"0"'!U30</f>
        <v>0</v>
      </c>
      <c r="W35" s="92">
        <f>'Revenues"0"'!V28-'Revenues"0"'!V35-'Revenues"0"'!V31-'Revenues"0"'!V30</f>
        <v>0</v>
      </c>
      <c r="X35" s="92">
        <f>'Revenues"0"'!W28-'Revenues"0"'!W35-'Revenues"0"'!W31-'Revenues"0"'!W30</f>
        <v>0</v>
      </c>
      <c r="Y35" s="92">
        <f>'Revenues"0"'!X28-'Revenues"0"'!X35-'Revenues"0"'!X31-'Revenues"0"'!X30</f>
        <v>0</v>
      </c>
      <c r="Z35" s="92">
        <f>'Revenues"0"'!Y28-'Revenues"0"'!Y35-'Revenues"0"'!Y31-'Revenues"0"'!Y30</f>
        <v>0</v>
      </c>
      <c r="AA35" s="92">
        <f>'Revenues"0"'!Z28-'Revenues"0"'!Z35-'Revenues"0"'!Z31-'Revenues"0"'!Z30</f>
        <v>0</v>
      </c>
      <c r="AB35" s="92">
        <f>'Revenues"0"'!AA28-'Revenues"0"'!AA35-'Revenues"0"'!AA31-'Revenues"0"'!AA30</f>
        <v>0</v>
      </c>
      <c r="AC35" s="92">
        <f>'Revenues"0"'!AB28-'Revenues"0"'!AB35-'Revenues"0"'!AB31-'Revenues"0"'!AB30</f>
        <v>0</v>
      </c>
    </row>
    <row r="36" spans="2:29" ht="13.5" customHeight="1">
      <c r="B36" s="93" t="s">
        <v>159</v>
      </c>
      <c r="C36" s="96">
        <f>PL_data!E24</f>
        <v>2250633.2000000002</v>
      </c>
      <c r="D36" s="96">
        <f>PL_data!F24</f>
        <v>1982898.65</v>
      </c>
      <c r="E36" s="96">
        <f>PL_data!G24</f>
        <v>4384639.75</v>
      </c>
      <c r="F36" s="96">
        <f>PL_data!H24</f>
        <v>2903203.29</v>
      </c>
      <c r="G36" s="151">
        <f>PL_data!I24</f>
        <v>11114182.4</v>
      </c>
      <c r="H36" s="94">
        <f>PL_data!J24</f>
        <v>4081613.36</v>
      </c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2:29" ht="13.5" customHeight="1">
      <c r="B37" s="100" t="s">
        <v>160</v>
      </c>
      <c r="C37" s="101">
        <f t="shared" ref="C37" si="66">C16+C24+C33-C17-C22-C23-C27-C30-C36</f>
        <v>-18440561.790000003</v>
      </c>
      <c r="D37" s="101">
        <f t="shared" ref="D37:G37" si="67">D16+D24+D33-D17-D22-D23-D27-D30-D36</f>
        <v>-17252562.090000007</v>
      </c>
      <c r="E37" s="495">
        <f t="shared" si="67"/>
        <v>2491076.5799999973</v>
      </c>
      <c r="F37" s="495">
        <f t="shared" si="67"/>
        <v>-166560.71999998437</v>
      </c>
      <c r="G37" s="496">
        <f t="shared" si="67"/>
        <v>-24996195.160000004</v>
      </c>
      <c r="H37" s="491">
        <f t="shared" ref="H37" si="68">H16+H24+H33-H17-H22-H23-H27-H30-H36</f>
        <v>-19239717.169999998</v>
      </c>
      <c r="I37" s="102">
        <f t="shared" ref="I37:M37" si="69">I16+I24+I33-I17-I22-I23-I27-I30-I36</f>
        <v>-50537338.758127153</v>
      </c>
      <c r="J37" s="102">
        <f t="shared" si="69"/>
        <v>-52256917.884934381</v>
      </c>
      <c r="K37" s="102">
        <f t="shared" si="69"/>
        <v>-54784341.075660601</v>
      </c>
      <c r="L37" s="102">
        <f t="shared" si="69"/>
        <v>-58134658.942264445</v>
      </c>
      <c r="M37" s="102">
        <f t="shared" si="69"/>
        <v>-61535944.456049509</v>
      </c>
      <c r="N37" s="102">
        <f t="shared" ref="N37:R37" si="70">N16+N24+N33-N17-N22-N23-N27-N30-N36</f>
        <v>-64687771.433578074</v>
      </c>
      <c r="O37" s="102">
        <f t="shared" si="70"/>
        <v>-67775614.693807408</v>
      </c>
      <c r="P37" s="102">
        <f t="shared" si="70"/>
        <v>-70907978.776406348</v>
      </c>
      <c r="Q37" s="102">
        <f t="shared" si="70"/>
        <v>-72280342.857530594</v>
      </c>
      <c r="R37" s="102">
        <f t="shared" si="70"/>
        <v>-71874833.884989768</v>
      </c>
      <c r="S37" s="102">
        <f t="shared" ref="S37:V37" si="71">S16+S24+S33-S17-S22-S23-S27-S30-S36</f>
        <v>-73494204.978034735</v>
      </c>
      <c r="T37" s="102">
        <f t="shared" si="71"/>
        <v>-73998349.508942634</v>
      </c>
      <c r="U37" s="102">
        <f t="shared" si="71"/>
        <v>-74814345.184722707</v>
      </c>
      <c r="V37" s="102">
        <f t="shared" si="71"/>
        <v>-75738574.290241182</v>
      </c>
      <c r="W37" s="102">
        <f t="shared" ref="W37" si="72">W16+W24+W33-W17-W22-W23-W27-W30-W36</f>
        <v>-76810510.175993681</v>
      </c>
      <c r="X37" s="102">
        <f t="shared" ref="X37:AC37" si="73">X16+X24+X33-X17-X22-X23-X27-X30-X36</f>
        <v>-77904238.22500664</v>
      </c>
      <c r="Y37" s="102">
        <f t="shared" si="73"/>
        <v>-78396221.280297577</v>
      </c>
      <c r="Z37" s="102">
        <f t="shared" si="73"/>
        <v>-78605653.994038135</v>
      </c>
      <c r="AA37" s="102">
        <f t="shared" si="73"/>
        <v>-79767476.258574516</v>
      </c>
      <c r="AB37" s="102">
        <f t="shared" si="73"/>
        <v>-80952933.841439426</v>
      </c>
      <c r="AC37" s="102">
        <f t="shared" si="73"/>
        <v>-82162511.524439022</v>
      </c>
    </row>
    <row r="38" spans="2:29" ht="13.5" customHeight="1">
      <c r="B38" s="97" t="s">
        <v>161</v>
      </c>
      <c r="C38" s="91"/>
      <c r="D38" s="91"/>
      <c r="E38" s="91"/>
      <c r="F38" s="91"/>
      <c r="G38" s="91"/>
      <c r="H38" s="91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</row>
    <row r="39" spans="2:29" ht="13.5" customHeight="1">
      <c r="B39" s="97" t="s">
        <v>162</v>
      </c>
      <c r="C39" s="91"/>
      <c r="D39" s="91"/>
      <c r="E39" s="91"/>
      <c r="F39" s="91"/>
      <c r="G39" s="91"/>
      <c r="H39" s="91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2:29" ht="13.5" customHeight="1">
      <c r="B40" s="97" t="s">
        <v>163</v>
      </c>
      <c r="C40" s="91"/>
      <c r="D40" s="91"/>
      <c r="E40" s="91"/>
      <c r="F40" s="91"/>
      <c r="G40" s="91"/>
      <c r="H40" s="91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2:29" ht="13.5" customHeight="1">
      <c r="B41" s="97" t="s">
        <v>164</v>
      </c>
      <c r="C41" s="91">
        <f>PL_data!E104</f>
        <v>333.11</v>
      </c>
      <c r="D41" s="91">
        <f>PL_data!F104</f>
        <v>361.68</v>
      </c>
      <c r="E41" s="91">
        <f>PL_data!G104</f>
        <v>478.89</v>
      </c>
      <c r="F41" s="91">
        <f>PL_data!H104</f>
        <v>437.84</v>
      </c>
      <c r="G41" s="91">
        <f>PL_data!I104</f>
        <v>730.83999999999992</v>
      </c>
      <c r="H41" s="91">
        <f>PL_data!J104</f>
        <v>1435.4699999999998</v>
      </c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2:29" ht="13.5" customHeight="1">
      <c r="B42" s="97" t="s">
        <v>165</v>
      </c>
      <c r="C42" s="91">
        <f>PL_data!E43</f>
        <v>100498.87</v>
      </c>
      <c r="D42" s="91">
        <f>PL_data!F43</f>
        <v>104119.42</v>
      </c>
      <c r="E42" s="91">
        <f>PL_data!G43</f>
        <v>105916.24</v>
      </c>
      <c r="F42" s="91">
        <f>PL_data!H43</f>
        <v>109929.74</v>
      </c>
      <c r="G42" s="91">
        <f>PL_data!I43</f>
        <v>114814.56</v>
      </c>
      <c r="H42" s="91">
        <f>PL_data!J43</f>
        <v>116020.66</v>
      </c>
      <c r="I42" s="92">
        <f>'Costs"0"'!H47</f>
        <v>117128.3567</v>
      </c>
      <c r="J42" s="92">
        <f>'Costs"0"'!I47</f>
        <v>117128.3567</v>
      </c>
      <c r="K42" s="92">
        <f>'Costs"0"'!J47</f>
        <v>117128.3567</v>
      </c>
      <c r="L42" s="92">
        <f>'Costs"0"'!K47</f>
        <v>117128.3567</v>
      </c>
      <c r="M42" s="92">
        <f>'Costs"0"'!L47</f>
        <v>117128.3567</v>
      </c>
      <c r="N42" s="92">
        <f>'Costs"0"'!M47</f>
        <v>117128.3567</v>
      </c>
      <c r="O42" s="92">
        <f>'Costs"0"'!N47</f>
        <v>117128.3567</v>
      </c>
      <c r="P42" s="92">
        <f>'Costs"0"'!O47</f>
        <v>117128.3567</v>
      </c>
      <c r="Q42" s="92">
        <f>'Costs"0"'!P47</f>
        <v>117128.3567</v>
      </c>
      <c r="R42" s="92">
        <f>'Costs"0"'!Q47</f>
        <v>117128.3567</v>
      </c>
      <c r="S42" s="92">
        <f>'Costs"0"'!R47</f>
        <v>117128.3567</v>
      </c>
      <c r="T42" s="92">
        <f>'Costs"0"'!S47</f>
        <v>117128.3567</v>
      </c>
      <c r="U42" s="92">
        <f>'Costs"0"'!T47</f>
        <v>117128.3567</v>
      </c>
      <c r="V42" s="92">
        <f>'Costs"0"'!U47</f>
        <v>117128.3567</v>
      </c>
      <c r="W42" s="92">
        <f>'Costs"0"'!V47</f>
        <v>117128.3567</v>
      </c>
      <c r="X42" s="92">
        <f>'Costs"0"'!W47</f>
        <v>117128.3567</v>
      </c>
      <c r="Y42" s="92">
        <f>'Costs"0"'!X47</f>
        <v>117128.3567</v>
      </c>
      <c r="Z42" s="92">
        <f>'Costs"0"'!Y47</f>
        <v>117128.3567</v>
      </c>
      <c r="AA42" s="92">
        <f>'Costs"0"'!Z47</f>
        <v>117128.3567</v>
      </c>
      <c r="AB42" s="92">
        <f>'Costs"0"'!AA47</f>
        <v>117128.3567</v>
      </c>
      <c r="AC42" s="92">
        <f>'Costs"0"'!AB47</f>
        <v>117128.3567</v>
      </c>
    </row>
    <row r="43" spans="2:29" ht="13.5" customHeight="1">
      <c r="B43" s="100" t="s">
        <v>166</v>
      </c>
      <c r="C43" s="101">
        <f>SUM(C38,C39,C41)-SUM(,C40,C42)</f>
        <v>-100165.75999999999</v>
      </c>
      <c r="D43" s="101">
        <f t="shared" ref="D43:R43" si="74">SUM(D38,D39,D41)-SUM(,D40,D42)</f>
        <v>-103757.74</v>
      </c>
      <c r="E43" s="495">
        <f t="shared" si="74"/>
        <v>-105437.35</v>
      </c>
      <c r="F43" s="495">
        <f t="shared" si="74"/>
        <v>-109491.90000000001</v>
      </c>
      <c r="G43" s="496">
        <f t="shared" si="74"/>
        <v>-114083.72</v>
      </c>
      <c r="H43" s="491">
        <f t="shared" ref="H43" si="75">SUM(H38,H39,H41)-SUM(,H40,H42)</f>
        <v>-114585.19</v>
      </c>
      <c r="I43" s="102">
        <f t="shared" si="74"/>
        <v>-117128.3567</v>
      </c>
      <c r="J43" s="102">
        <f t="shared" si="74"/>
        <v>-117128.3567</v>
      </c>
      <c r="K43" s="102">
        <f t="shared" si="74"/>
        <v>-117128.3567</v>
      </c>
      <c r="L43" s="102">
        <f t="shared" si="74"/>
        <v>-117128.3567</v>
      </c>
      <c r="M43" s="102">
        <f t="shared" si="74"/>
        <v>-117128.3567</v>
      </c>
      <c r="N43" s="102">
        <f t="shared" si="74"/>
        <v>-117128.3567</v>
      </c>
      <c r="O43" s="102">
        <f t="shared" si="74"/>
        <v>-117128.3567</v>
      </c>
      <c r="P43" s="102">
        <f t="shared" si="74"/>
        <v>-117128.3567</v>
      </c>
      <c r="Q43" s="102">
        <f t="shared" si="74"/>
        <v>-117128.3567</v>
      </c>
      <c r="R43" s="102">
        <f t="shared" si="74"/>
        <v>-117128.3567</v>
      </c>
      <c r="S43" s="102">
        <f t="shared" ref="S43:V43" si="76">SUM(S38,S39,S41)-SUM(,S40,S42)</f>
        <v>-117128.3567</v>
      </c>
      <c r="T43" s="102">
        <f t="shared" si="76"/>
        <v>-117128.3567</v>
      </c>
      <c r="U43" s="102">
        <f t="shared" si="76"/>
        <v>-117128.3567</v>
      </c>
      <c r="V43" s="102">
        <f t="shared" si="76"/>
        <v>-117128.3567</v>
      </c>
      <c r="W43" s="102">
        <f t="shared" ref="W43" si="77">SUM(W38,W39,W41)-SUM(,W40,W42)</f>
        <v>-117128.3567</v>
      </c>
      <c r="X43" s="102">
        <f t="shared" ref="X43:AC43" si="78">SUM(X38,X39,X41)-SUM(,X40,X42)</f>
        <v>-117128.3567</v>
      </c>
      <c r="Y43" s="102">
        <f t="shared" si="78"/>
        <v>-117128.3567</v>
      </c>
      <c r="Z43" s="102">
        <f t="shared" si="78"/>
        <v>-117128.3567</v>
      </c>
      <c r="AA43" s="102">
        <f t="shared" si="78"/>
        <v>-117128.3567</v>
      </c>
      <c r="AB43" s="102">
        <f t="shared" si="78"/>
        <v>-117128.3567</v>
      </c>
      <c r="AC43" s="102">
        <f t="shared" si="78"/>
        <v>-117128.3567</v>
      </c>
    </row>
    <row r="44" spans="2:29" ht="13.5" customHeight="1">
      <c r="B44" s="93" t="s">
        <v>167</v>
      </c>
      <c r="C44" s="96">
        <f t="shared" ref="C44" si="79">SUM(C45:C46)</f>
        <v>49734.48</v>
      </c>
      <c r="D44" s="96">
        <f t="shared" ref="D44:G44" si="80">SUM(D45:D46)</f>
        <v>8220.94</v>
      </c>
      <c r="E44" s="96">
        <f t="shared" si="80"/>
        <v>8142.71</v>
      </c>
      <c r="F44" s="96">
        <f t="shared" si="80"/>
        <v>65784.350000000006</v>
      </c>
      <c r="G44" s="151">
        <f t="shared" si="80"/>
        <v>1577.33</v>
      </c>
      <c r="H44" s="94">
        <f t="shared" ref="H44" si="81">SUM(H45:H46)</f>
        <v>53353.52</v>
      </c>
      <c r="I44" s="95">
        <f t="shared" ref="I44:L44" si="82">SUM(I45:I46)</f>
        <v>0</v>
      </c>
      <c r="J44" s="95">
        <f t="shared" si="82"/>
        <v>0</v>
      </c>
      <c r="K44" s="95">
        <f t="shared" si="82"/>
        <v>0</v>
      </c>
      <c r="L44" s="95">
        <f t="shared" si="82"/>
        <v>0</v>
      </c>
      <c r="M44" s="95">
        <f t="shared" ref="M44:R44" si="83">SUM(M45:M46)</f>
        <v>0</v>
      </c>
      <c r="N44" s="95">
        <f t="shared" si="83"/>
        <v>0</v>
      </c>
      <c r="O44" s="95">
        <f t="shared" si="83"/>
        <v>0</v>
      </c>
      <c r="P44" s="95">
        <f t="shared" si="83"/>
        <v>0</v>
      </c>
      <c r="Q44" s="95">
        <f t="shared" si="83"/>
        <v>0</v>
      </c>
      <c r="R44" s="95">
        <f t="shared" si="83"/>
        <v>0</v>
      </c>
      <c r="S44" s="95">
        <f t="shared" ref="S44:V44" si="84">SUM(S45:S46)</f>
        <v>0</v>
      </c>
      <c r="T44" s="95">
        <f t="shared" si="84"/>
        <v>0</v>
      </c>
      <c r="U44" s="95">
        <f t="shared" si="84"/>
        <v>0</v>
      </c>
      <c r="V44" s="95">
        <f t="shared" si="84"/>
        <v>0</v>
      </c>
      <c r="W44" s="95">
        <f t="shared" ref="W44" si="85">SUM(W45:W46)</f>
        <v>0</v>
      </c>
      <c r="X44" s="95">
        <f t="shared" ref="X44:AC44" si="86">SUM(X45:X46)</f>
        <v>0</v>
      </c>
      <c r="Y44" s="95">
        <f t="shared" si="86"/>
        <v>0</v>
      </c>
      <c r="Z44" s="95">
        <f t="shared" si="86"/>
        <v>0</v>
      </c>
      <c r="AA44" s="95">
        <f t="shared" si="86"/>
        <v>0</v>
      </c>
      <c r="AB44" s="95">
        <f t="shared" si="86"/>
        <v>0</v>
      </c>
      <c r="AC44" s="95">
        <f t="shared" si="86"/>
        <v>0</v>
      </c>
    </row>
    <row r="45" spans="2:29" ht="13.5" customHeight="1">
      <c r="B45" s="97" t="s">
        <v>168</v>
      </c>
      <c r="C45" s="98">
        <f>PL_data!E140</f>
        <v>49734.48</v>
      </c>
      <c r="D45" s="98">
        <f>PL_data!F140</f>
        <v>8220.94</v>
      </c>
      <c r="E45" s="98">
        <f>PL_data!G140</f>
        <v>8142.71</v>
      </c>
      <c r="F45" s="98">
        <f>PL_data!H140</f>
        <v>65784.350000000006</v>
      </c>
      <c r="G45" s="152">
        <f>PL_data!I140</f>
        <v>1577.33</v>
      </c>
      <c r="H45" s="91">
        <f>PL_data!J140</f>
        <v>53353.52</v>
      </c>
      <c r="I45" s="92">
        <f t="shared" ref="I45:R45" si="87">+MAX(0,I55*I65)</f>
        <v>0</v>
      </c>
      <c r="J45" s="92">
        <f t="shared" si="87"/>
        <v>0</v>
      </c>
      <c r="K45" s="92">
        <f t="shared" si="87"/>
        <v>0</v>
      </c>
      <c r="L45" s="92">
        <f t="shared" si="87"/>
        <v>0</v>
      </c>
      <c r="M45" s="92">
        <f t="shared" si="87"/>
        <v>0</v>
      </c>
      <c r="N45" s="92">
        <f t="shared" si="87"/>
        <v>0</v>
      </c>
      <c r="O45" s="92">
        <f t="shared" si="87"/>
        <v>0</v>
      </c>
      <c r="P45" s="92">
        <f t="shared" si="87"/>
        <v>0</v>
      </c>
      <c r="Q45" s="92">
        <f t="shared" si="87"/>
        <v>0</v>
      </c>
      <c r="R45" s="92">
        <f t="shared" si="87"/>
        <v>0</v>
      </c>
      <c r="S45" s="92">
        <f t="shared" ref="S45:V45" si="88">+MAX(0,S55*S65)</f>
        <v>0</v>
      </c>
      <c r="T45" s="92">
        <f t="shared" si="88"/>
        <v>0</v>
      </c>
      <c r="U45" s="92">
        <f t="shared" si="88"/>
        <v>0</v>
      </c>
      <c r="V45" s="92">
        <f t="shared" si="88"/>
        <v>0</v>
      </c>
      <c r="W45" s="92">
        <f t="shared" ref="W45" si="89">+MAX(0,W55*W65)</f>
        <v>0</v>
      </c>
      <c r="X45" s="92">
        <f t="shared" ref="X45:AC45" si="90">+MAX(0,X55*X65)</f>
        <v>0</v>
      </c>
      <c r="Y45" s="92">
        <f t="shared" si="90"/>
        <v>0</v>
      </c>
      <c r="Z45" s="92">
        <f t="shared" si="90"/>
        <v>0</v>
      </c>
      <c r="AA45" s="92">
        <f t="shared" si="90"/>
        <v>0</v>
      </c>
      <c r="AB45" s="92">
        <f t="shared" si="90"/>
        <v>0</v>
      </c>
      <c r="AC45" s="92">
        <f t="shared" si="90"/>
        <v>0</v>
      </c>
    </row>
    <row r="46" spans="2:29" ht="13.5" customHeight="1">
      <c r="B46" s="97" t="s">
        <v>169</v>
      </c>
      <c r="C46" s="98"/>
      <c r="D46" s="98"/>
      <c r="E46" s="98"/>
      <c r="F46" s="98"/>
      <c r="G46" s="152"/>
      <c r="H46" s="91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</row>
    <row r="47" spans="2:29" ht="13.5" customHeight="1">
      <c r="B47" s="100" t="s">
        <v>170</v>
      </c>
      <c r="C47" s="101">
        <f t="shared" ref="C47:R47" si="91">SUM(C37,C43)-SUM(C44)</f>
        <v>-18590462.030000005</v>
      </c>
      <c r="D47" s="101">
        <f t="shared" si="91"/>
        <v>-17364540.770000007</v>
      </c>
      <c r="E47" s="495">
        <f t="shared" si="91"/>
        <v>2377496.5199999972</v>
      </c>
      <c r="F47" s="495">
        <f t="shared" si="91"/>
        <v>-341836.96999998437</v>
      </c>
      <c r="G47" s="496">
        <f t="shared" si="91"/>
        <v>-25111856.210000001</v>
      </c>
      <c r="H47" s="491">
        <f t="shared" ref="H47" si="92">SUM(H37,H43)-SUM(H44)</f>
        <v>-19407655.879999999</v>
      </c>
      <c r="I47" s="102">
        <f t="shared" si="91"/>
        <v>-50654467.114827156</v>
      </c>
      <c r="J47" s="102">
        <f t="shared" si="91"/>
        <v>-52374046.241634384</v>
      </c>
      <c r="K47" s="102">
        <f t="shared" si="91"/>
        <v>-54901469.432360604</v>
      </c>
      <c r="L47" s="102">
        <f t="shared" si="91"/>
        <v>-58251787.298964448</v>
      </c>
      <c r="M47" s="102">
        <f t="shared" si="91"/>
        <v>-61653072.812749512</v>
      </c>
      <c r="N47" s="102">
        <f t="shared" si="91"/>
        <v>-64804899.790278077</v>
      </c>
      <c r="O47" s="102">
        <f t="shared" si="91"/>
        <v>-67892743.050507411</v>
      </c>
      <c r="P47" s="102">
        <f t="shared" si="91"/>
        <v>-71025107.133106351</v>
      </c>
      <c r="Q47" s="102">
        <f t="shared" si="91"/>
        <v>-72397471.214230597</v>
      </c>
      <c r="R47" s="102">
        <f t="shared" si="91"/>
        <v>-71991962.241689771</v>
      </c>
      <c r="S47" s="102">
        <f t="shared" ref="S47:V47" si="93">SUM(S37,S43)-SUM(S44)</f>
        <v>-73611333.334734738</v>
      </c>
      <c r="T47" s="102">
        <f t="shared" si="93"/>
        <v>-74115477.865642637</v>
      </c>
      <c r="U47" s="102">
        <f t="shared" si="93"/>
        <v>-74931473.54142271</v>
      </c>
      <c r="V47" s="102">
        <f t="shared" si="93"/>
        <v>-75855702.646941185</v>
      </c>
      <c r="W47" s="102">
        <f t="shared" ref="W47" si="94">SUM(W37,W43)-SUM(W44)</f>
        <v>-76927638.532693684</v>
      </c>
      <c r="X47" s="102">
        <f t="shared" ref="X47:AC47" si="95">SUM(X37,X43)-SUM(X44)</f>
        <v>-78021366.581706643</v>
      </c>
      <c r="Y47" s="102">
        <f t="shared" si="95"/>
        <v>-78513349.636997581</v>
      </c>
      <c r="Z47" s="102">
        <f t="shared" si="95"/>
        <v>-78722782.350738138</v>
      </c>
      <c r="AA47" s="102">
        <f t="shared" si="95"/>
        <v>-79884604.615274519</v>
      </c>
      <c r="AB47" s="102">
        <f t="shared" si="95"/>
        <v>-81070062.198139429</v>
      </c>
      <c r="AC47" s="102">
        <f t="shared" si="95"/>
        <v>-82279639.881139025</v>
      </c>
    </row>
    <row r="48" spans="2:29" ht="13.5" customHeight="1">
      <c r="B48" s="97" t="s">
        <v>171</v>
      </c>
      <c r="C48" s="98">
        <f>PL_data!E113</f>
        <v>81035.89</v>
      </c>
      <c r="D48" s="98">
        <f>PL_data!F113</f>
        <v>31728.76</v>
      </c>
      <c r="E48" s="98">
        <f>PL_data!G113</f>
        <v>641.16</v>
      </c>
      <c r="F48" s="98">
        <f>PL_data!H113</f>
        <v>173.66</v>
      </c>
      <c r="G48" s="152">
        <f>PL_data!I113</f>
        <v>31555.13</v>
      </c>
      <c r="H48" s="91">
        <f>PL_data!J113</f>
        <v>187.62</v>
      </c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</row>
    <row r="49" spans="1:29" ht="13.5" customHeight="1">
      <c r="B49" s="97" t="s">
        <v>172</v>
      </c>
      <c r="C49" s="98"/>
      <c r="D49" s="98"/>
      <c r="E49" s="98"/>
      <c r="F49" s="98"/>
      <c r="G49" s="152"/>
      <c r="H49" s="91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</row>
    <row r="50" spans="1:29" ht="13.5" customHeight="1">
      <c r="B50" s="93" t="s">
        <v>173</v>
      </c>
      <c r="C50" s="96">
        <f t="shared" ref="C50" si="96">SUM(C51:C52)</f>
        <v>0</v>
      </c>
      <c r="D50" s="96">
        <f t="shared" ref="D50:G50" si="97">SUM(D51:D52)</f>
        <v>0</v>
      </c>
      <c r="E50" s="96">
        <f t="shared" si="97"/>
        <v>0</v>
      </c>
      <c r="F50" s="96">
        <f t="shared" si="97"/>
        <v>0</v>
      </c>
      <c r="G50" s="151">
        <f t="shared" si="97"/>
        <v>0</v>
      </c>
      <c r="H50" s="94">
        <f t="shared" ref="H50" si="98">SUM(H51:H52)</f>
        <v>0</v>
      </c>
      <c r="I50" s="95">
        <f t="shared" ref="I50:L50" si="99">SUM(I51:I52)</f>
        <v>0</v>
      </c>
      <c r="J50" s="95">
        <f t="shared" si="99"/>
        <v>0</v>
      </c>
      <c r="K50" s="95">
        <f t="shared" si="99"/>
        <v>0</v>
      </c>
      <c r="L50" s="95">
        <f t="shared" si="99"/>
        <v>0</v>
      </c>
      <c r="M50" s="95">
        <f t="shared" ref="M50:R50" si="100">SUM(M51:M52)</f>
        <v>0</v>
      </c>
      <c r="N50" s="95">
        <f t="shared" si="100"/>
        <v>0</v>
      </c>
      <c r="O50" s="95">
        <f t="shared" si="100"/>
        <v>0</v>
      </c>
      <c r="P50" s="95">
        <f t="shared" si="100"/>
        <v>0</v>
      </c>
      <c r="Q50" s="95">
        <f t="shared" si="100"/>
        <v>0</v>
      </c>
      <c r="R50" s="95">
        <f t="shared" si="100"/>
        <v>0</v>
      </c>
      <c r="S50" s="95">
        <f t="shared" ref="S50:V50" si="101">SUM(S51:S52)</f>
        <v>0</v>
      </c>
      <c r="T50" s="95">
        <f t="shared" si="101"/>
        <v>0</v>
      </c>
      <c r="U50" s="95">
        <f t="shared" si="101"/>
        <v>0</v>
      </c>
      <c r="V50" s="95">
        <f t="shared" si="101"/>
        <v>0</v>
      </c>
      <c r="W50" s="95">
        <f t="shared" ref="W50" si="102">SUM(W51:W52)</f>
        <v>0</v>
      </c>
      <c r="X50" s="95">
        <f t="shared" ref="X50:AC50" si="103">SUM(X51:X52)</f>
        <v>0</v>
      </c>
      <c r="Y50" s="95">
        <f t="shared" si="103"/>
        <v>0</v>
      </c>
      <c r="Z50" s="95">
        <f t="shared" si="103"/>
        <v>0</v>
      </c>
      <c r="AA50" s="95">
        <f t="shared" si="103"/>
        <v>0</v>
      </c>
      <c r="AB50" s="95">
        <f t="shared" si="103"/>
        <v>0</v>
      </c>
      <c r="AC50" s="95">
        <f t="shared" si="103"/>
        <v>0</v>
      </c>
    </row>
    <row r="51" spans="1:29" ht="13.5" customHeight="1">
      <c r="B51" s="97" t="s">
        <v>168</v>
      </c>
      <c r="C51" s="98"/>
      <c r="D51" s="98"/>
      <c r="E51" s="98"/>
      <c r="F51" s="98"/>
      <c r="G51" s="152"/>
      <c r="H51" s="91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</row>
    <row r="52" spans="1:29" ht="13.5" customHeight="1">
      <c r="B52" s="97" t="s">
        <v>169</v>
      </c>
      <c r="C52" s="98"/>
      <c r="D52" s="98"/>
      <c r="E52" s="98"/>
      <c r="F52" s="98"/>
      <c r="G52" s="152"/>
      <c r="H52" s="91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</row>
    <row r="53" spans="1:29" ht="13.5" customHeight="1">
      <c r="B53" s="100" t="s">
        <v>174</v>
      </c>
      <c r="C53" s="101">
        <f t="shared" ref="C53" si="104">C48-C49-C50</f>
        <v>81035.89</v>
      </c>
      <c r="D53" s="101">
        <f t="shared" ref="D53:G53" si="105">D48-D49-D50</f>
        <v>31728.76</v>
      </c>
      <c r="E53" s="495">
        <f t="shared" si="105"/>
        <v>641.16</v>
      </c>
      <c r="F53" s="495">
        <f t="shared" si="105"/>
        <v>173.66</v>
      </c>
      <c r="G53" s="496">
        <f t="shared" si="105"/>
        <v>31555.13</v>
      </c>
      <c r="H53" s="491">
        <f t="shared" ref="H53" si="106">H48-H49-H50</f>
        <v>187.62</v>
      </c>
      <c r="I53" s="102">
        <f t="shared" ref="I53:M53" si="107">I48-I49-I50</f>
        <v>0</v>
      </c>
      <c r="J53" s="102">
        <f t="shared" si="107"/>
        <v>0</v>
      </c>
      <c r="K53" s="102">
        <f t="shared" si="107"/>
        <v>0</v>
      </c>
      <c r="L53" s="102">
        <f t="shared" si="107"/>
        <v>0</v>
      </c>
      <c r="M53" s="102">
        <f t="shared" si="107"/>
        <v>0</v>
      </c>
      <c r="N53" s="102">
        <f t="shared" ref="N53:R53" si="108">N48-N49-N50</f>
        <v>0</v>
      </c>
      <c r="O53" s="102">
        <f t="shared" si="108"/>
        <v>0</v>
      </c>
      <c r="P53" s="102">
        <f t="shared" si="108"/>
        <v>0</v>
      </c>
      <c r="Q53" s="102">
        <f t="shared" si="108"/>
        <v>0</v>
      </c>
      <c r="R53" s="102">
        <f t="shared" si="108"/>
        <v>0</v>
      </c>
      <c r="S53" s="102">
        <f t="shared" ref="S53:V53" si="109">S48-S49-S50</f>
        <v>0</v>
      </c>
      <c r="T53" s="102">
        <f t="shared" si="109"/>
        <v>0</v>
      </c>
      <c r="U53" s="102">
        <f t="shared" si="109"/>
        <v>0</v>
      </c>
      <c r="V53" s="102">
        <f t="shared" si="109"/>
        <v>0</v>
      </c>
      <c r="W53" s="102">
        <f t="shared" ref="W53" si="110">W48-W49-W50</f>
        <v>0</v>
      </c>
      <c r="X53" s="102">
        <f t="shared" ref="X53:AC53" si="111">X48-X49-X50</f>
        <v>0</v>
      </c>
      <c r="Y53" s="102">
        <f t="shared" si="111"/>
        <v>0</v>
      </c>
      <c r="Z53" s="102">
        <f t="shared" si="111"/>
        <v>0</v>
      </c>
      <c r="AA53" s="102">
        <f t="shared" si="111"/>
        <v>0</v>
      </c>
      <c r="AB53" s="102">
        <f t="shared" si="111"/>
        <v>0</v>
      </c>
      <c r="AC53" s="102">
        <f t="shared" si="111"/>
        <v>0</v>
      </c>
    </row>
    <row r="54" spans="1:29" ht="13.5" customHeight="1">
      <c r="B54" s="100" t="s">
        <v>175</v>
      </c>
      <c r="C54" s="101">
        <f t="shared" ref="C54" si="112">C47+C53</f>
        <v>-18509426.140000004</v>
      </c>
      <c r="D54" s="101">
        <f t="shared" ref="D54:G54" si="113">D47+D53</f>
        <v>-17332812.010000005</v>
      </c>
      <c r="E54" s="495">
        <f t="shared" si="113"/>
        <v>2378137.6799999974</v>
      </c>
      <c r="F54" s="495">
        <f t="shared" si="113"/>
        <v>-341663.3099999844</v>
      </c>
      <c r="G54" s="496">
        <f t="shared" si="113"/>
        <v>-25080301.080000002</v>
      </c>
      <c r="H54" s="491">
        <f t="shared" ref="H54" si="114">H47+H53</f>
        <v>-19407468.259999998</v>
      </c>
      <c r="I54" s="102">
        <f t="shared" ref="I54:M54" si="115">I47+I53</f>
        <v>-50654467.114827156</v>
      </c>
      <c r="J54" s="102">
        <f t="shared" si="115"/>
        <v>-52374046.241634384</v>
      </c>
      <c r="K54" s="102">
        <f t="shared" si="115"/>
        <v>-54901469.432360604</v>
      </c>
      <c r="L54" s="102">
        <f t="shared" si="115"/>
        <v>-58251787.298964448</v>
      </c>
      <c r="M54" s="102">
        <f t="shared" si="115"/>
        <v>-61653072.812749512</v>
      </c>
      <c r="N54" s="102">
        <f t="shared" ref="N54:R54" si="116">N47+N53</f>
        <v>-64804899.790278077</v>
      </c>
      <c r="O54" s="102">
        <f t="shared" si="116"/>
        <v>-67892743.050507411</v>
      </c>
      <c r="P54" s="102">
        <f t="shared" si="116"/>
        <v>-71025107.133106351</v>
      </c>
      <c r="Q54" s="102">
        <f t="shared" si="116"/>
        <v>-72397471.214230597</v>
      </c>
      <c r="R54" s="102">
        <f t="shared" si="116"/>
        <v>-71991962.241689771</v>
      </c>
      <c r="S54" s="102">
        <f t="shared" ref="S54:V54" si="117">S47+S53</f>
        <v>-73611333.334734738</v>
      </c>
      <c r="T54" s="102">
        <f t="shared" si="117"/>
        <v>-74115477.865642637</v>
      </c>
      <c r="U54" s="102">
        <f t="shared" si="117"/>
        <v>-74931473.54142271</v>
      </c>
      <c r="V54" s="102">
        <f t="shared" si="117"/>
        <v>-75855702.646941185</v>
      </c>
      <c r="W54" s="102">
        <f t="shared" ref="W54" si="118">W47+W53</f>
        <v>-76927638.532693684</v>
      </c>
      <c r="X54" s="102">
        <f t="shared" ref="X54:AC54" si="119">X47+X53</f>
        <v>-78021366.581706643</v>
      </c>
      <c r="Y54" s="102">
        <f t="shared" si="119"/>
        <v>-78513349.636997581</v>
      </c>
      <c r="Z54" s="102">
        <f t="shared" si="119"/>
        <v>-78722782.350738138</v>
      </c>
      <c r="AA54" s="102">
        <f t="shared" si="119"/>
        <v>-79884604.615274519</v>
      </c>
      <c r="AB54" s="102">
        <f t="shared" si="119"/>
        <v>-81070062.198139429</v>
      </c>
      <c r="AC54" s="102">
        <f t="shared" si="119"/>
        <v>-82279639.881139025</v>
      </c>
    </row>
    <row r="55" spans="1:29" ht="13.5" customHeight="1">
      <c r="B55" s="105" t="s">
        <v>176</v>
      </c>
      <c r="C55" s="106">
        <f t="shared" ref="C55:R55" si="120">C37+C43+C48-C49</f>
        <v>-18459691.660000004</v>
      </c>
      <c r="D55" s="106">
        <f t="shared" si="120"/>
        <v>-17324591.070000004</v>
      </c>
      <c r="E55" s="106">
        <f t="shared" si="120"/>
        <v>2386280.3899999973</v>
      </c>
      <c r="F55" s="106">
        <f t="shared" si="120"/>
        <v>-275878.95999998442</v>
      </c>
      <c r="G55" s="154">
        <f t="shared" si="120"/>
        <v>-25078723.750000004</v>
      </c>
      <c r="H55" s="166">
        <f t="shared" ref="H55" si="121">H37+H43+H48-H49</f>
        <v>-19354114.739999998</v>
      </c>
      <c r="I55" s="107">
        <f t="shared" si="120"/>
        <v>-50654467.114827156</v>
      </c>
      <c r="J55" s="107">
        <f t="shared" si="120"/>
        <v>-52374046.241634384</v>
      </c>
      <c r="K55" s="107">
        <f t="shared" si="120"/>
        <v>-54901469.432360604</v>
      </c>
      <c r="L55" s="107">
        <f t="shared" si="120"/>
        <v>-58251787.298964448</v>
      </c>
      <c r="M55" s="107">
        <f t="shared" si="120"/>
        <v>-61653072.812749512</v>
      </c>
      <c r="N55" s="107">
        <f t="shared" si="120"/>
        <v>-64804899.790278077</v>
      </c>
      <c r="O55" s="107">
        <f t="shared" si="120"/>
        <v>-67892743.050507411</v>
      </c>
      <c r="P55" s="107">
        <f t="shared" si="120"/>
        <v>-71025107.133106351</v>
      </c>
      <c r="Q55" s="107">
        <f t="shared" si="120"/>
        <v>-72397471.214230597</v>
      </c>
      <c r="R55" s="107">
        <f t="shared" si="120"/>
        <v>-71991962.241689771</v>
      </c>
      <c r="S55" s="107">
        <f t="shared" ref="S55:V55" si="122">S37+S43+S48-S49</f>
        <v>-73611333.334734738</v>
      </c>
      <c r="T55" s="107">
        <f t="shared" si="122"/>
        <v>-74115477.865642637</v>
      </c>
      <c r="U55" s="107">
        <f t="shared" si="122"/>
        <v>-74931473.54142271</v>
      </c>
      <c r="V55" s="107">
        <f t="shared" si="122"/>
        <v>-75855702.646941185</v>
      </c>
      <c r="W55" s="107">
        <f t="shared" ref="W55" si="123">W37+W43+W48-W49</f>
        <v>-76927638.532693684</v>
      </c>
      <c r="X55" s="107">
        <f t="shared" ref="X55:AC55" si="124">X37+X43+X48-X49</f>
        <v>-78021366.581706643</v>
      </c>
      <c r="Y55" s="107">
        <f t="shared" si="124"/>
        <v>-78513349.636997581</v>
      </c>
      <c r="Z55" s="107">
        <f t="shared" si="124"/>
        <v>-78722782.350738138</v>
      </c>
      <c r="AA55" s="107">
        <f t="shared" si="124"/>
        <v>-79884604.615274519</v>
      </c>
      <c r="AB55" s="107">
        <f t="shared" si="124"/>
        <v>-81070062.198139429</v>
      </c>
      <c r="AC55" s="107">
        <f t="shared" si="124"/>
        <v>-82279639.881139025</v>
      </c>
    </row>
    <row r="56" spans="1:29">
      <c r="C56" s="490"/>
      <c r="D56" s="490"/>
      <c r="E56" s="490"/>
      <c r="F56" s="490"/>
      <c r="G56" s="497"/>
      <c r="H56" s="155"/>
    </row>
    <row r="57" spans="1:29" ht="13">
      <c r="B57" s="110" t="s">
        <v>60</v>
      </c>
      <c r="C57" s="111">
        <f t="shared" ref="C57:R57" si="125">+C37+C23</f>
        <v>-12311081.270000003</v>
      </c>
      <c r="D57" s="111">
        <f t="shared" si="125"/>
        <v>-14115267.890000008</v>
      </c>
      <c r="E57" s="498">
        <f t="shared" si="125"/>
        <v>5721448.7399999974</v>
      </c>
      <c r="F57" s="498">
        <f t="shared" si="125"/>
        <v>3256843.4000000157</v>
      </c>
      <c r="G57" s="499">
        <f t="shared" si="125"/>
        <v>-21025499.590000004</v>
      </c>
      <c r="H57" s="494">
        <f t="shared" ref="H57" si="126">+H37+H23</f>
        <v>-14794588.939999998</v>
      </c>
      <c r="I57" s="112">
        <f t="shared" si="125"/>
        <v>-45690643.653960481</v>
      </c>
      <c r="J57" s="112">
        <f t="shared" si="125"/>
        <v>-46100602.846118525</v>
      </c>
      <c r="K57" s="112">
        <f t="shared" si="125"/>
        <v>-46249807.466163278</v>
      </c>
      <c r="L57" s="112">
        <f t="shared" si="125"/>
        <v>-47219733.983127512</v>
      </c>
      <c r="M57" s="112">
        <f t="shared" si="125"/>
        <v>-48237993.629869401</v>
      </c>
      <c r="N57" s="112">
        <f t="shared" si="125"/>
        <v>-48995230.476766177</v>
      </c>
      <c r="O57" s="112">
        <f t="shared" si="125"/>
        <v>-49761879.283661112</v>
      </c>
      <c r="P57" s="112">
        <f t="shared" si="125"/>
        <v>-50634966.859797195</v>
      </c>
      <c r="Q57" s="112">
        <f t="shared" si="125"/>
        <v>-51647223.02405946</v>
      </c>
      <c r="R57" s="112">
        <f t="shared" si="125"/>
        <v>-52675522.574718878</v>
      </c>
      <c r="S57" s="112">
        <f t="shared" ref="S57:V57" si="127">+S37+S23</f>
        <v>-53728401.633846946</v>
      </c>
      <c r="T57" s="112">
        <f t="shared" si="127"/>
        <v>-53620129.436629437</v>
      </c>
      <c r="U57" s="112">
        <f t="shared" si="127"/>
        <v>-53783693.700681403</v>
      </c>
      <c r="V57" s="112">
        <f t="shared" si="127"/>
        <v>-53949144.704767957</v>
      </c>
      <c r="W57" s="112">
        <f t="shared" ref="W57" si="128">+W37+W23</f>
        <v>-54163787.053261265</v>
      </c>
      <c r="X57" s="112">
        <f t="shared" ref="X57:AC57" si="129">+X37+X23</f>
        <v>-54383075.694269843</v>
      </c>
      <c r="Y57" s="112">
        <f t="shared" si="129"/>
        <v>-54607114.493396305</v>
      </c>
      <c r="Z57" s="112">
        <f t="shared" si="129"/>
        <v>-54836009.667049117</v>
      </c>
      <c r="AA57" s="112">
        <f t="shared" si="129"/>
        <v>-55069869.836295992</v>
      </c>
      <c r="AB57" s="112">
        <f t="shared" si="129"/>
        <v>-55308806.081965603</v>
      </c>
      <c r="AC57" s="112">
        <f t="shared" si="129"/>
        <v>-55552932.00102599</v>
      </c>
    </row>
    <row r="58" spans="1:29" ht="13.5" hidden="1" customHeight="1">
      <c r="B58" s="88"/>
      <c r="C58" s="98"/>
      <c r="D58" s="98"/>
      <c r="E58" s="98"/>
      <c r="F58" s="98"/>
      <c r="G58" s="152"/>
      <c r="H58" s="91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</row>
    <row r="59" spans="1:29" ht="13.5" hidden="1" customHeight="1">
      <c r="B59" s="88"/>
      <c r="C59" s="98"/>
      <c r="D59" s="98"/>
      <c r="E59" s="98"/>
      <c r="F59" s="98"/>
      <c r="G59" s="152"/>
      <c r="H59" s="91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</row>
    <row r="60" spans="1:29" ht="13.5" hidden="1" customHeight="1">
      <c r="B60" s="88"/>
      <c r="C60" s="98"/>
      <c r="D60" s="98"/>
      <c r="E60" s="98"/>
      <c r="F60" s="98"/>
      <c r="G60" s="152"/>
      <c r="H60" s="91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</row>
    <row r="61" spans="1:29" ht="13.5" customHeight="1">
      <c r="B61" s="113" t="s">
        <v>56</v>
      </c>
      <c r="C61" s="96">
        <f t="shared" ref="C61:D61" si="130">+C57+C58+C59+C60</f>
        <v>-12311081.270000003</v>
      </c>
      <c r="D61" s="96">
        <f t="shared" si="130"/>
        <v>-14115267.890000008</v>
      </c>
      <c r="E61" s="96">
        <f t="shared" ref="E61" si="131">+E57+E58+E59+E60</f>
        <v>5721448.7399999974</v>
      </c>
      <c r="F61" s="96">
        <f t="shared" ref="F61:G61" si="132">+F57+F58+F59+F60</f>
        <v>3256843.4000000157</v>
      </c>
      <c r="G61" s="151">
        <f t="shared" si="132"/>
        <v>-21025499.590000004</v>
      </c>
      <c r="H61" s="94">
        <f t="shared" ref="H61" si="133">+H57+H58+H59+H60</f>
        <v>-14794588.939999998</v>
      </c>
      <c r="I61" s="95">
        <f t="shared" ref="I61:M61" si="134">+I57+I58+I59+I60</f>
        <v>-45690643.653960481</v>
      </c>
      <c r="J61" s="95">
        <f t="shared" si="134"/>
        <v>-46100602.846118525</v>
      </c>
      <c r="K61" s="95">
        <f t="shared" si="134"/>
        <v>-46249807.466163278</v>
      </c>
      <c r="L61" s="95">
        <f t="shared" si="134"/>
        <v>-47219733.983127512</v>
      </c>
      <c r="M61" s="95">
        <f t="shared" si="134"/>
        <v>-48237993.629869401</v>
      </c>
      <c r="N61" s="95">
        <f t="shared" ref="N61:R61" si="135">+N57+N58+N59+N60</f>
        <v>-48995230.476766177</v>
      </c>
      <c r="O61" s="95">
        <f t="shared" si="135"/>
        <v>-49761879.283661112</v>
      </c>
      <c r="P61" s="95">
        <f t="shared" si="135"/>
        <v>-50634966.859797195</v>
      </c>
      <c r="Q61" s="95">
        <f t="shared" si="135"/>
        <v>-51647223.02405946</v>
      </c>
      <c r="R61" s="95">
        <f t="shared" si="135"/>
        <v>-52675522.574718878</v>
      </c>
      <c r="S61" s="95">
        <f t="shared" ref="S61:V61" si="136">+S57+S58+S59+S60</f>
        <v>-53728401.633846946</v>
      </c>
      <c r="T61" s="95">
        <f t="shared" si="136"/>
        <v>-53620129.436629437</v>
      </c>
      <c r="U61" s="95">
        <f t="shared" si="136"/>
        <v>-53783693.700681403</v>
      </c>
      <c r="V61" s="95">
        <f t="shared" si="136"/>
        <v>-53949144.704767957</v>
      </c>
      <c r="W61" s="95">
        <f t="shared" ref="W61" si="137">+W57+W58+W59+W60</f>
        <v>-54163787.053261265</v>
      </c>
      <c r="X61" s="95">
        <f t="shared" ref="X61:AC61" si="138">+X57+X58+X59+X60</f>
        <v>-54383075.694269843</v>
      </c>
      <c r="Y61" s="95">
        <f t="shared" si="138"/>
        <v>-54607114.493396305</v>
      </c>
      <c r="Z61" s="95">
        <f t="shared" si="138"/>
        <v>-54836009.667049117</v>
      </c>
      <c r="AA61" s="95">
        <f t="shared" si="138"/>
        <v>-55069869.836295992</v>
      </c>
      <c r="AB61" s="95">
        <f t="shared" si="138"/>
        <v>-55308806.081965603</v>
      </c>
      <c r="AC61" s="95">
        <f t="shared" si="138"/>
        <v>-55552932.00102599</v>
      </c>
    </row>
    <row r="62" spans="1:29" s="117" customFormat="1" ht="13.5" customHeight="1">
      <c r="A62" s="5"/>
      <c r="B62" s="114" t="s">
        <v>177</v>
      </c>
      <c r="C62" s="115">
        <f t="shared" ref="C62:R62" si="139">IFERROR(C61/(C9+C6),0)</f>
        <v>-0.13379584837416175</v>
      </c>
      <c r="D62" s="115">
        <f t="shared" si="139"/>
        <v>-0.15412882385213572</v>
      </c>
      <c r="E62" s="115">
        <f t="shared" si="139"/>
        <v>5.9104491116434635E-2</v>
      </c>
      <c r="F62" s="115">
        <f t="shared" si="139"/>
        <v>3.0547490854265356E-2</v>
      </c>
      <c r="G62" s="156">
        <f t="shared" si="139"/>
        <v>-0.18477979196789393</v>
      </c>
      <c r="H62" s="167">
        <f t="shared" si="139"/>
        <v>-0.11319482111040055</v>
      </c>
      <c r="I62" s="116">
        <f t="shared" si="139"/>
        <v>-0.33233882515367302</v>
      </c>
      <c r="J62" s="116">
        <f t="shared" si="139"/>
        <v>-0.33853326538606848</v>
      </c>
      <c r="K62" s="116">
        <f t="shared" si="139"/>
        <v>-0.33932064052999816</v>
      </c>
      <c r="L62" s="116">
        <f t="shared" si="139"/>
        <v>-0.34605573979466575</v>
      </c>
      <c r="M62" s="116">
        <f t="shared" si="139"/>
        <v>-0.3518119132906799</v>
      </c>
      <c r="N62" s="116">
        <f t="shared" si="139"/>
        <v>-0.36864573202977285</v>
      </c>
      <c r="O62" s="116">
        <f t="shared" si="139"/>
        <v>-0.3846870268006673</v>
      </c>
      <c r="P62" s="116">
        <f t="shared" si="139"/>
        <v>-0.39670469553786603</v>
      </c>
      <c r="Q62" s="116">
        <f t="shared" si="139"/>
        <v>-0.40441287169855256</v>
      </c>
      <c r="R62" s="116">
        <f t="shared" si="139"/>
        <v>-0.41246070222344816</v>
      </c>
      <c r="S62" s="116">
        <f t="shared" ref="S62:V62" si="140">IFERROR(S61/(S9+S6),0)</f>
        <v>-0.42059740183843675</v>
      </c>
      <c r="T62" s="116">
        <f t="shared" si="140"/>
        <v>-0.41980763391491727</v>
      </c>
      <c r="U62" s="116">
        <f t="shared" si="140"/>
        <v>-0.42146165059471963</v>
      </c>
      <c r="V62" s="116">
        <f t="shared" si="140"/>
        <v>-0.42338155647359033</v>
      </c>
      <c r="W62" s="116">
        <f t="shared" ref="W62" si="141">IFERROR(W61/(W9+W6),0)</f>
        <v>-0.42501830170136196</v>
      </c>
      <c r="X62" s="116">
        <f t="shared" ref="X62:AC62" si="142">IFERROR(X61/(X9+X6),0)</f>
        <v>-0.42669113439154455</v>
      </c>
      <c r="Y62" s="116">
        <f t="shared" si="142"/>
        <v>-0.42840085723302829</v>
      </c>
      <c r="Z62" s="116">
        <f t="shared" si="142"/>
        <v>-0.43014829099469676</v>
      </c>
      <c r="AA62" s="116">
        <f t="shared" si="142"/>
        <v>-0.4319342749376745</v>
      </c>
      <c r="AB62" s="116">
        <f t="shared" si="142"/>
        <v>-0.43375966723708814</v>
      </c>
      <c r="AC62" s="116">
        <f t="shared" si="142"/>
        <v>-0.43562534541355391</v>
      </c>
    </row>
    <row r="63" spans="1:29" ht="13.5" customHeight="1">
      <c r="B63" s="113" t="s">
        <v>61</v>
      </c>
      <c r="C63" s="96">
        <f t="shared" ref="C63:R63" si="143">+C37</f>
        <v>-18440561.790000003</v>
      </c>
      <c r="D63" s="96">
        <f t="shared" si="143"/>
        <v>-17252562.090000007</v>
      </c>
      <c r="E63" s="96">
        <f t="shared" si="143"/>
        <v>2491076.5799999973</v>
      </c>
      <c r="F63" s="96">
        <f t="shared" si="143"/>
        <v>-166560.71999998437</v>
      </c>
      <c r="G63" s="151">
        <f t="shared" si="143"/>
        <v>-24996195.160000004</v>
      </c>
      <c r="H63" s="94">
        <f t="shared" ref="H63" si="144">+H37</f>
        <v>-19239717.169999998</v>
      </c>
      <c r="I63" s="95">
        <f t="shared" si="143"/>
        <v>-50537338.758127153</v>
      </c>
      <c r="J63" s="95">
        <f t="shared" si="143"/>
        <v>-52256917.884934381</v>
      </c>
      <c r="K63" s="95">
        <f t="shared" si="143"/>
        <v>-54784341.075660601</v>
      </c>
      <c r="L63" s="95">
        <f t="shared" si="143"/>
        <v>-58134658.942264445</v>
      </c>
      <c r="M63" s="95">
        <f t="shared" si="143"/>
        <v>-61535944.456049509</v>
      </c>
      <c r="N63" s="95">
        <f t="shared" si="143"/>
        <v>-64687771.433578074</v>
      </c>
      <c r="O63" s="95">
        <f t="shared" si="143"/>
        <v>-67775614.693807408</v>
      </c>
      <c r="P63" s="95">
        <f t="shared" si="143"/>
        <v>-70907978.776406348</v>
      </c>
      <c r="Q63" s="95">
        <f t="shared" si="143"/>
        <v>-72280342.857530594</v>
      </c>
      <c r="R63" s="95">
        <f t="shared" si="143"/>
        <v>-71874833.884989768</v>
      </c>
      <c r="S63" s="95">
        <f t="shared" ref="S63:V63" si="145">+S37</f>
        <v>-73494204.978034735</v>
      </c>
      <c r="T63" s="95">
        <f t="shared" si="145"/>
        <v>-73998349.508942634</v>
      </c>
      <c r="U63" s="95">
        <f t="shared" si="145"/>
        <v>-74814345.184722707</v>
      </c>
      <c r="V63" s="95">
        <f t="shared" si="145"/>
        <v>-75738574.290241182</v>
      </c>
      <c r="W63" s="95">
        <f t="shared" ref="W63" si="146">+W37</f>
        <v>-76810510.175993681</v>
      </c>
      <c r="X63" s="95">
        <f t="shared" ref="X63:AC63" si="147">+X37</f>
        <v>-77904238.22500664</v>
      </c>
      <c r="Y63" s="95">
        <f t="shared" si="147"/>
        <v>-78396221.280297577</v>
      </c>
      <c r="Z63" s="95">
        <f t="shared" si="147"/>
        <v>-78605653.994038135</v>
      </c>
      <c r="AA63" s="95">
        <f t="shared" si="147"/>
        <v>-79767476.258574516</v>
      </c>
      <c r="AB63" s="95">
        <f t="shared" si="147"/>
        <v>-80952933.841439426</v>
      </c>
      <c r="AC63" s="95">
        <f t="shared" si="147"/>
        <v>-82162511.524439022</v>
      </c>
    </row>
    <row r="64" spans="1:29" s="117" customFormat="1" ht="13.25" customHeight="1">
      <c r="A64" s="5"/>
      <c r="B64" s="114" t="s">
        <v>178</v>
      </c>
      <c r="C64" s="115">
        <f t="shared" ref="C64:R64" si="148">IFERROR(C63/(C9+C6),0)</f>
        <v>-0.20041055331195945</v>
      </c>
      <c r="D64" s="115">
        <f t="shared" si="148"/>
        <v>-0.18838587578288207</v>
      </c>
      <c r="E64" s="115">
        <f t="shared" si="148"/>
        <v>2.5733659477471485E-2</v>
      </c>
      <c r="F64" s="115">
        <f t="shared" si="148"/>
        <v>-1.5622526004410746E-3</v>
      </c>
      <c r="G64" s="156">
        <f t="shared" si="148"/>
        <v>-0.21967571908971117</v>
      </c>
      <c r="H64" s="167">
        <f t="shared" si="148"/>
        <v>-0.14720492418580519</v>
      </c>
      <c r="I64" s="116">
        <f t="shared" si="148"/>
        <v>-0.36759210302377349</v>
      </c>
      <c r="J64" s="116">
        <f t="shared" si="148"/>
        <v>-0.38374129530689993</v>
      </c>
      <c r="K64" s="116">
        <f t="shared" si="148"/>
        <v>-0.40193589386090389</v>
      </c>
      <c r="L64" s="116">
        <f t="shared" si="148"/>
        <v>-0.42604713561419849</v>
      </c>
      <c r="M64" s="116">
        <f t="shared" si="148"/>
        <v>-0.44879723898438589</v>
      </c>
      <c r="N64" s="116">
        <f t="shared" si="148"/>
        <v>-0.48671820953703532</v>
      </c>
      <c r="O64" s="116">
        <f t="shared" si="148"/>
        <v>-0.52394322886252087</v>
      </c>
      <c r="P64" s="116">
        <f t="shared" si="148"/>
        <v>-0.5555356283650269</v>
      </c>
      <c r="Q64" s="116">
        <f t="shared" si="148"/>
        <v>-0.56597623862086111</v>
      </c>
      <c r="R64" s="116">
        <f t="shared" si="148"/>
        <v>-0.56279545047408164</v>
      </c>
      <c r="S64" s="116">
        <f t="shared" ref="S64:V64" si="149">IFERROR(S63/(S9+S6),0)</f>
        <v>-0.57532833145867879</v>
      </c>
      <c r="T64" s="116">
        <f t="shared" si="149"/>
        <v>-0.57935466302207117</v>
      </c>
      <c r="U64" s="116">
        <f t="shared" si="149"/>
        <v>-0.58626277297345364</v>
      </c>
      <c r="V64" s="116">
        <f t="shared" si="149"/>
        <v>-0.59438042333336538</v>
      </c>
      <c r="W64" s="116">
        <f t="shared" ref="W64" si="150">IFERROR(W63/(W9+W6),0)</f>
        <v>-0.60272507451729906</v>
      </c>
      <c r="X64" s="116">
        <f t="shared" ref="X64:AC64" si="151">IFERROR(X63/(X9+X6),0)</f>
        <v>-0.6112388340999938</v>
      </c>
      <c r="Y64" s="116">
        <f t="shared" si="151"/>
        <v>-0.61502990428785842</v>
      </c>
      <c r="Z64" s="116">
        <f t="shared" si="151"/>
        <v>-0.61660372323505508</v>
      </c>
      <c r="AA64" s="116">
        <f t="shared" si="151"/>
        <v>-0.62564714831860857</v>
      </c>
      <c r="AB64" s="116">
        <f t="shared" si="151"/>
        <v>-0.63487390403782995</v>
      </c>
      <c r="AC64" s="116">
        <f t="shared" si="151"/>
        <v>-0.64428773016369001</v>
      </c>
    </row>
    <row r="65" spans="1:29" s="117" customFormat="1" ht="13.25" customHeight="1">
      <c r="A65" s="5"/>
      <c r="B65" s="713" t="s">
        <v>258</v>
      </c>
      <c r="C65" s="714"/>
      <c r="D65" s="714"/>
      <c r="E65" s="714"/>
      <c r="F65" s="714"/>
      <c r="G65" s="715"/>
      <c r="H65" s="716"/>
      <c r="I65" s="717">
        <v>0.21</v>
      </c>
      <c r="J65" s="718">
        <f>I65</f>
        <v>0.21</v>
      </c>
      <c r="K65" s="718">
        <f t="shared" ref="K65:R65" si="152">J65</f>
        <v>0.21</v>
      </c>
      <c r="L65" s="718">
        <f t="shared" si="152"/>
        <v>0.21</v>
      </c>
      <c r="M65" s="718">
        <f t="shared" si="152"/>
        <v>0.21</v>
      </c>
      <c r="N65" s="718">
        <f t="shared" si="152"/>
        <v>0.21</v>
      </c>
      <c r="O65" s="718">
        <f t="shared" si="152"/>
        <v>0.21</v>
      </c>
      <c r="P65" s="718">
        <f t="shared" si="152"/>
        <v>0.21</v>
      </c>
      <c r="Q65" s="718">
        <f t="shared" si="152"/>
        <v>0.21</v>
      </c>
      <c r="R65" s="718">
        <f t="shared" si="152"/>
        <v>0.21</v>
      </c>
      <c r="S65" s="718">
        <f t="shared" ref="S65" si="153">R65</f>
        <v>0.21</v>
      </c>
      <c r="T65" s="718">
        <f t="shared" ref="T65" si="154">S65</f>
        <v>0.21</v>
      </c>
      <c r="U65" s="718">
        <f t="shared" ref="U65" si="155">T65</f>
        <v>0.21</v>
      </c>
      <c r="V65" s="718">
        <f t="shared" ref="V65:W65" si="156">U65</f>
        <v>0.21</v>
      </c>
      <c r="W65" s="718">
        <f t="shared" si="156"/>
        <v>0.21</v>
      </c>
      <c r="X65" s="718">
        <f t="shared" ref="X65" si="157">W65</f>
        <v>0.21</v>
      </c>
      <c r="Y65" s="718">
        <f t="shared" ref="Y65" si="158">X65</f>
        <v>0.21</v>
      </c>
      <c r="Z65" s="718">
        <f t="shared" ref="Z65" si="159">Y65</f>
        <v>0.21</v>
      </c>
      <c r="AA65" s="718">
        <f t="shared" ref="AA65" si="160">Z65</f>
        <v>0.21</v>
      </c>
      <c r="AB65" s="718">
        <f t="shared" ref="AB65" si="161">AA65</f>
        <v>0.21</v>
      </c>
      <c r="AC65" s="718">
        <f t="shared" ref="AC65" si="162">AB65</f>
        <v>0.21</v>
      </c>
    </row>
    <row r="66" spans="1:29" s="176" customFormat="1" ht="13.5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</row>
    <row r="67" spans="1:29" ht="13.5" customHeight="1">
      <c r="B67" s="103" t="s">
        <v>3046</v>
      </c>
      <c r="C67" s="104"/>
      <c r="D67" s="104"/>
      <c r="E67" s="492"/>
      <c r="F67" s="492"/>
      <c r="G67" s="492"/>
      <c r="H67" s="492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3.5" customHeight="1">
      <c r="B68" s="97" t="s">
        <v>3047</v>
      </c>
      <c r="C68" s="91">
        <f>C16</f>
        <v>50016435</v>
      </c>
      <c r="D68" s="91">
        <f t="shared" ref="D68:R68" si="163">D16</f>
        <v>49826135.699999996</v>
      </c>
      <c r="E68" s="91">
        <f t="shared" si="163"/>
        <v>52123523.549999997</v>
      </c>
      <c r="F68" s="91">
        <f t="shared" si="163"/>
        <v>53880461.810000002</v>
      </c>
      <c r="G68" s="91">
        <f t="shared" si="163"/>
        <v>55924988.559999995</v>
      </c>
      <c r="H68" s="91">
        <f t="shared" si="163"/>
        <v>65819233.030000016</v>
      </c>
      <c r="I68" s="92">
        <f t="shared" si="163"/>
        <v>69304817.483769208</v>
      </c>
      <c r="J68" s="92">
        <f t="shared" si="163"/>
        <v>68034930.201611847</v>
      </c>
      <c r="K68" s="92">
        <f t="shared" si="163"/>
        <v>67970882.459194526</v>
      </c>
      <c r="L68" s="92">
        <f t="shared" si="163"/>
        <v>67932835.860636204</v>
      </c>
      <c r="M68" s="92">
        <f t="shared" si="163"/>
        <v>68209174.34271808</v>
      </c>
      <c r="N68" s="92">
        <f t="shared" si="163"/>
        <v>65461210.516919613</v>
      </c>
      <c r="O68" s="92">
        <f t="shared" si="163"/>
        <v>63117507.533882432</v>
      </c>
      <c r="P68" s="92">
        <f t="shared" si="163"/>
        <v>61906567.621509343</v>
      </c>
      <c r="Q68" s="92">
        <f t="shared" si="163"/>
        <v>61801888.698850825</v>
      </c>
      <c r="R68" s="92">
        <f t="shared" si="163"/>
        <v>61650906.987032168</v>
      </c>
      <c r="S68" s="92">
        <f t="shared" ref="S68:V68" si="164">S16</f>
        <v>61515843.277208477</v>
      </c>
      <c r="T68" s="92">
        <f t="shared" si="164"/>
        <v>61346475.726923101</v>
      </c>
      <c r="U68" s="92">
        <f t="shared" si="164"/>
        <v>61113874.489582568</v>
      </c>
      <c r="V68" s="92">
        <f t="shared" si="164"/>
        <v>60831010.896357588</v>
      </c>
      <c r="W68" s="92">
        <f t="shared" ref="W68" si="165">W16</f>
        <v>60658363.980812058</v>
      </c>
      <c r="X68" s="92">
        <f t="shared" ref="X68:AC68" si="166">X16</f>
        <v>60481730.657284886</v>
      </c>
      <c r="Y68" s="92">
        <f t="shared" si="166"/>
        <v>60301021.811570339</v>
      </c>
      <c r="Z68" s="92">
        <f t="shared" si="166"/>
        <v>60116146.312527329</v>
      </c>
      <c r="AA68" s="92">
        <f t="shared" si="166"/>
        <v>59927010.965874597</v>
      </c>
      <c r="AB68" s="92">
        <f t="shared" si="166"/>
        <v>59733520.466914907</v>
      </c>
      <c r="AC68" s="92">
        <f t="shared" si="166"/>
        <v>59535577.352163345</v>
      </c>
    </row>
    <row r="69" spans="1:29" ht="13.5" customHeight="1">
      <c r="B69" s="97" t="s">
        <v>3048</v>
      </c>
      <c r="C69" s="91">
        <f>C68-C17</f>
        <v>-13864186.670000002</v>
      </c>
      <c r="D69" s="91">
        <f t="shared" ref="D69:R69" si="167">D68-D17</f>
        <v>-17045836.550000004</v>
      </c>
      <c r="E69" s="91">
        <f t="shared" si="167"/>
        <v>-16214837.650000006</v>
      </c>
      <c r="F69" s="91">
        <f t="shared" si="167"/>
        <v>-21820373.419999987</v>
      </c>
      <c r="G69" s="91">
        <f t="shared" si="167"/>
        <v>-31157771.750000007</v>
      </c>
      <c r="H69" s="91">
        <f t="shared" si="167"/>
        <v>-48252732.549999997</v>
      </c>
      <c r="I69" s="92">
        <f t="shared" si="167"/>
        <v>-44767148.096230775</v>
      </c>
      <c r="J69" s="92">
        <f t="shared" si="167"/>
        <v>-45157498.084223047</v>
      </c>
      <c r="K69" s="92">
        <f t="shared" si="167"/>
        <v>-45283491.289853454</v>
      </c>
      <c r="L69" s="92">
        <f t="shared" si="167"/>
        <v>-46226916.711732656</v>
      </c>
      <c r="M69" s="92">
        <f t="shared" si="167"/>
        <v>-47216966.300012916</v>
      </c>
      <c r="N69" s="92">
        <f t="shared" si="167"/>
        <v>-47956271.572638109</v>
      </c>
      <c r="O69" s="92">
        <f t="shared" si="167"/>
        <v>-48703088.987596892</v>
      </c>
      <c r="P69" s="92">
        <f t="shared" si="167"/>
        <v>-49551718.044996947</v>
      </c>
      <c r="Q69" s="92">
        <f t="shared" si="167"/>
        <v>-50534855.78455545</v>
      </c>
      <c r="R69" s="92">
        <f t="shared" si="167"/>
        <v>-51533560.358710594</v>
      </c>
      <c r="S69" s="92">
        <f t="shared" ref="S69" si="168">S68-S17</f>
        <v>-52556122.302791506</v>
      </c>
      <c r="T69" s="92">
        <f t="shared" ref="T69" si="169">T68-T17</f>
        <v>-52420862.932874851</v>
      </c>
      <c r="U69" s="92">
        <f t="shared" ref="U69" si="170">U68-U17</f>
        <v>-52556138.370872796</v>
      </c>
      <c r="V69" s="92">
        <f t="shared" ref="V69:W69" si="171">V68-V17</f>
        <v>-52692830.386354245</v>
      </c>
      <c r="W69" s="92">
        <f t="shared" si="171"/>
        <v>-52877546.093491554</v>
      </c>
      <c r="X69" s="92">
        <f t="shared" ref="X69" si="172">X68-X17</f>
        <v>-53066248.20861049</v>
      </c>
      <c r="Y69" s="92">
        <f t="shared" ref="Y69" si="173">Y68-Y17</f>
        <v>-53259025.845916845</v>
      </c>
      <c r="Z69" s="92">
        <f t="shared" ref="Z69" si="174">Z68-Z17</f>
        <v>-53455970.136551633</v>
      </c>
      <c r="AA69" s="92">
        <f t="shared" ref="AA69" si="175">AA68-AA17</f>
        <v>-53657174.274796098</v>
      </c>
      <c r="AB69" s="92">
        <f t="shared" ref="AB69" si="176">AB68-AB17</f>
        <v>-53862733.565347582</v>
      </c>
      <c r="AC69" s="92">
        <f t="shared" ref="AC69" si="177">AC68-AC17</f>
        <v>-54072745.471690923</v>
      </c>
    </row>
    <row r="70" spans="1:29" ht="13.5" customHeight="1">
      <c r="B70" s="721" t="s">
        <v>3049</v>
      </c>
      <c r="C70" s="719">
        <f>C57-C71</f>
        <v>-12311081.270000003</v>
      </c>
      <c r="D70" s="719">
        <f t="shared" ref="D70:R70" si="178">D57-D71</f>
        <v>-13646344.950000009</v>
      </c>
      <c r="E70" s="719">
        <f t="shared" si="178"/>
        <v>-14927512.350000001</v>
      </c>
      <c r="F70" s="719">
        <f t="shared" si="178"/>
        <v>-18588192.059999984</v>
      </c>
      <c r="G70" s="719">
        <f t="shared" si="178"/>
        <v>-30631528.329999998</v>
      </c>
      <c r="H70" s="719">
        <f t="shared" si="178"/>
        <v>-46647903.800000004</v>
      </c>
      <c r="I70" s="720">
        <f t="shared" si="178"/>
        <v>-45690643.653960481</v>
      </c>
      <c r="J70" s="720">
        <f t="shared" si="178"/>
        <v>-46100602.846118525</v>
      </c>
      <c r="K70" s="720">
        <f t="shared" si="178"/>
        <v>-46249807.466163278</v>
      </c>
      <c r="L70" s="720">
        <f t="shared" si="178"/>
        <v>-47219733.983127512</v>
      </c>
      <c r="M70" s="720">
        <f t="shared" si="178"/>
        <v>-48237993.629869401</v>
      </c>
      <c r="N70" s="720">
        <f t="shared" si="178"/>
        <v>-48995230.476766177</v>
      </c>
      <c r="O70" s="720">
        <f t="shared" si="178"/>
        <v>-49761879.283661112</v>
      </c>
      <c r="P70" s="720">
        <f t="shared" si="178"/>
        <v>-50634966.859797195</v>
      </c>
      <c r="Q70" s="720">
        <f t="shared" si="178"/>
        <v>-51647223.02405946</v>
      </c>
      <c r="R70" s="720">
        <f t="shared" si="178"/>
        <v>-52675522.574718878</v>
      </c>
      <c r="S70" s="720">
        <f t="shared" ref="S70" si="179">S57-S71</f>
        <v>-53728401.633846946</v>
      </c>
      <c r="T70" s="720">
        <f t="shared" ref="T70" si="180">T57-T71</f>
        <v>-53620129.436629437</v>
      </c>
      <c r="U70" s="720">
        <f t="shared" ref="U70" si="181">U57-U71</f>
        <v>-53783693.700681403</v>
      </c>
      <c r="V70" s="720">
        <f t="shared" ref="V70:W70" si="182">V57-V71</f>
        <v>-53949144.704767957</v>
      </c>
      <c r="W70" s="720">
        <f t="shared" si="182"/>
        <v>-54163787.053261265</v>
      </c>
      <c r="X70" s="720">
        <f t="shared" ref="X70" si="183">X57-X71</f>
        <v>-54383075.694269843</v>
      </c>
      <c r="Y70" s="720">
        <f t="shared" ref="Y70" si="184">Y57-Y71</f>
        <v>-54607114.493396305</v>
      </c>
      <c r="Z70" s="720">
        <f t="shared" ref="Z70" si="185">Z57-Z71</f>
        <v>-54836009.667049117</v>
      </c>
      <c r="AA70" s="720">
        <f t="shared" ref="AA70" si="186">AA57-AA71</f>
        <v>-55069869.836295992</v>
      </c>
      <c r="AB70" s="720">
        <f t="shared" ref="AB70" si="187">AB57-AB71</f>
        <v>-55308806.081965603</v>
      </c>
      <c r="AC70" s="720">
        <f t="shared" ref="AC70" si="188">AC57-AC71</f>
        <v>-55552932.00102599</v>
      </c>
    </row>
    <row r="71" spans="1:29" ht="13.5" customHeight="1">
      <c r="B71" s="721" t="s">
        <v>3050</v>
      </c>
      <c r="C71" s="719"/>
      <c r="D71" s="719">
        <f>SUM(D72:D78)</f>
        <v>-468922.93999999994</v>
      </c>
      <c r="E71" s="719">
        <f t="shared" ref="E71:R71" si="189">SUM(E72:E78)</f>
        <v>20648961.09</v>
      </c>
      <c r="F71" s="719">
        <f t="shared" si="189"/>
        <v>21845035.460000001</v>
      </c>
      <c r="G71" s="719">
        <f t="shared" si="189"/>
        <v>9606028.7399999946</v>
      </c>
      <c r="H71" s="719">
        <f t="shared" si="189"/>
        <v>31853314.860000007</v>
      </c>
      <c r="I71" s="720">
        <f t="shared" si="189"/>
        <v>0</v>
      </c>
      <c r="J71" s="720">
        <f t="shared" si="189"/>
        <v>0</v>
      </c>
      <c r="K71" s="720">
        <f t="shared" si="189"/>
        <v>0</v>
      </c>
      <c r="L71" s="720">
        <f t="shared" si="189"/>
        <v>0</v>
      </c>
      <c r="M71" s="720">
        <f t="shared" si="189"/>
        <v>0</v>
      </c>
      <c r="N71" s="720">
        <f t="shared" si="189"/>
        <v>0</v>
      </c>
      <c r="O71" s="720">
        <f t="shared" si="189"/>
        <v>0</v>
      </c>
      <c r="P71" s="720">
        <f t="shared" si="189"/>
        <v>0</v>
      </c>
      <c r="Q71" s="720">
        <f t="shared" si="189"/>
        <v>0</v>
      </c>
      <c r="R71" s="720">
        <f t="shared" si="189"/>
        <v>0</v>
      </c>
      <c r="S71" s="720">
        <f t="shared" ref="S71" si="190">SUM(S72:S78)</f>
        <v>0</v>
      </c>
      <c r="T71" s="720">
        <f t="shared" ref="T71" si="191">SUM(T72:T78)</f>
        <v>0</v>
      </c>
      <c r="U71" s="720">
        <f t="shared" ref="U71" si="192">SUM(U72:U78)</f>
        <v>0</v>
      </c>
      <c r="V71" s="720">
        <f t="shared" ref="V71:W71" si="193">SUM(V72:V78)</f>
        <v>0</v>
      </c>
      <c r="W71" s="720">
        <f t="shared" si="193"/>
        <v>0</v>
      </c>
      <c r="X71" s="720">
        <f t="shared" ref="X71" si="194">SUM(X72:X78)</f>
        <v>0</v>
      </c>
      <c r="Y71" s="720">
        <f t="shared" ref="Y71" si="195">SUM(Y72:Y78)</f>
        <v>0</v>
      </c>
      <c r="Z71" s="720">
        <f t="shared" ref="Z71" si="196">SUM(Z72:Z78)</f>
        <v>0</v>
      </c>
      <c r="AA71" s="720">
        <f t="shared" ref="AA71" si="197">SUM(AA72:AA78)</f>
        <v>0</v>
      </c>
      <c r="AB71" s="720">
        <f t="shared" ref="AB71" si="198">SUM(AB72:AB78)</f>
        <v>0</v>
      </c>
      <c r="AC71" s="720">
        <f t="shared" ref="AC71" si="199">SUM(AC72:AC78)</f>
        <v>0</v>
      </c>
    </row>
    <row r="72" spans="1:29" ht="13.5" customHeight="1">
      <c r="B72" s="97" t="str">
        <f>'Revenues"0"'!B29</f>
        <v>DoN . Odpustene prisl, istina, uhrada od MZSR…</v>
      </c>
      <c r="C72" s="91"/>
      <c r="D72" s="91">
        <f>'Revenues"0"'!C29</f>
        <v>0</v>
      </c>
      <c r="E72" s="91">
        <f>'Revenues"0"'!D29</f>
        <v>24989578.379999999</v>
      </c>
      <c r="F72" s="91">
        <f>'Revenues"0"'!E29</f>
        <v>25036139.579999998</v>
      </c>
      <c r="G72" s="91">
        <f>'Revenues"0"'!F29</f>
        <v>30674751.219999999</v>
      </c>
      <c r="H72" s="91">
        <f>'Revenues"0"'!G29</f>
        <v>0</v>
      </c>
      <c r="I72" s="92">
        <f>'Revenues"0"'!H29</f>
        <v>0</v>
      </c>
      <c r="J72" s="92">
        <f>'Revenues"0"'!I29</f>
        <v>0</v>
      </c>
      <c r="K72" s="92">
        <f>'Revenues"0"'!J29</f>
        <v>0</v>
      </c>
      <c r="L72" s="92">
        <f>'Revenues"0"'!K29</f>
        <v>0</v>
      </c>
      <c r="M72" s="92">
        <f>'Revenues"0"'!L29</f>
        <v>0</v>
      </c>
      <c r="N72" s="92">
        <f>'Revenues"0"'!M29</f>
        <v>0</v>
      </c>
      <c r="O72" s="92">
        <f>'Revenues"0"'!N29</f>
        <v>0</v>
      </c>
      <c r="P72" s="92">
        <f>'Revenues"0"'!O29</f>
        <v>0</v>
      </c>
      <c r="Q72" s="92">
        <f>'Revenues"0"'!P29</f>
        <v>0</v>
      </c>
      <c r="R72" s="92">
        <f>'Revenues"0"'!Q29</f>
        <v>0</v>
      </c>
      <c r="S72" s="92">
        <f>'Revenues"0"'!R29</f>
        <v>0</v>
      </c>
      <c r="T72" s="92">
        <f>'Revenues"0"'!S29</f>
        <v>0</v>
      </c>
      <c r="U72" s="92">
        <f>'Revenues"0"'!T29</f>
        <v>0</v>
      </c>
      <c r="V72" s="92">
        <f>'Revenues"0"'!U29</f>
        <v>0</v>
      </c>
      <c r="W72" s="92">
        <f>'Revenues"0"'!V29</f>
        <v>0</v>
      </c>
      <c r="X72" s="92">
        <f>'Revenues"0"'!W29</f>
        <v>0</v>
      </c>
      <c r="Y72" s="92">
        <f>'Revenues"0"'!X29</f>
        <v>0</v>
      </c>
      <c r="Z72" s="92">
        <f>'Revenues"0"'!Y29</f>
        <v>0</v>
      </c>
      <c r="AA72" s="92">
        <f>'Revenues"0"'!Z29</f>
        <v>0</v>
      </c>
      <c r="AB72" s="92">
        <f>'Revenues"0"'!AA29</f>
        <v>0</v>
      </c>
      <c r="AC72" s="92">
        <f>'Revenues"0"'!AB29</f>
        <v>0</v>
      </c>
    </row>
    <row r="73" spans="1:29" ht="13.5" customHeight="1">
      <c r="B73" s="97" t="str">
        <f>'Revenues"0"'!B32</f>
        <v>Výnosy COVID z bež.trans zo ŠR</v>
      </c>
      <c r="C73" s="91"/>
      <c r="D73" s="91">
        <f>'Revenues"0"'!C32</f>
        <v>0</v>
      </c>
      <c r="E73" s="91">
        <f>'Revenues"0"'!D32</f>
        <v>0</v>
      </c>
      <c r="F73" s="91">
        <f>'Revenues"0"'!E32</f>
        <v>0</v>
      </c>
      <c r="G73" s="91">
        <f>'Revenues"0"'!F32</f>
        <v>3609091.14</v>
      </c>
      <c r="H73" s="91">
        <f>'Revenues"0"'!G32</f>
        <v>21394931.390000001</v>
      </c>
      <c r="I73" s="92">
        <f>'Revenues"0"'!I32</f>
        <v>0</v>
      </c>
      <c r="J73" s="92">
        <f>'Revenues"0"'!J32</f>
        <v>0</v>
      </c>
      <c r="K73" s="92">
        <f>'Revenues"0"'!K32</f>
        <v>0</v>
      </c>
      <c r="L73" s="92">
        <f>'Revenues"0"'!L32</f>
        <v>0</v>
      </c>
      <c r="M73" s="92">
        <f>'Revenues"0"'!M32</f>
        <v>0</v>
      </c>
      <c r="N73" s="92">
        <f>'Revenues"0"'!N32</f>
        <v>0</v>
      </c>
      <c r="O73" s="92">
        <f>'Revenues"0"'!O32</f>
        <v>0</v>
      </c>
      <c r="P73" s="92">
        <f>'Revenues"0"'!P32</f>
        <v>0</v>
      </c>
      <c r="Q73" s="92">
        <f>'Revenues"0"'!Q32</f>
        <v>0</v>
      </c>
      <c r="R73" s="92">
        <f>'Revenues"0"'!R32</f>
        <v>0</v>
      </c>
      <c r="S73" s="92">
        <f>'Revenues"0"'!S32</f>
        <v>0</v>
      </c>
      <c r="T73" s="92">
        <f>'Revenues"0"'!T32</f>
        <v>0</v>
      </c>
      <c r="U73" s="92">
        <f>'Revenues"0"'!U32</f>
        <v>0</v>
      </c>
      <c r="V73" s="92">
        <f>'Revenues"0"'!AC32</f>
        <v>0</v>
      </c>
      <c r="W73" s="92">
        <f>'Revenues"0"'!AD32</f>
        <v>0</v>
      </c>
      <c r="X73" s="92">
        <f>'Revenues"0"'!AE32</f>
        <v>0</v>
      </c>
      <c r="Y73" s="92">
        <f>'Revenues"0"'!AF32</f>
        <v>0</v>
      </c>
      <c r="Z73" s="92">
        <f>'Revenues"0"'!AG32</f>
        <v>0</v>
      </c>
      <c r="AA73" s="92">
        <f>'Revenues"0"'!AH32</f>
        <v>0</v>
      </c>
      <c r="AB73" s="92">
        <f>'Revenues"0"'!AI32</f>
        <v>0</v>
      </c>
      <c r="AC73" s="92">
        <f>'Revenues"0"'!AJ32</f>
        <v>0</v>
      </c>
    </row>
    <row r="74" spans="1:29" ht="13.5" customHeight="1">
      <c r="B74" s="97" t="str">
        <f>'Revenues"0"'!B33</f>
        <v>Výnosy z BT na prevádzku</v>
      </c>
      <c r="C74" s="91"/>
      <c r="D74" s="91">
        <f>'Revenues"0"'!C33</f>
        <v>0</v>
      </c>
      <c r="E74" s="91">
        <f>'Revenues"0"'!D33</f>
        <v>0</v>
      </c>
      <c r="F74" s="91">
        <f>'Revenues"0"'!E33</f>
        <v>0</v>
      </c>
      <c r="G74" s="91">
        <f>'Revenues"0"'!F33</f>
        <v>0</v>
      </c>
      <c r="H74" s="91">
        <f>'Revenues"0"'!G33</f>
        <v>16570501.08</v>
      </c>
      <c r="I74" s="92">
        <f>'Revenues"0"'!I33</f>
        <v>0</v>
      </c>
      <c r="J74" s="92">
        <f>'Revenues"0"'!J33</f>
        <v>0</v>
      </c>
      <c r="K74" s="92">
        <f>'Revenues"0"'!K33</f>
        <v>0</v>
      </c>
      <c r="L74" s="92">
        <f>'Revenues"0"'!L33</f>
        <v>0</v>
      </c>
      <c r="M74" s="92">
        <f>'Revenues"0"'!M33</f>
        <v>0</v>
      </c>
      <c r="N74" s="92">
        <f>'Revenues"0"'!N33</f>
        <v>0</v>
      </c>
      <c r="O74" s="92">
        <f>'Revenues"0"'!O33</f>
        <v>0</v>
      </c>
      <c r="P74" s="92">
        <f>'Revenues"0"'!P33</f>
        <v>0</v>
      </c>
      <c r="Q74" s="92">
        <f>'Revenues"0"'!Q33</f>
        <v>0</v>
      </c>
      <c r="R74" s="92">
        <f>'Revenues"0"'!R33</f>
        <v>0</v>
      </c>
      <c r="S74" s="92">
        <f>'Revenues"0"'!S33</f>
        <v>0</v>
      </c>
      <c r="T74" s="92">
        <f>'Revenues"0"'!T33</f>
        <v>0</v>
      </c>
      <c r="U74" s="92">
        <f>'Revenues"0"'!U33</f>
        <v>0</v>
      </c>
      <c r="V74" s="92">
        <f>'Revenues"0"'!AC33</f>
        <v>0</v>
      </c>
      <c r="W74" s="92">
        <f>'Revenues"0"'!AD33</f>
        <v>0</v>
      </c>
      <c r="X74" s="92">
        <f>'Revenues"0"'!AE33</f>
        <v>0</v>
      </c>
      <c r="Y74" s="92">
        <f>'Revenues"0"'!AF33</f>
        <v>0</v>
      </c>
      <c r="Z74" s="92">
        <f>'Revenues"0"'!AG33</f>
        <v>0</v>
      </c>
      <c r="AA74" s="92">
        <f>'Revenues"0"'!AH33</f>
        <v>0</v>
      </c>
      <c r="AB74" s="92">
        <f>'Revenues"0"'!AI33</f>
        <v>0</v>
      </c>
      <c r="AC74" s="92">
        <f>'Revenues"0"'!AJ33</f>
        <v>0</v>
      </c>
    </row>
    <row r="75" spans="1:29" ht="13.5" customHeight="1">
      <c r="B75" s="97" t="str">
        <f>'Revenues"0"'!B34</f>
        <v>Výnosy z transferov SZM a Lieky</v>
      </c>
      <c r="C75" s="91"/>
      <c r="D75" s="91">
        <f>'Revenues"0"'!C34</f>
        <v>0</v>
      </c>
      <c r="E75" s="91">
        <f>'Revenues"0"'!D34</f>
        <v>0</v>
      </c>
      <c r="F75" s="91">
        <f>'Revenues"0"'!E34</f>
        <v>0</v>
      </c>
      <c r="G75" s="91">
        <f>'Revenues"0"'!F34</f>
        <v>1151394.26</v>
      </c>
      <c r="H75" s="91">
        <f>'Revenues"0"'!G34</f>
        <v>5150864.95</v>
      </c>
      <c r="I75" s="92">
        <f>'Revenues"0"'!I34</f>
        <v>0</v>
      </c>
      <c r="J75" s="92">
        <f>'Revenues"0"'!J34</f>
        <v>0</v>
      </c>
      <c r="K75" s="92">
        <f>'Revenues"0"'!K34</f>
        <v>0</v>
      </c>
      <c r="L75" s="92">
        <f>'Revenues"0"'!L34</f>
        <v>0</v>
      </c>
      <c r="M75" s="92">
        <f>'Revenues"0"'!M34</f>
        <v>0</v>
      </c>
      <c r="N75" s="92">
        <f>'Revenues"0"'!N34</f>
        <v>0</v>
      </c>
      <c r="O75" s="92">
        <f>'Revenues"0"'!O34</f>
        <v>0</v>
      </c>
      <c r="P75" s="92">
        <f>'Revenues"0"'!P34</f>
        <v>0</v>
      </c>
      <c r="Q75" s="92">
        <f>'Revenues"0"'!Q34</f>
        <v>0</v>
      </c>
      <c r="R75" s="92">
        <f>'Revenues"0"'!R34</f>
        <v>0</v>
      </c>
      <c r="S75" s="92">
        <f>'Revenues"0"'!S34</f>
        <v>0</v>
      </c>
      <c r="T75" s="92">
        <f>'Revenues"0"'!T34</f>
        <v>0</v>
      </c>
      <c r="U75" s="92">
        <f>'Revenues"0"'!U34</f>
        <v>0</v>
      </c>
      <c r="V75" s="92">
        <f>'Revenues"0"'!AC34</f>
        <v>0</v>
      </c>
      <c r="W75" s="92">
        <f>'Revenues"0"'!AD34</f>
        <v>0</v>
      </c>
      <c r="X75" s="92">
        <f>'Revenues"0"'!AE34</f>
        <v>0</v>
      </c>
      <c r="Y75" s="92">
        <f>'Revenues"0"'!AF34</f>
        <v>0</v>
      </c>
      <c r="Z75" s="92">
        <f>'Revenues"0"'!AG34</f>
        <v>0</v>
      </c>
      <c r="AA75" s="92">
        <f>'Revenues"0"'!AH34</f>
        <v>0</v>
      </c>
      <c r="AB75" s="92">
        <f>'Revenues"0"'!AI34</f>
        <v>0</v>
      </c>
      <c r="AC75" s="92">
        <f>'Revenues"0"'!AJ34</f>
        <v>0</v>
      </c>
    </row>
    <row r="76" spans="1:29" ht="13.5" customHeight="1">
      <c r="B76" s="97" t="str">
        <f>'Costs"0"'!B48</f>
        <v>?? Bezodplatný prevod zásob</v>
      </c>
      <c r="C76" s="91"/>
      <c r="D76" s="91">
        <f>-('Costs"0"'!C48)</f>
        <v>0</v>
      </c>
      <c r="E76" s="91">
        <f>-('Costs"0"'!D48)</f>
        <v>0</v>
      </c>
      <c r="F76" s="91">
        <f>-('Costs"0"'!E48)</f>
        <v>0</v>
      </c>
      <c r="G76" s="91">
        <f>-('Costs"0"'!F48)</f>
        <v>-371449.38</v>
      </c>
      <c r="H76" s="91">
        <f>-('Costs"0"'!G48)</f>
        <v>-531205.93999999994</v>
      </c>
      <c r="I76" s="92">
        <f>-('Costs"0"'!I48)</f>
        <v>0</v>
      </c>
      <c r="J76" s="92">
        <f>-('Costs"0"'!J48)</f>
        <v>0</v>
      </c>
      <c r="K76" s="92">
        <f>-('Costs"0"'!K48)</f>
        <v>0</v>
      </c>
      <c r="L76" s="92">
        <f>-('Costs"0"'!L48)</f>
        <v>0</v>
      </c>
      <c r="M76" s="92">
        <f>-('Costs"0"'!M48)</f>
        <v>0</v>
      </c>
      <c r="N76" s="92">
        <f>-('Costs"0"'!N48)</f>
        <v>0</v>
      </c>
      <c r="O76" s="92">
        <f>-('Costs"0"'!O48)</f>
        <v>0</v>
      </c>
      <c r="P76" s="92">
        <f>-('Costs"0"'!P48)</f>
        <v>0</v>
      </c>
      <c r="Q76" s="92">
        <f>-('Costs"0"'!Q48)</f>
        <v>0</v>
      </c>
      <c r="R76" s="92">
        <f>-('Costs"0"'!R48)</f>
        <v>0</v>
      </c>
      <c r="S76" s="92">
        <f>-('Costs"0"'!S48)</f>
        <v>0</v>
      </c>
      <c r="T76" s="92">
        <f>-('Costs"0"'!T48)</f>
        <v>0</v>
      </c>
      <c r="U76" s="92">
        <f>-('Costs"0"'!U48)</f>
        <v>0</v>
      </c>
      <c r="V76" s="92">
        <f>-('Costs"0"'!V48)</f>
        <v>0</v>
      </c>
      <c r="W76" s="92">
        <f>-('Costs"0"'!W48)</f>
        <v>0</v>
      </c>
      <c r="X76" s="92">
        <f>-('Costs"0"'!X48)</f>
        <v>0</v>
      </c>
      <c r="Y76" s="92">
        <f>-('Costs"0"'!Y48)</f>
        <v>0</v>
      </c>
      <c r="Z76" s="92">
        <f>-('Costs"0"'!Z48)</f>
        <v>0</v>
      </c>
      <c r="AA76" s="92">
        <f>-('Costs"0"'!AA48)</f>
        <v>0</v>
      </c>
      <c r="AB76" s="92">
        <f>-('Costs"0"'!AB48)</f>
        <v>0</v>
      </c>
      <c r="AC76" s="92">
        <f>-('Costs"0"'!AC48)</f>
        <v>0</v>
      </c>
    </row>
    <row r="77" spans="1:29" ht="13.5" customHeight="1">
      <c r="B77" s="97" t="str">
        <f>'Costs"0"'!B50</f>
        <v>penále a úr. Z omeškania</v>
      </c>
      <c r="C77" s="91"/>
      <c r="D77" s="91">
        <f>-('Costs"0"'!C50-300000)</f>
        <v>100000</v>
      </c>
      <c r="E77" s="91">
        <f>-('Costs"0"'!D50-300000)</f>
        <v>-2134917.29</v>
      </c>
      <c r="F77" s="91">
        <f>-('Costs"0"'!E50-300000)</f>
        <v>-518817.15</v>
      </c>
      <c r="G77" s="91">
        <f>-('Costs"0"'!F50-300000)</f>
        <v>-8540555.5299999993</v>
      </c>
      <c r="H77" s="91">
        <f>-('Costs"0"'!G50-300000)</f>
        <v>-898637.62000000011</v>
      </c>
      <c r="I77" s="92">
        <v>0</v>
      </c>
      <c r="J77" s="92">
        <f>I77</f>
        <v>0</v>
      </c>
      <c r="K77" s="92">
        <f t="shared" ref="K77:R77" si="200">J77</f>
        <v>0</v>
      </c>
      <c r="L77" s="92">
        <f t="shared" si="200"/>
        <v>0</v>
      </c>
      <c r="M77" s="92">
        <f t="shared" si="200"/>
        <v>0</v>
      </c>
      <c r="N77" s="92">
        <f t="shared" si="200"/>
        <v>0</v>
      </c>
      <c r="O77" s="92">
        <f t="shared" si="200"/>
        <v>0</v>
      </c>
      <c r="P77" s="92">
        <f t="shared" si="200"/>
        <v>0</v>
      </c>
      <c r="Q77" s="92">
        <f t="shared" si="200"/>
        <v>0</v>
      </c>
      <c r="R77" s="92">
        <f t="shared" si="200"/>
        <v>0</v>
      </c>
      <c r="S77" s="92">
        <f t="shared" ref="S77:V77" si="201">R77</f>
        <v>0</v>
      </c>
      <c r="T77" s="92">
        <f t="shared" si="201"/>
        <v>0</v>
      </c>
      <c r="U77" s="92">
        <f t="shared" si="201"/>
        <v>0</v>
      </c>
      <c r="V77" s="92">
        <f t="shared" si="201"/>
        <v>0</v>
      </c>
      <c r="W77" s="92">
        <f t="shared" ref="W77" si="202">V77</f>
        <v>0</v>
      </c>
      <c r="X77" s="92">
        <f t="shared" ref="X77:AC77" si="203">W77</f>
        <v>0</v>
      </c>
      <c r="Y77" s="92">
        <f t="shared" si="203"/>
        <v>0</v>
      </c>
      <c r="Z77" s="92">
        <f t="shared" si="203"/>
        <v>0</v>
      </c>
      <c r="AA77" s="92">
        <f t="shared" si="203"/>
        <v>0</v>
      </c>
      <c r="AB77" s="92">
        <f t="shared" si="203"/>
        <v>0</v>
      </c>
      <c r="AC77" s="92">
        <f t="shared" si="203"/>
        <v>0</v>
      </c>
    </row>
    <row r="78" spans="1:29" ht="13.5" customHeight="1">
      <c r="B78" s="721" t="str">
        <f>'Costs"0"'!B53</f>
        <v>Tvorba ost. Rezerv</v>
      </c>
      <c r="C78" s="719"/>
      <c r="D78" s="719">
        <f>-('Costs"0"'!C53-500000)</f>
        <v>-568922.93999999994</v>
      </c>
      <c r="E78" s="719">
        <f>-('Costs"0"'!D53-500000)</f>
        <v>-2205700</v>
      </c>
      <c r="F78" s="719">
        <f>-('Costs"0"'!E53-500000)</f>
        <v>-2672286.9700000002</v>
      </c>
      <c r="G78" s="719">
        <f>-('Costs"0"'!F53-500000)</f>
        <v>-16917202.969999999</v>
      </c>
      <c r="H78" s="719">
        <f>-('Costs"0"'!G53-500000)</f>
        <v>-9833139</v>
      </c>
      <c r="I78" s="720">
        <v>0</v>
      </c>
      <c r="J78" s="720">
        <f>I78</f>
        <v>0</v>
      </c>
      <c r="K78" s="720">
        <f t="shared" ref="K78:R78" si="204">J78</f>
        <v>0</v>
      </c>
      <c r="L78" s="720">
        <f t="shared" si="204"/>
        <v>0</v>
      </c>
      <c r="M78" s="720">
        <f t="shared" si="204"/>
        <v>0</v>
      </c>
      <c r="N78" s="720">
        <f t="shared" si="204"/>
        <v>0</v>
      </c>
      <c r="O78" s="720">
        <f t="shared" si="204"/>
        <v>0</v>
      </c>
      <c r="P78" s="720">
        <f t="shared" si="204"/>
        <v>0</v>
      </c>
      <c r="Q78" s="720">
        <f t="shared" si="204"/>
        <v>0</v>
      </c>
      <c r="R78" s="720">
        <f t="shared" si="204"/>
        <v>0</v>
      </c>
      <c r="S78" s="720">
        <f t="shared" ref="S78:V78" si="205">R78</f>
        <v>0</v>
      </c>
      <c r="T78" s="720">
        <f t="shared" si="205"/>
        <v>0</v>
      </c>
      <c r="U78" s="720">
        <f t="shared" si="205"/>
        <v>0</v>
      </c>
      <c r="V78" s="720">
        <f t="shared" si="205"/>
        <v>0</v>
      </c>
      <c r="W78" s="720">
        <f t="shared" ref="W78" si="206">V78</f>
        <v>0</v>
      </c>
      <c r="X78" s="720">
        <f t="shared" ref="X78:AC78" si="207">W78</f>
        <v>0</v>
      </c>
      <c r="Y78" s="720">
        <f t="shared" si="207"/>
        <v>0</v>
      </c>
      <c r="Z78" s="720">
        <f t="shared" si="207"/>
        <v>0</v>
      </c>
      <c r="AA78" s="720">
        <f t="shared" si="207"/>
        <v>0</v>
      </c>
      <c r="AB78" s="720">
        <f t="shared" si="207"/>
        <v>0</v>
      </c>
      <c r="AC78" s="720">
        <f t="shared" si="207"/>
        <v>0</v>
      </c>
    </row>
    <row r="79" spans="1:29">
      <c r="B79" s="722"/>
    </row>
    <row r="80" spans="1:29">
      <c r="D80" s="137"/>
    </row>
    <row r="81" spans="4:4">
      <c r="D81" s="137"/>
    </row>
    <row r="82" spans="4:4">
      <c r="D82" s="137"/>
    </row>
    <row r="83" spans="4:4">
      <c r="D83" s="137"/>
    </row>
    <row r="84" spans="4:4">
      <c r="D84" s="137"/>
    </row>
    <row r="85" spans="4:4">
      <c r="D85" s="137"/>
    </row>
    <row r="86" spans="4:4">
      <c r="D86" s="137"/>
    </row>
  </sheetData>
  <pageMargins left="0.70866141732283505" right="0.70866141732283505" top="0.74803149606299202" bottom="0.74803149606299202" header="0.31496062992126" footer="0.31496062992126"/>
  <pageSetup paperSize="9" scale="41" orientation="portrait" r:id="rId1"/>
  <headerFooter>
    <oddHeader>&amp;C&amp;F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EAD5"/>
    <outlinePr summaryBelow="0"/>
    <pageSetUpPr autoPageBreaks="0"/>
  </sheetPr>
  <dimension ref="A1:JI1088"/>
  <sheetViews>
    <sheetView topLeftCell="B53" workbookViewId="0">
      <selection activeCell="J75" sqref="J75"/>
    </sheetView>
  </sheetViews>
  <sheetFormatPr baseColWidth="10" defaultColWidth="9.1640625" defaultRowHeight="12"/>
  <cols>
    <col min="1" max="1" width="2.5" style="5" customWidth="1"/>
    <col min="2" max="2" width="45.33203125" style="4" customWidth="1"/>
    <col min="3" max="8" width="12.83203125" style="178" customWidth="1"/>
    <col min="9" max="29" width="12.83203125" style="4" customWidth="1"/>
    <col min="30" max="30" width="9.1640625" style="2"/>
    <col min="31" max="269" width="9.1640625" style="4"/>
    <col min="270" max="16384" width="9.1640625" style="2"/>
  </cols>
  <sheetData>
    <row r="1" spans="1:30" ht="12" customHeight="1">
      <c r="A1" s="178"/>
      <c r="B1" s="178"/>
      <c r="AD1" s="4"/>
    </row>
    <row r="2" spans="1:30" ht="12" customHeight="1">
      <c r="B2" s="179" t="s">
        <v>1</v>
      </c>
      <c r="E2" s="92"/>
      <c r="F2" s="92"/>
      <c r="G2" s="92"/>
      <c r="H2" s="92"/>
      <c r="I2" s="92"/>
      <c r="J2" s="92"/>
      <c r="K2" s="92"/>
      <c r="L2" s="92"/>
      <c r="AD2" s="4"/>
    </row>
    <row r="3" spans="1:30" ht="15" thickBot="1">
      <c r="B3" s="81" t="s">
        <v>66</v>
      </c>
      <c r="C3" s="180"/>
      <c r="D3" s="180"/>
      <c r="E3" s="180"/>
      <c r="F3" s="180"/>
      <c r="G3" s="180"/>
      <c r="H3" s="180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4"/>
    </row>
    <row r="4" spans="1:30" ht="12" customHeight="1">
      <c r="B4" s="84"/>
      <c r="AD4" s="4"/>
    </row>
    <row r="5" spans="1:30" ht="13.5" customHeight="1" thickBot="1">
      <c r="A5" s="181" t="s">
        <v>67</v>
      </c>
      <c r="B5" s="85" t="s">
        <v>68</v>
      </c>
      <c r="C5" s="182">
        <v>42735</v>
      </c>
      <c r="D5" s="182">
        <v>43100</v>
      </c>
      <c r="E5" s="182">
        <v>43465</v>
      </c>
      <c r="F5" s="182">
        <f>EOMONTH(E5,12)</f>
        <v>43830</v>
      </c>
      <c r="G5" s="182">
        <f t="shared" ref="G5:R5" si="0">EOMONTH(F5,12)</f>
        <v>44196</v>
      </c>
      <c r="H5" s="182">
        <f t="shared" si="0"/>
        <v>44561</v>
      </c>
      <c r="I5" s="87">
        <f t="shared" si="0"/>
        <v>44926</v>
      </c>
      <c r="J5" s="87">
        <f t="shared" si="0"/>
        <v>45291</v>
      </c>
      <c r="K5" s="87">
        <f t="shared" si="0"/>
        <v>45657</v>
      </c>
      <c r="L5" s="87">
        <f t="shared" si="0"/>
        <v>46022</v>
      </c>
      <c r="M5" s="87">
        <f t="shared" si="0"/>
        <v>46387</v>
      </c>
      <c r="N5" s="87">
        <f t="shared" si="0"/>
        <v>46752</v>
      </c>
      <c r="O5" s="87">
        <f t="shared" si="0"/>
        <v>47118</v>
      </c>
      <c r="P5" s="87">
        <f t="shared" si="0"/>
        <v>47483</v>
      </c>
      <c r="Q5" s="87">
        <f t="shared" si="0"/>
        <v>47848</v>
      </c>
      <c r="R5" s="87">
        <f t="shared" si="0"/>
        <v>48213</v>
      </c>
      <c r="S5" s="87">
        <f t="shared" ref="S5" si="1">EOMONTH(R5,12)</f>
        <v>48579</v>
      </c>
      <c r="T5" s="87">
        <f t="shared" ref="T5" si="2">EOMONTH(S5,12)</f>
        <v>48944</v>
      </c>
      <c r="U5" s="87">
        <f t="shared" ref="U5" si="3">EOMONTH(T5,12)</f>
        <v>49309</v>
      </c>
      <c r="V5" s="87">
        <f t="shared" ref="V5" si="4">EOMONTH(U5,12)</f>
        <v>49674</v>
      </c>
      <c r="W5" s="87">
        <f t="shared" ref="W5" si="5">EOMONTH(V5,12)</f>
        <v>50040</v>
      </c>
      <c r="X5" s="87">
        <f t="shared" ref="X5" si="6">EOMONTH(W5,12)</f>
        <v>50405</v>
      </c>
      <c r="Y5" s="87">
        <f t="shared" ref="Y5" si="7">EOMONTH(X5,12)</f>
        <v>50770</v>
      </c>
      <c r="Z5" s="87">
        <f t="shared" ref="Z5" si="8">EOMONTH(Y5,12)</f>
        <v>51135</v>
      </c>
      <c r="AA5" s="87">
        <f t="shared" ref="AA5" si="9">EOMONTH(Z5,12)</f>
        <v>51501</v>
      </c>
      <c r="AB5" s="87">
        <f t="shared" ref="AB5" si="10">EOMONTH(AA5,12)</f>
        <v>51866</v>
      </c>
      <c r="AC5" s="87">
        <f t="shared" ref="AC5" si="11">EOMONTH(AB5,12)</f>
        <v>52231</v>
      </c>
      <c r="AD5" s="4"/>
    </row>
    <row r="6" spans="1:30" ht="13.5" customHeight="1">
      <c r="A6" s="5">
        <v>1</v>
      </c>
      <c r="B6" s="123" t="s">
        <v>69</v>
      </c>
      <c r="C6" s="183">
        <f t="shared" ref="C6" si="12">+C7+C22+C42</f>
        <v>75239391.570000008</v>
      </c>
      <c r="D6" s="183">
        <f t="shared" ref="D6:H6" si="13">+D7+D22+D42</f>
        <v>74921159.650000006</v>
      </c>
      <c r="E6" s="183">
        <f t="shared" si="13"/>
        <v>74249383.920000002</v>
      </c>
      <c r="F6" s="183">
        <f t="shared" si="13"/>
        <v>86997527.140000001</v>
      </c>
      <c r="G6" s="183">
        <f t="shared" si="13"/>
        <v>95898522.269999996</v>
      </c>
      <c r="H6" s="183">
        <f t="shared" si="13"/>
        <v>121680363.77000003</v>
      </c>
      <c r="I6" s="184">
        <f t="shared" ref="I6:M6" si="14">+I7+I22+I42</f>
        <v>130376230.48368527</v>
      </c>
      <c r="J6" s="184">
        <f t="shared" si="14"/>
        <v>145888989.59745035</v>
      </c>
      <c r="K6" s="184">
        <f t="shared" si="14"/>
        <v>159354394.13421336</v>
      </c>
      <c r="L6" s="184">
        <f t="shared" si="14"/>
        <v>170469483.89954904</v>
      </c>
      <c r="M6" s="184">
        <f t="shared" si="14"/>
        <v>179419650.28222868</v>
      </c>
      <c r="N6" s="184">
        <f t="shared" ref="N6:R6" si="15">+N7+N22+N42</f>
        <v>184238263.23133537</v>
      </c>
      <c r="O6" s="184">
        <f t="shared" si="15"/>
        <v>186307260.67592922</v>
      </c>
      <c r="P6" s="184">
        <f t="shared" si="15"/>
        <v>186932584.28395051</v>
      </c>
      <c r="Q6" s="184">
        <f t="shared" si="15"/>
        <v>188012330.183871</v>
      </c>
      <c r="R6" s="184">
        <f t="shared" si="15"/>
        <v>190944828.76207289</v>
      </c>
      <c r="S6" s="184">
        <f t="shared" ref="S6" si="16">+S7+S22+S42</f>
        <v>193760297.23011854</v>
      </c>
      <c r="T6" s="184">
        <f t="shared" ref="T6:V6" si="17">+T7+T22+T42</f>
        <v>196403850.94843838</v>
      </c>
      <c r="U6" s="184">
        <f t="shared" si="17"/>
        <v>198834693.24825233</v>
      </c>
      <c r="V6" s="184">
        <f t="shared" si="17"/>
        <v>200960213.91461641</v>
      </c>
      <c r="W6" s="184">
        <f t="shared" ref="W6:AC6" si="18">+W7+W22+W42</f>
        <v>124236070.86411141</v>
      </c>
      <c r="X6" s="184">
        <f t="shared" si="18"/>
        <v>46422418.205573924</v>
      </c>
      <c r="Y6" s="184">
        <f t="shared" si="18"/>
        <v>-31878904.766083974</v>
      </c>
      <c r="Z6" s="184">
        <f t="shared" si="18"/>
        <v>-110385251.27378838</v>
      </c>
      <c r="AA6" s="184">
        <f t="shared" si="18"/>
        <v>-190048912.24958414</v>
      </c>
      <c r="AB6" s="184">
        <f t="shared" si="18"/>
        <v>-270893422.15979421</v>
      </c>
      <c r="AC6" s="184">
        <f t="shared" si="18"/>
        <v>-352942797.96810567</v>
      </c>
      <c r="AD6" s="4"/>
    </row>
    <row r="7" spans="1:30" ht="13.5" customHeight="1">
      <c r="A7" s="5">
        <v>1</v>
      </c>
      <c r="B7" s="100" t="s">
        <v>70</v>
      </c>
      <c r="C7" s="185">
        <f t="shared" ref="C7" si="19">+C8+C13+C18</f>
        <v>57390034.420000002</v>
      </c>
      <c r="D7" s="185">
        <f t="shared" ref="D7:H7" si="20">+D8+D13+D18</f>
        <v>55328487.450000003</v>
      </c>
      <c r="E7" s="185">
        <f t="shared" si="20"/>
        <v>53715116.350000001</v>
      </c>
      <c r="F7" s="185">
        <f t="shared" si="20"/>
        <v>59485300.060000002</v>
      </c>
      <c r="G7" s="185">
        <f t="shared" si="20"/>
        <v>63683525.329999998</v>
      </c>
      <c r="H7" s="185">
        <f t="shared" si="20"/>
        <v>62556218.160000019</v>
      </c>
      <c r="I7" s="102">
        <f t="shared" ref="I7:M7" si="21">+I8+I13+I18</f>
        <v>69798322.4525951</v>
      </c>
      <c r="J7" s="102">
        <f t="shared" si="21"/>
        <v>85594794.220069706</v>
      </c>
      <c r="K7" s="102">
        <f t="shared" si="21"/>
        <v>99033103.838014901</v>
      </c>
      <c r="L7" s="102">
        <f t="shared" si="21"/>
        <v>110115340.72850728</v>
      </c>
      <c r="M7" s="102">
        <f t="shared" si="21"/>
        <v>118921298.80046681</v>
      </c>
      <c r="N7" s="102">
        <f t="shared" ref="N7:R7" si="22">+N8+N13+N18</f>
        <v>124655168.18212624</v>
      </c>
      <c r="O7" s="102">
        <f t="shared" si="22"/>
        <v>127496292.83163714</v>
      </c>
      <c r="P7" s="102">
        <f t="shared" si="22"/>
        <v>128495238.17587832</v>
      </c>
      <c r="Q7" s="102">
        <f t="shared" si="22"/>
        <v>129559514.74847452</v>
      </c>
      <c r="R7" s="102">
        <f t="shared" si="22"/>
        <v>132491547.77239233</v>
      </c>
      <c r="S7" s="102">
        <f t="shared" ref="S7" si="23">+S8+S13+S18</f>
        <v>135299715.64907703</v>
      </c>
      <c r="T7" s="102">
        <f t="shared" ref="T7:V7" si="24">+T8+T13+T18</f>
        <v>137946946.22205374</v>
      </c>
      <c r="U7" s="102">
        <f t="shared" si="24"/>
        <v>140402254.39620814</v>
      </c>
      <c r="V7" s="102">
        <f t="shared" si="24"/>
        <v>142568503.66209453</v>
      </c>
      <c r="W7" s="102">
        <f t="shared" ref="W7:AC7" si="25">+W8+W13+W18</f>
        <v>144356572.96774894</v>
      </c>
      <c r="X7" s="102">
        <f t="shared" si="25"/>
        <v>145758898.71396673</v>
      </c>
      <c r="Y7" s="102">
        <f t="shared" si="25"/>
        <v>147391749.96955907</v>
      </c>
      <c r="Z7" s="102">
        <f t="shared" si="25"/>
        <v>149552502.84591359</v>
      </c>
      <c r="AA7" s="102">
        <f t="shared" si="25"/>
        <v>151303901.57104543</v>
      </c>
      <c r="AB7" s="102">
        <f t="shared" si="25"/>
        <v>152637759.06193021</v>
      </c>
      <c r="AC7" s="102">
        <f t="shared" si="25"/>
        <v>153545724.49388295</v>
      </c>
      <c r="AD7" s="4"/>
    </row>
    <row r="8" spans="1:30" ht="13.5" customHeight="1">
      <c r="A8" s="5">
        <v>1</v>
      </c>
      <c r="B8" s="103" t="s">
        <v>71</v>
      </c>
      <c r="C8" s="186">
        <f t="shared" ref="C8" si="26">SUM(C9:C12)</f>
        <v>83726.84</v>
      </c>
      <c r="D8" s="186">
        <f t="shared" ref="D8" si="27">SUM(D9:D12)</f>
        <v>79223.570000000007</v>
      </c>
      <c r="E8" s="186">
        <f t="shared" ref="E8" si="28">SUM(E9:E12)</f>
        <v>78568.67</v>
      </c>
      <c r="F8" s="186">
        <f t="shared" ref="F8" si="29">SUM(F9:F12)</f>
        <v>43018.86</v>
      </c>
      <c r="G8" s="186">
        <f t="shared" ref="G8" si="30">SUM(G9:G12)</f>
        <v>24957.48</v>
      </c>
      <c r="H8" s="186">
        <f t="shared" ref="H8" si="31">SUM(H9:H12)</f>
        <v>152223.32000000007</v>
      </c>
      <c r="I8" s="129">
        <f t="shared" ref="I8:R8" si="32">SUM(I9:I12)</f>
        <v>152223.32000000007</v>
      </c>
      <c r="J8" s="129">
        <f t="shared" si="32"/>
        <v>152223.32000000007</v>
      </c>
      <c r="K8" s="129">
        <f t="shared" si="32"/>
        <v>152223.32000000007</v>
      </c>
      <c r="L8" s="129">
        <f t="shared" si="32"/>
        <v>152223.32000000007</v>
      </c>
      <c r="M8" s="129">
        <f t="shared" si="32"/>
        <v>152223.32000000007</v>
      </c>
      <c r="N8" s="129">
        <f t="shared" si="32"/>
        <v>152223.32000000007</v>
      </c>
      <c r="O8" s="129">
        <f t="shared" si="32"/>
        <v>152223.32000000007</v>
      </c>
      <c r="P8" s="129">
        <f t="shared" si="32"/>
        <v>152223.32000000007</v>
      </c>
      <c r="Q8" s="129">
        <f t="shared" si="32"/>
        <v>152223.32000000007</v>
      </c>
      <c r="R8" s="129">
        <f t="shared" si="32"/>
        <v>152223.32000000007</v>
      </c>
      <c r="S8" s="129">
        <f t="shared" ref="S8" si="33">SUM(S9:S12)</f>
        <v>152223.32000000007</v>
      </c>
      <c r="T8" s="129">
        <f t="shared" ref="T8:V8" si="34">SUM(T9:T12)</f>
        <v>152223.32000000007</v>
      </c>
      <c r="U8" s="129">
        <f t="shared" si="34"/>
        <v>152223.32000000007</v>
      </c>
      <c r="V8" s="129">
        <f t="shared" si="34"/>
        <v>152223.32000000007</v>
      </c>
      <c r="W8" s="129">
        <f t="shared" ref="W8:AC8" si="35">SUM(W9:W12)</f>
        <v>152223.32000000007</v>
      </c>
      <c r="X8" s="129">
        <f t="shared" si="35"/>
        <v>152223.32000000007</v>
      </c>
      <c r="Y8" s="129">
        <f t="shared" si="35"/>
        <v>152223.32000000007</v>
      </c>
      <c r="Z8" s="129">
        <f t="shared" si="35"/>
        <v>152223.32000000007</v>
      </c>
      <c r="AA8" s="129">
        <f t="shared" si="35"/>
        <v>152223.32000000007</v>
      </c>
      <c r="AB8" s="129">
        <f t="shared" si="35"/>
        <v>152223.32000000007</v>
      </c>
      <c r="AC8" s="129">
        <f t="shared" si="35"/>
        <v>152223.32000000007</v>
      </c>
      <c r="AD8" s="4"/>
    </row>
    <row r="9" spans="1:30" ht="13.5" customHeight="1">
      <c r="A9" s="5">
        <v>2</v>
      </c>
      <c r="B9" s="97" t="s">
        <v>72</v>
      </c>
      <c r="C9" s="187">
        <f>BS_Data!E77</f>
        <v>83726.84</v>
      </c>
      <c r="D9" s="187">
        <f>BS_Data!F77</f>
        <v>79223.570000000007</v>
      </c>
      <c r="E9" s="187">
        <f>BS_Data!G77</f>
        <v>68612.27</v>
      </c>
      <c r="F9" s="187">
        <f>BS_Data!H77</f>
        <v>43018.86</v>
      </c>
      <c r="G9" s="187">
        <f>BS_Data!I77</f>
        <v>24957.48</v>
      </c>
      <c r="H9" s="187">
        <f>BS_Data!J77</f>
        <v>25418.430000000051</v>
      </c>
      <c r="I9" s="92">
        <f>H9</f>
        <v>25418.430000000051</v>
      </c>
      <c r="J9" s="92">
        <f t="shared" ref="J9:V9" si="36">I9</f>
        <v>25418.430000000051</v>
      </c>
      <c r="K9" s="92">
        <f t="shared" si="36"/>
        <v>25418.430000000051</v>
      </c>
      <c r="L9" s="92">
        <f t="shared" si="36"/>
        <v>25418.430000000051</v>
      </c>
      <c r="M9" s="92">
        <f t="shared" si="36"/>
        <v>25418.430000000051</v>
      </c>
      <c r="N9" s="92">
        <f t="shared" si="36"/>
        <v>25418.430000000051</v>
      </c>
      <c r="O9" s="92">
        <f t="shared" si="36"/>
        <v>25418.430000000051</v>
      </c>
      <c r="P9" s="92">
        <f t="shared" si="36"/>
        <v>25418.430000000051</v>
      </c>
      <c r="Q9" s="92">
        <f t="shared" si="36"/>
        <v>25418.430000000051</v>
      </c>
      <c r="R9" s="92">
        <f t="shared" si="36"/>
        <v>25418.430000000051</v>
      </c>
      <c r="S9" s="92">
        <f t="shared" si="36"/>
        <v>25418.430000000051</v>
      </c>
      <c r="T9" s="92">
        <f t="shared" si="36"/>
        <v>25418.430000000051</v>
      </c>
      <c r="U9" s="92">
        <f t="shared" si="36"/>
        <v>25418.430000000051</v>
      </c>
      <c r="V9" s="92">
        <f t="shared" si="36"/>
        <v>25418.430000000051</v>
      </c>
      <c r="W9" s="92">
        <f t="shared" ref="W9:AC9" si="37">V9</f>
        <v>25418.430000000051</v>
      </c>
      <c r="X9" s="92">
        <f t="shared" si="37"/>
        <v>25418.430000000051</v>
      </c>
      <c r="Y9" s="92">
        <f t="shared" si="37"/>
        <v>25418.430000000051</v>
      </c>
      <c r="Z9" s="92">
        <f t="shared" si="37"/>
        <v>25418.430000000051</v>
      </c>
      <c r="AA9" s="92">
        <f t="shared" si="37"/>
        <v>25418.430000000051</v>
      </c>
      <c r="AB9" s="92">
        <f t="shared" si="37"/>
        <v>25418.430000000051</v>
      </c>
      <c r="AC9" s="92">
        <f t="shared" si="37"/>
        <v>25418.430000000051</v>
      </c>
      <c r="AD9" s="7">
        <v>0</v>
      </c>
    </row>
    <row r="10" spans="1:30" ht="13.5" customHeight="1">
      <c r="A10" s="5">
        <v>2</v>
      </c>
      <c r="B10" s="97" t="s">
        <v>73</v>
      </c>
      <c r="C10" s="187"/>
      <c r="D10" s="187"/>
      <c r="E10" s="187"/>
      <c r="F10" s="187"/>
      <c r="G10" s="187"/>
      <c r="H10" s="187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7">
        <v>0</v>
      </c>
    </row>
    <row r="11" spans="1:30" ht="13.5" customHeight="1">
      <c r="A11" s="5">
        <v>2</v>
      </c>
      <c r="B11" s="97" t="s">
        <v>74</v>
      </c>
      <c r="C11" s="187"/>
      <c r="D11" s="187"/>
      <c r="E11" s="187"/>
      <c r="F11" s="187"/>
      <c r="G11" s="187"/>
      <c r="H11" s="187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7">
        <v>0</v>
      </c>
    </row>
    <row r="12" spans="1:30" ht="13.5" customHeight="1">
      <c r="A12" s="5">
        <v>2</v>
      </c>
      <c r="B12" s="97" t="s">
        <v>75</v>
      </c>
      <c r="C12" s="187">
        <f>BS_Data!E75-C9</f>
        <v>0</v>
      </c>
      <c r="D12" s="187">
        <f>BS_Data!F75-D9</f>
        <v>0</v>
      </c>
      <c r="E12" s="187">
        <f>BS_Data!G75-E9</f>
        <v>9956.3999999999942</v>
      </c>
      <c r="F12" s="187">
        <f>BS_Data!H75-F9</f>
        <v>0</v>
      </c>
      <c r="G12" s="187">
        <f>BS_Data!I75-G9</f>
        <v>0</v>
      </c>
      <c r="H12" s="187">
        <f>BS_Data!J75-H9</f>
        <v>126804.89000000001</v>
      </c>
      <c r="I12" s="92">
        <f>H12</f>
        <v>126804.89000000001</v>
      </c>
      <c r="J12" s="92">
        <f t="shared" ref="J12:V12" si="38">I12</f>
        <v>126804.89000000001</v>
      </c>
      <c r="K12" s="92">
        <f t="shared" si="38"/>
        <v>126804.89000000001</v>
      </c>
      <c r="L12" s="92">
        <f t="shared" si="38"/>
        <v>126804.89000000001</v>
      </c>
      <c r="M12" s="92">
        <f t="shared" si="38"/>
        <v>126804.89000000001</v>
      </c>
      <c r="N12" s="92">
        <f t="shared" si="38"/>
        <v>126804.89000000001</v>
      </c>
      <c r="O12" s="92">
        <f t="shared" si="38"/>
        <v>126804.89000000001</v>
      </c>
      <c r="P12" s="92">
        <f t="shared" si="38"/>
        <v>126804.89000000001</v>
      </c>
      <c r="Q12" s="92">
        <f t="shared" si="38"/>
        <v>126804.89000000001</v>
      </c>
      <c r="R12" s="92">
        <f t="shared" si="38"/>
        <v>126804.89000000001</v>
      </c>
      <c r="S12" s="92">
        <f t="shared" si="38"/>
        <v>126804.89000000001</v>
      </c>
      <c r="T12" s="92">
        <f t="shared" si="38"/>
        <v>126804.89000000001</v>
      </c>
      <c r="U12" s="92">
        <f t="shared" si="38"/>
        <v>126804.89000000001</v>
      </c>
      <c r="V12" s="92">
        <f t="shared" si="38"/>
        <v>126804.89000000001</v>
      </c>
      <c r="W12" s="92">
        <f t="shared" ref="W12:AC12" si="39">V12</f>
        <v>126804.89000000001</v>
      </c>
      <c r="X12" s="92">
        <f t="shared" si="39"/>
        <v>126804.89000000001</v>
      </c>
      <c r="Y12" s="92">
        <f t="shared" si="39"/>
        <v>126804.89000000001</v>
      </c>
      <c r="Z12" s="92">
        <f t="shared" si="39"/>
        <v>126804.89000000001</v>
      </c>
      <c r="AA12" s="92">
        <f t="shared" si="39"/>
        <v>126804.89000000001</v>
      </c>
      <c r="AB12" s="92">
        <f t="shared" si="39"/>
        <v>126804.89000000001</v>
      </c>
      <c r="AC12" s="92">
        <f t="shared" si="39"/>
        <v>126804.89000000001</v>
      </c>
      <c r="AD12" s="7">
        <v>0</v>
      </c>
    </row>
    <row r="13" spans="1:30" ht="13.5" customHeight="1">
      <c r="A13" s="5">
        <v>1</v>
      </c>
      <c r="B13" s="93" t="s">
        <v>76</v>
      </c>
      <c r="C13" s="188">
        <f t="shared" ref="C13" si="40">+C14+C15+C16+C17</f>
        <v>57306307.579999998</v>
      </c>
      <c r="D13" s="188">
        <f t="shared" ref="D13:H13" si="41">+D14+D15+D16+D17</f>
        <v>55249263.880000003</v>
      </c>
      <c r="E13" s="188">
        <f t="shared" si="41"/>
        <v>53636547.68</v>
      </c>
      <c r="F13" s="188">
        <f t="shared" si="41"/>
        <v>59442281.200000003</v>
      </c>
      <c r="G13" s="188">
        <f t="shared" si="41"/>
        <v>63658567.850000001</v>
      </c>
      <c r="H13" s="188">
        <f t="shared" si="41"/>
        <v>62403994.840000018</v>
      </c>
      <c r="I13" s="95">
        <f>SUM(I14:I17)</f>
        <v>69646099.132595107</v>
      </c>
      <c r="J13" s="95">
        <f t="shared" ref="J13:V13" si="42">SUM(J14:J17)</f>
        <v>85442570.900069714</v>
      </c>
      <c r="K13" s="95">
        <f t="shared" si="42"/>
        <v>98880880.518014908</v>
      </c>
      <c r="L13" s="95">
        <f t="shared" si="42"/>
        <v>109963117.40850729</v>
      </c>
      <c r="M13" s="95">
        <f t="shared" si="42"/>
        <v>118769075.48046681</v>
      </c>
      <c r="N13" s="95">
        <f t="shared" si="42"/>
        <v>124502944.86212625</v>
      </c>
      <c r="O13" s="95">
        <f t="shared" si="42"/>
        <v>127344069.51163715</v>
      </c>
      <c r="P13" s="95">
        <f t="shared" si="42"/>
        <v>128343014.85587832</v>
      </c>
      <c r="Q13" s="95">
        <f t="shared" si="42"/>
        <v>129407291.42847453</v>
      </c>
      <c r="R13" s="95">
        <f t="shared" si="42"/>
        <v>132339324.45239234</v>
      </c>
      <c r="S13" s="95">
        <f t="shared" si="42"/>
        <v>135147492.32907704</v>
      </c>
      <c r="T13" s="95">
        <f t="shared" si="42"/>
        <v>137794722.90205374</v>
      </c>
      <c r="U13" s="95">
        <f t="shared" si="42"/>
        <v>140250031.07620814</v>
      </c>
      <c r="V13" s="95">
        <f t="shared" si="42"/>
        <v>142416280.34209454</v>
      </c>
      <c r="W13" s="95">
        <f t="shared" ref="W13" si="43">SUM(W14:W17)</f>
        <v>144204349.64774895</v>
      </c>
      <c r="X13" s="95">
        <f t="shared" ref="X13" si="44">SUM(X14:X17)</f>
        <v>145606675.39396673</v>
      </c>
      <c r="Y13" s="95">
        <f t="shared" ref="Y13" si="45">SUM(Y14:Y17)</f>
        <v>147239526.64955908</v>
      </c>
      <c r="Z13" s="95">
        <f t="shared" ref="Z13" si="46">SUM(Z14:Z17)</f>
        <v>149400279.5259136</v>
      </c>
      <c r="AA13" s="95">
        <f t="shared" ref="AA13" si="47">SUM(AA14:AA17)</f>
        <v>151151678.25104544</v>
      </c>
      <c r="AB13" s="95">
        <f t="shared" ref="AB13" si="48">SUM(AB14:AB17)</f>
        <v>152485535.74193022</v>
      </c>
      <c r="AC13" s="95">
        <f t="shared" ref="AC13" si="49">SUM(AC14:AC17)</f>
        <v>153393501.17388296</v>
      </c>
      <c r="AD13" s="7">
        <v>0.6</v>
      </c>
    </row>
    <row r="14" spans="1:30" ht="13.5" customHeight="1">
      <c r="A14" s="5">
        <v>2</v>
      </c>
      <c r="B14" s="97" t="s">
        <v>77</v>
      </c>
      <c r="C14" s="187">
        <f>BS_Data!E84</f>
        <v>11593847.279999999</v>
      </c>
      <c r="D14" s="187">
        <f>BS_Data!F84</f>
        <v>11593847.279999999</v>
      </c>
      <c r="E14" s="187">
        <f>BS_Data!G84</f>
        <v>11593847.279999999</v>
      </c>
      <c r="F14" s="187">
        <f>BS_Data!H84</f>
        <v>11537699.5</v>
      </c>
      <c r="G14" s="187">
        <f>BS_Data!I84</f>
        <v>11533073.6</v>
      </c>
      <c r="H14" s="187">
        <f>BS_Data!J84</f>
        <v>11533073.6</v>
      </c>
      <c r="I14" s="92">
        <f>H14</f>
        <v>11533073.6</v>
      </c>
      <c r="J14" s="92">
        <f t="shared" ref="J14:V14" si="50">I14</f>
        <v>11533073.6</v>
      </c>
      <c r="K14" s="92">
        <f t="shared" si="50"/>
        <v>11533073.6</v>
      </c>
      <c r="L14" s="92">
        <f t="shared" si="50"/>
        <v>11533073.6</v>
      </c>
      <c r="M14" s="92">
        <f t="shared" si="50"/>
        <v>11533073.6</v>
      </c>
      <c r="N14" s="92">
        <f t="shared" si="50"/>
        <v>11533073.6</v>
      </c>
      <c r="O14" s="92">
        <f t="shared" si="50"/>
        <v>11533073.6</v>
      </c>
      <c r="P14" s="92">
        <f t="shared" si="50"/>
        <v>11533073.6</v>
      </c>
      <c r="Q14" s="92">
        <f t="shared" si="50"/>
        <v>11533073.6</v>
      </c>
      <c r="R14" s="92">
        <f t="shared" si="50"/>
        <v>11533073.6</v>
      </c>
      <c r="S14" s="92">
        <f t="shared" si="50"/>
        <v>11533073.6</v>
      </c>
      <c r="T14" s="92">
        <f t="shared" si="50"/>
        <v>11533073.6</v>
      </c>
      <c r="U14" s="92">
        <f t="shared" si="50"/>
        <v>11533073.6</v>
      </c>
      <c r="V14" s="92">
        <f t="shared" si="50"/>
        <v>11533073.6</v>
      </c>
      <c r="W14" s="92">
        <f t="shared" ref="W14:AC14" si="51">V14</f>
        <v>11533073.6</v>
      </c>
      <c r="X14" s="92">
        <f t="shared" si="51"/>
        <v>11533073.6</v>
      </c>
      <c r="Y14" s="92">
        <f t="shared" si="51"/>
        <v>11533073.6</v>
      </c>
      <c r="Z14" s="92">
        <f t="shared" si="51"/>
        <v>11533073.6</v>
      </c>
      <c r="AA14" s="92">
        <f t="shared" si="51"/>
        <v>11533073.6</v>
      </c>
      <c r="AB14" s="92">
        <f t="shared" si="51"/>
        <v>11533073.6</v>
      </c>
      <c r="AC14" s="92">
        <f t="shared" si="51"/>
        <v>11533073.6</v>
      </c>
      <c r="AD14" s="7">
        <v>0</v>
      </c>
    </row>
    <row r="15" spans="1:30" ht="13.5" customHeight="1">
      <c r="A15" s="5">
        <v>2</v>
      </c>
      <c r="B15" s="97" t="s">
        <v>78</v>
      </c>
      <c r="C15" s="187">
        <f>BS_Data!E87</f>
        <v>29184531.18</v>
      </c>
      <c r="D15" s="187">
        <f>BS_Data!F87</f>
        <v>28610531.16</v>
      </c>
      <c r="E15" s="187">
        <f>BS_Data!G87</f>
        <v>27156569.57</v>
      </c>
      <c r="F15" s="187">
        <f>BS_Data!H87</f>
        <v>26775989.219999999</v>
      </c>
      <c r="G15" s="187">
        <f>BS_Data!I87</f>
        <v>26217918.690000001</v>
      </c>
      <c r="H15" s="187">
        <f>BS_Data!J87</f>
        <v>25780639.780000009</v>
      </c>
      <c r="I15" s="92">
        <f>'Financials"0"'!H5</f>
        <v>30216029.60588089</v>
      </c>
      <c r="J15" s="92">
        <f>'Financials"0"'!I5</f>
        <v>39281193.151607081</v>
      </c>
      <c r="K15" s="92">
        <f>'Financials"0"'!J5</f>
        <v>47807565.237752028</v>
      </c>
      <c r="L15" s="92">
        <f>'Financials"0"'!K5</f>
        <v>55796775.554304324</v>
      </c>
      <c r="M15" s="92">
        <f>'Financials"0"'!L5</f>
        <v>63289430.34887103</v>
      </c>
      <c r="N15" s="92">
        <f>'Financials"0"'!M5</f>
        <v>69890738.141150117</v>
      </c>
      <c r="O15" s="92">
        <f>'Financials"0"'!N5</f>
        <v>75670610.53556034</v>
      </c>
      <c r="P15" s="92">
        <f>'Financials"0"'!O5</f>
        <v>81137660.029075712</v>
      </c>
      <c r="Q15" s="92">
        <f>'Financials"0"'!P5</f>
        <v>86285630.163678318</v>
      </c>
      <c r="R15" s="92">
        <f>'Financials"0"'!Q5</f>
        <v>91108139.352189928</v>
      </c>
      <c r="S15" s="92">
        <f>'Financials"0"'!R5</f>
        <v>95598678.375688702</v>
      </c>
      <c r="T15" s="92">
        <f>'Financials"0"'!S5</f>
        <v>99750607.830874383</v>
      </c>
      <c r="U15" s="92">
        <f>'Financials"0"'!T5</f>
        <v>103557155.52638072</v>
      </c>
      <c r="V15" s="92">
        <f>'Financials"0"'!U5</f>
        <v>107011413.82701412</v>
      </c>
      <c r="W15" s="92">
        <f>'Financials"0"'!V5</f>
        <v>110106336.94487712</v>
      </c>
      <c r="X15" s="92">
        <f>'Financials"0"'!W5</f>
        <v>112834738.17631432</v>
      </c>
      <c r="Y15" s="92">
        <f>'Financials"0"'!X5</f>
        <v>115813271.0235972</v>
      </c>
      <c r="Z15" s="92">
        <f>'Financials"0"'!Y5</f>
        <v>119339703.72024266</v>
      </c>
      <c r="AA15" s="92">
        <f>'Financials"0"'!Z5</f>
        <v>122477180.45883799</v>
      </c>
      <c r="AB15" s="92">
        <f>'Financials"0"'!AA5</f>
        <v>125217922.12022215</v>
      </c>
      <c r="AC15" s="92">
        <f>'Financials"0"'!AB5</f>
        <v>127553994.00285095</v>
      </c>
      <c r="AD15" s="7">
        <v>0</v>
      </c>
    </row>
    <row r="16" spans="1:30" ht="13.5" customHeight="1">
      <c r="A16" s="5">
        <v>2</v>
      </c>
      <c r="B16" s="97" t="s">
        <v>79</v>
      </c>
      <c r="C16" s="187">
        <f>BS_Data!E88</f>
        <v>12083408.42</v>
      </c>
      <c r="D16" s="187">
        <f>BS_Data!F88</f>
        <v>12986864.779999999</v>
      </c>
      <c r="E16" s="187">
        <f>BS_Data!G88</f>
        <v>12259076.76</v>
      </c>
      <c r="F16" s="187">
        <f>BS_Data!H88</f>
        <v>15285451.82</v>
      </c>
      <c r="G16" s="187">
        <f>BS_Data!I88</f>
        <v>18910241.27</v>
      </c>
      <c r="H16" s="187">
        <f>BS_Data!J88</f>
        <v>21089496.770000003</v>
      </c>
      <c r="I16" s="92">
        <f>H16/SUM(H16:H17)*'Financials"0"'!H4</f>
        <v>23448665.031003702</v>
      </c>
      <c r="J16" s="92">
        <f>I16/SUM(I16:I17)*'Financials"0"'!I4</f>
        <v>29106628.781898897</v>
      </c>
      <c r="K16" s="92">
        <f>J16/SUM(J16:J17)*'Financials"0"'!J4</f>
        <v>33235330.601226464</v>
      </c>
      <c r="L16" s="92">
        <f>K16/SUM(K16:K17)*'Financials"0"'!K4</f>
        <v>35835156.914240405</v>
      </c>
      <c r="M16" s="92">
        <f>L16/SUM(L16:L17)*'Financials"0"'!L4</f>
        <v>36939046.692071773</v>
      </c>
      <c r="N16" s="92">
        <f>M16/SUM(M16:M17)*'Financials"0"'!M4</f>
        <v>36209926.152387857</v>
      </c>
      <c r="O16" s="92">
        <f>N16/SUM(N16:N17)*'Financials"0"'!N4</f>
        <v>33739778.052506834</v>
      </c>
      <c r="P16" s="92">
        <f>O16/SUM(O16:O17)*'Financials"0"'!O4</f>
        <v>29984137.918522395</v>
      </c>
      <c r="Q16" s="92">
        <f>P16/SUM(P16:P17)*'Financials"0"'!P4</f>
        <v>26551611.969265718</v>
      </c>
      <c r="R16" s="92">
        <f>Q16/SUM(Q16:Q17)*'Financials"0"'!Q4</f>
        <v>24962582.725790549</v>
      </c>
      <c r="S16" s="92">
        <f>R16/SUM(R16:R17)*'Financials"0"'!R4</f>
        <v>23548474.999528434</v>
      </c>
      <c r="T16" s="92">
        <f>S16/SUM(S16:S17)*'Financials"0"'!S4</f>
        <v>22283708.708773218</v>
      </c>
      <c r="U16" s="92">
        <f>T16/SUM(T16:T17)*'Financials"0"'!T4</f>
        <v>21147931.831719097</v>
      </c>
      <c r="V16" s="92">
        <f>U16/SUM(U16:U17)*'Financials"0"'!U4</f>
        <v>20065302.989099983</v>
      </c>
      <c r="W16" s="92">
        <f>V16/SUM(V16:V17)*'Financials"0"'!V4</f>
        <v>18966834.273419205</v>
      </c>
      <c r="X16" s="92">
        <f>W16/SUM(W16:W17)*'Financials"0"'!W4</f>
        <v>17852208.887215525</v>
      </c>
      <c r="Y16" s="92">
        <f>X16/SUM(X16:X17)*'Financials"0"'!X4</f>
        <v>16721103.697078485</v>
      </c>
      <c r="Z16" s="92">
        <f>Y16/SUM(Y16:Y17)*'Financials"0"'!Y4</f>
        <v>15573189.106929416</v>
      </c>
      <c r="AA16" s="92">
        <f>Z16/SUM(Z16:Z17)*'Financials"0"'!Z4</f>
        <v>14408128.928768083</v>
      </c>
      <c r="AB16" s="92">
        <f>AA16/SUM(AA16:AA17)*'Financials"0"'!AA4</f>
        <v>13225580.250834234</v>
      </c>
      <c r="AC16" s="92">
        <f>AB16/SUM(AB16:AB17)*'Financials"0"'!AB4</f>
        <v>12025193.303132424</v>
      </c>
      <c r="AD16" s="7">
        <v>0.6</v>
      </c>
    </row>
    <row r="17" spans="1:30" ht="13.5" customHeight="1">
      <c r="A17" s="5">
        <v>2</v>
      </c>
      <c r="B17" s="97" t="s">
        <v>80</v>
      </c>
      <c r="C17" s="187">
        <f>BS_Data!E83-SUM(C14:C16)</f>
        <v>4444520.6999999955</v>
      </c>
      <c r="D17" s="187">
        <f>BS_Data!F83-SUM(D14:D16)</f>
        <v>2058020.6600000039</v>
      </c>
      <c r="E17" s="187">
        <f>BS_Data!G83-SUM(E14:E16)</f>
        <v>2627054.0700000003</v>
      </c>
      <c r="F17" s="187">
        <f>BS_Data!H83-SUM(F14:F16)</f>
        <v>5843140.6600000039</v>
      </c>
      <c r="G17" s="187">
        <f>BS_Data!I83-SUM(G14:G16)</f>
        <v>6997334.2899999991</v>
      </c>
      <c r="H17" s="187">
        <f>BS_Data!J83-SUM(H14:H16)</f>
        <v>4000784.6900000051</v>
      </c>
      <c r="I17" s="92">
        <f>'Financials"0"'!H4-I16</f>
        <v>4448330.8957105167</v>
      </c>
      <c r="J17" s="92">
        <f>'Financials"0"'!I4-J16</f>
        <v>5521675.3665637411</v>
      </c>
      <c r="K17" s="92">
        <f>'Financials"0"'!J4-K16</f>
        <v>6304911.0790364072</v>
      </c>
      <c r="L17" s="92">
        <f>'Financials"0"'!K4-L16</f>
        <v>6798111.3399625644</v>
      </c>
      <c r="M17" s="92">
        <f>'Financials"0"'!L4-M16</f>
        <v>7007524.8395239934</v>
      </c>
      <c r="N17" s="92">
        <f>'Financials"0"'!M4-N16</f>
        <v>6869206.9685882777</v>
      </c>
      <c r="O17" s="92">
        <f>'Financials"0"'!N4-O16</f>
        <v>6400607.3235699758</v>
      </c>
      <c r="P17" s="92">
        <f>'Financials"0"'!O4-P16</f>
        <v>5688143.3082802221</v>
      </c>
      <c r="Q17" s="92">
        <f>'Financials"0"'!P4-Q16</f>
        <v>5036975.6955305003</v>
      </c>
      <c r="R17" s="92">
        <f>'Financials"0"'!Q4-R16</f>
        <v>4735528.774411872</v>
      </c>
      <c r="S17" s="92">
        <f>'Financials"0"'!R4-S16</f>
        <v>4467265.3538598903</v>
      </c>
      <c r="T17" s="92">
        <f>'Financials"0"'!S4-T16</f>
        <v>4227332.7624061443</v>
      </c>
      <c r="U17" s="92">
        <f>'Financials"0"'!T4-U16</f>
        <v>4011870.1181083433</v>
      </c>
      <c r="V17" s="92">
        <f>'Financials"0"'!U4-V16</f>
        <v>3806489.9259804599</v>
      </c>
      <c r="W17" s="92">
        <f>'Financials"0"'!V4-W16</f>
        <v>3598104.8294526376</v>
      </c>
      <c r="X17" s="92">
        <f>'Financials"0"'!W4-X16</f>
        <v>3386654.7304368801</v>
      </c>
      <c r="Y17" s="92">
        <f>'Financials"0"'!X4-Y16</f>
        <v>3172078.3288834244</v>
      </c>
      <c r="Z17" s="92">
        <f>'Financials"0"'!Y4-Z16</f>
        <v>2954313.0987415183</v>
      </c>
      <c r="AA17" s="92">
        <f>'Financials"0"'!Z4-AA16</f>
        <v>2733295.2634393945</v>
      </c>
      <c r="AB17" s="92">
        <f>'Financials"0"'!AA4-AB16</f>
        <v>2508959.7708738483</v>
      </c>
      <c r="AC17" s="92">
        <f>'Financials"0"'!AB4-AC16</f>
        <v>2281240.2678996082</v>
      </c>
      <c r="AD17" s="4"/>
    </row>
    <row r="18" spans="1:30" ht="13.5" customHeight="1">
      <c r="A18" s="5">
        <v>1</v>
      </c>
      <c r="B18" s="93" t="s">
        <v>62</v>
      </c>
      <c r="C18" s="188">
        <f t="shared" ref="C18" si="52">+C19+C20+C21</f>
        <v>0</v>
      </c>
      <c r="D18" s="188">
        <f t="shared" ref="D18:H18" si="53">+D19+D20+D21</f>
        <v>0</v>
      </c>
      <c r="E18" s="188">
        <f t="shared" si="53"/>
        <v>0</v>
      </c>
      <c r="F18" s="188">
        <f t="shared" si="53"/>
        <v>0</v>
      </c>
      <c r="G18" s="188">
        <f t="shared" si="53"/>
        <v>0</v>
      </c>
      <c r="H18" s="188">
        <f t="shared" si="53"/>
        <v>0</v>
      </c>
      <c r="I18" s="95">
        <f t="shared" ref="I18:M18" si="54">+I19+I20+I21</f>
        <v>0</v>
      </c>
      <c r="J18" s="95">
        <f t="shared" si="54"/>
        <v>0</v>
      </c>
      <c r="K18" s="95">
        <f t="shared" si="54"/>
        <v>0</v>
      </c>
      <c r="L18" s="95">
        <f t="shared" si="54"/>
        <v>0</v>
      </c>
      <c r="M18" s="95">
        <f t="shared" si="54"/>
        <v>0</v>
      </c>
      <c r="N18" s="95">
        <f t="shared" ref="N18:R18" si="55">+N19+N20+N21</f>
        <v>0</v>
      </c>
      <c r="O18" s="95">
        <f t="shared" si="55"/>
        <v>0</v>
      </c>
      <c r="P18" s="95">
        <f t="shared" si="55"/>
        <v>0</v>
      </c>
      <c r="Q18" s="95">
        <f t="shared" si="55"/>
        <v>0</v>
      </c>
      <c r="R18" s="95">
        <f t="shared" si="55"/>
        <v>0</v>
      </c>
      <c r="S18" s="95">
        <f t="shared" ref="S18" si="56">+S19+S20+S21</f>
        <v>0</v>
      </c>
      <c r="T18" s="95">
        <f t="shared" ref="T18:V18" si="57">+T19+T20+T21</f>
        <v>0</v>
      </c>
      <c r="U18" s="95">
        <f t="shared" si="57"/>
        <v>0</v>
      </c>
      <c r="V18" s="95">
        <f t="shared" si="57"/>
        <v>0</v>
      </c>
      <c r="W18" s="95">
        <f t="shared" ref="W18:AC18" si="58">+W19+W20+W21</f>
        <v>0</v>
      </c>
      <c r="X18" s="95">
        <f t="shared" si="58"/>
        <v>0</v>
      </c>
      <c r="Y18" s="95">
        <f t="shared" si="58"/>
        <v>0</v>
      </c>
      <c r="Z18" s="95">
        <f t="shared" si="58"/>
        <v>0</v>
      </c>
      <c r="AA18" s="95">
        <f t="shared" si="58"/>
        <v>0</v>
      </c>
      <c r="AB18" s="95">
        <f t="shared" si="58"/>
        <v>0</v>
      </c>
      <c r="AC18" s="95">
        <f t="shared" si="58"/>
        <v>0</v>
      </c>
      <c r="AD18" s="4"/>
    </row>
    <row r="19" spans="1:30" ht="13.5" customHeight="1">
      <c r="A19" s="5">
        <v>2</v>
      </c>
      <c r="B19" s="97" t="s">
        <v>81</v>
      </c>
      <c r="C19" s="187">
        <f>BS_Data!E96</f>
        <v>0</v>
      </c>
      <c r="D19" s="187">
        <f>BS_Data!F96</f>
        <v>0</v>
      </c>
      <c r="E19" s="187">
        <f>BS_Data!G96</f>
        <v>0</v>
      </c>
      <c r="F19" s="187">
        <f>BS_Data!H96</f>
        <v>0</v>
      </c>
      <c r="G19" s="187">
        <f>BS_Data!I96</f>
        <v>0</v>
      </c>
      <c r="H19" s="187">
        <f>BS_Data!J96</f>
        <v>0</v>
      </c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4"/>
    </row>
    <row r="20" spans="1:30" ht="13.5" customHeight="1">
      <c r="A20" s="5">
        <v>2</v>
      </c>
      <c r="B20" s="97" t="s">
        <v>82</v>
      </c>
      <c r="C20" s="187"/>
      <c r="D20" s="187"/>
      <c r="E20" s="187"/>
      <c r="F20" s="187"/>
      <c r="G20" s="187"/>
      <c r="H20" s="187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4"/>
    </row>
    <row r="21" spans="1:30" ht="13.5" customHeight="1">
      <c r="A21" s="5">
        <v>2</v>
      </c>
      <c r="B21" s="97" t="s">
        <v>83</v>
      </c>
      <c r="C21" s="187"/>
      <c r="D21" s="187"/>
      <c r="E21" s="187"/>
      <c r="F21" s="187"/>
      <c r="G21" s="187"/>
      <c r="H21" s="187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4"/>
    </row>
    <row r="22" spans="1:30" ht="13.5" customHeight="1">
      <c r="A22" s="5">
        <v>1</v>
      </c>
      <c r="B22" s="100" t="s">
        <v>84</v>
      </c>
      <c r="C22" s="185">
        <f t="shared" ref="C22" si="59">+C23+C27+C33+C41</f>
        <v>17813780.34</v>
      </c>
      <c r="D22" s="185">
        <f t="shared" ref="D22:H22" si="60">+D23+D27+D33+D41</f>
        <v>17975387.16</v>
      </c>
      <c r="E22" s="185">
        <f t="shared" si="60"/>
        <v>20524385.48</v>
      </c>
      <c r="F22" s="185">
        <f t="shared" si="60"/>
        <v>27480234.030000001</v>
      </c>
      <c r="G22" s="185">
        <f t="shared" si="60"/>
        <v>30592866.770000003</v>
      </c>
      <c r="H22" s="185">
        <f t="shared" si="60"/>
        <v>57035388.629999995</v>
      </c>
      <c r="I22" s="102">
        <f t="shared" ref="I22:M22" si="61">+I23+I27+I33+I41</f>
        <v>58489151.051090159</v>
      </c>
      <c r="J22" s="102">
        <f t="shared" si="61"/>
        <v>58205438.397380657</v>
      </c>
      <c r="K22" s="102">
        <f t="shared" si="61"/>
        <v>58232533.316198461</v>
      </c>
      <c r="L22" s="102">
        <f t="shared" si="61"/>
        <v>58265386.191041782</v>
      </c>
      <c r="M22" s="102">
        <f t="shared" si="61"/>
        <v>58409594.501761883</v>
      </c>
      <c r="N22" s="102">
        <f t="shared" ref="N22:R22" si="62">+N23+N27+N33+N41</f>
        <v>57494338.069209144</v>
      </c>
      <c r="O22" s="102">
        <f t="shared" si="62"/>
        <v>56722210.8642921</v>
      </c>
      <c r="P22" s="102">
        <f t="shared" si="62"/>
        <v>56348589.12807221</v>
      </c>
      <c r="Q22" s="102">
        <f t="shared" si="62"/>
        <v>56364058.455396503</v>
      </c>
      <c r="R22" s="102">
        <f t="shared" si="62"/>
        <v>56364524.009680584</v>
      </c>
      <c r="S22" s="102">
        <f t="shared" ref="S22" si="63">+S23+S27+S33+S41</f>
        <v>56371824.601041511</v>
      </c>
      <c r="T22" s="102">
        <f t="shared" ref="T22:V22" si="64">+T23+T27+T33+T41</f>
        <v>56368147.74638465</v>
      </c>
      <c r="U22" s="102">
        <f t="shared" si="64"/>
        <v>56343681.872044198</v>
      </c>
      <c r="V22" s="102">
        <f t="shared" si="64"/>
        <v>56302953.272521883</v>
      </c>
      <c r="W22" s="102">
        <f t="shared" ref="W22:AC22" si="65">+W23+W27+W33+W41</f>
        <v>-22209259.083637539</v>
      </c>
      <c r="X22" s="102">
        <f t="shared" si="65"/>
        <v>-101425237.4883928</v>
      </c>
      <c r="Y22" s="102">
        <f t="shared" si="65"/>
        <v>-181359411.71564305</v>
      </c>
      <c r="Z22" s="102">
        <f t="shared" si="65"/>
        <v>-262026511.09970197</v>
      </c>
      <c r="AA22" s="102">
        <f t="shared" si="65"/>
        <v>-343441570.80062956</v>
      </c>
      <c r="AB22" s="102">
        <f t="shared" si="65"/>
        <v>-425619938.20172447</v>
      </c>
      <c r="AC22" s="102">
        <f t="shared" si="65"/>
        <v>-508577279.44198865</v>
      </c>
      <c r="AD22" s="4"/>
    </row>
    <row r="23" spans="1:30" ht="13.5" customHeight="1">
      <c r="A23" s="5">
        <v>1</v>
      </c>
      <c r="B23" s="93" t="s">
        <v>63</v>
      </c>
      <c r="C23" s="186">
        <f t="shared" ref="C23" si="66">+C24+C25+C26</f>
        <v>1442726.95</v>
      </c>
      <c r="D23" s="186">
        <f t="shared" ref="D23:H23" si="67">+D24+D25+D26</f>
        <v>1203133.25</v>
      </c>
      <c r="E23" s="186">
        <f t="shared" si="67"/>
        <v>1459004.77</v>
      </c>
      <c r="F23" s="186">
        <f t="shared" si="67"/>
        <v>2110789.23</v>
      </c>
      <c r="G23" s="186">
        <f t="shared" si="67"/>
        <v>4002460.69</v>
      </c>
      <c r="H23" s="186">
        <f t="shared" si="67"/>
        <v>6342517.6800000006</v>
      </c>
      <c r="I23" s="129">
        <f t="shared" ref="I23:R23" si="68">+I24+I25+I26</f>
        <v>6679783.3030187329</v>
      </c>
      <c r="J23" s="129">
        <f t="shared" si="68"/>
        <v>6616486.4584260415</v>
      </c>
      <c r="K23" s="129">
        <f t="shared" si="68"/>
        <v>6622531.387488029</v>
      </c>
      <c r="L23" s="129">
        <f t="shared" si="68"/>
        <v>6629860.927733033</v>
      </c>
      <c r="M23" s="129">
        <f t="shared" si="68"/>
        <v>6662034.0822021002</v>
      </c>
      <c r="N23" s="129">
        <f t="shared" si="68"/>
        <v>6457838.5928001022</v>
      </c>
      <c r="O23" s="129">
        <f t="shared" si="68"/>
        <v>6285575.5123332562</v>
      </c>
      <c r="P23" s="129">
        <f t="shared" si="68"/>
        <v>6202219.7766452152</v>
      </c>
      <c r="Q23" s="129">
        <f t="shared" si="68"/>
        <v>6205671.0136443311</v>
      </c>
      <c r="R23" s="129">
        <f t="shared" si="68"/>
        <v>6205774.8797101686</v>
      </c>
      <c r="S23" s="129">
        <f t="shared" ref="S23" si="69">+S24+S25+S26</f>
        <v>6207403.6558354655</v>
      </c>
      <c r="T23" s="129">
        <f t="shared" ref="T23:V23" si="70">+T24+T25+T26</f>
        <v>6206583.3424135493</v>
      </c>
      <c r="U23" s="129">
        <f t="shared" si="70"/>
        <v>6201124.9582854398</v>
      </c>
      <c r="V23" s="129">
        <f t="shared" si="70"/>
        <v>6192038.3285537912</v>
      </c>
      <c r="W23" s="129">
        <f t="shared" ref="W23:AC23" si="71">+W24+W25+W26</f>
        <v>6192732.995389373</v>
      </c>
      <c r="X23" s="129">
        <f t="shared" si="71"/>
        <v>6193427.6622249549</v>
      </c>
      <c r="Y23" s="129">
        <f t="shared" si="71"/>
        <v>6194122.3290605377</v>
      </c>
      <c r="Z23" s="129">
        <f t="shared" si="71"/>
        <v>6194816.9958961196</v>
      </c>
      <c r="AA23" s="129">
        <f t="shared" si="71"/>
        <v>6195511.6627317015</v>
      </c>
      <c r="AB23" s="129">
        <f t="shared" si="71"/>
        <v>6196206.3295672825</v>
      </c>
      <c r="AC23" s="129">
        <f t="shared" si="71"/>
        <v>6196900.9964028643</v>
      </c>
      <c r="AD23" s="7">
        <v>0.2</v>
      </c>
    </row>
    <row r="24" spans="1:30" ht="13.5" customHeight="1">
      <c r="A24" s="5">
        <v>2</v>
      </c>
      <c r="B24" s="97" t="s">
        <v>85</v>
      </c>
      <c r="C24" s="187">
        <f>BS_Data!E106</f>
        <v>1442726.95</v>
      </c>
      <c r="D24" s="187">
        <f>BS_Data!F106</f>
        <v>1203133.25</v>
      </c>
      <c r="E24" s="187">
        <f>BS_Data!G106</f>
        <v>1459004.77</v>
      </c>
      <c r="F24" s="187">
        <f>BS_Data!H106</f>
        <v>2110789.23</v>
      </c>
      <c r="G24" s="187">
        <f>BS_Data!I106</f>
        <v>4002460.69</v>
      </c>
      <c r="H24" s="187">
        <f>BS_Data!J106</f>
        <v>6342517.6800000006</v>
      </c>
      <c r="I24" s="92">
        <f>'Financials"0"'!H45</f>
        <v>6679783.3030187329</v>
      </c>
      <c r="J24" s="92">
        <f>'Financials"0"'!I45</f>
        <v>6616486.4584260415</v>
      </c>
      <c r="K24" s="92">
        <f>'Financials"0"'!J45</f>
        <v>6622531.387488029</v>
      </c>
      <c r="L24" s="92">
        <f>'Financials"0"'!K45</f>
        <v>6629860.927733033</v>
      </c>
      <c r="M24" s="92">
        <f>'Financials"0"'!L45</f>
        <v>6662034.0822021002</v>
      </c>
      <c r="N24" s="92">
        <f>'Financials"0"'!M45</f>
        <v>6457838.5928001022</v>
      </c>
      <c r="O24" s="92">
        <f>'Financials"0"'!N45</f>
        <v>6285575.5123332562</v>
      </c>
      <c r="P24" s="92">
        <f>'Financials"0"'!O45</f>
        <v>6202219.7766452152</v>
      </c>
      <c r="Q24" s="92">
        <f>'Financials"0"'!P45</f>
        <v>6205671.0136443311</v>
      </c>
      <c r="R24" s="92">
        <f>'Financials"0"'!Q45</f>
        <v>6205774.8797101686</v>
      </c>
      <c r="S24" s="92">
        <f>'Financials"0"'!R45</f>
        <v>6207403.6558354655</v>
      </c>
      <c r="T24" s="92">
        <f>'Financials"0"'!S45</f>
        <v>6206583.3424135493</v>
      </c>
      <c r="U24" s="92">
        <f>'Financials"0"'!T45</f>
        <v>6201124.9582854398</v>
      </c>
      <c r="V24" s="92">
        <f>'Financials"0"'!U45</f>
        <v>6192038.3285537912</v>
      </c>
      <c r="W24" s="92">
        <f>'Financials"0"'!V45</f>
        <v>6192732.995389373</v>
      </c>
      <c r="X24" s="92">
        <f>'Financials"0"'!W45</f>
        <v>6193427.6622249549</v>
      </c>
      <c r="Y24" s="92">
        <f>'Financials"0"'!X45</f>
        <v>6194122.3290605377</v>
      </c>
      <c r="Z24" s="92">
        <f>'Financials"0"'!Y45</f>
        <v>6194816.9958961196</v>
      </c>
      <c r="AA24" s="92">
        <f>'Financials"0"'!Z45</f>
        <v>6195511.6627317015</v>
      </c>
      <c r="AB24" s="92">
        <f>'Financials"0"'!AA45</f>
        <v>6196206.3295672825</v>
      </c>
      <c r="AC24" s="92">
        <f>'Financials"0"'!AB45</f>
        <v>6196900.9964028643</v>
      </c>
      <c r="AD24" s="7">
        <v>0.2</v>
      </c>
    </row>
    <row r="25" spans="1:30" ht="13.5" customHeight="1">
      <c r="A25" s="5">
        <v>2</v>
      </c>
      <c r="B25" s="97" t="s">
        <v>86</v>
      </c>
      <c r="C25" s="187"/>
      <c r="D25" s="187"/>
      <c r="E25" s="187"/>
      <c r="F25" s="187"/>
      <c r="G25" s="187"/>
      <c r="H25" s="187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0" ht="13.5" customHeight="1">
      <c r="A26" s="5">
        <v>2</v>
      </c>
      <c r="B26" s="97" t="s">
        <v>87</v>
      </c>
      <c r="C26" s="187"/>
      <c r="D26" s="187"/>
      <c r="E26" s="187"/>
      <c r="F26" s="187"/>
      <c r="G26" s="187"/>
      <c r="H26" s="187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7">
        <v>0.5</v>
      </c>
    </row>
    <row r="27" spans="1:30" ht="13.5" customHeight="1">
      <c r="A27" s="5">
        <v>1</v>
      </c>
      <c r="B27" s="93" t="s">
        <v>88</v>
      </c>
      <c r="C27" s="188">
        <f t="shared" ref="C27" si="72">+C28+C29+C30+C31+C32</f>
        <v>0</v>
      </c>
      <c r="D27" s="188">
        <f t="shared" ref="D27:H27" si="73">+D28+D29+D30+D31+D32</f>
        <v>0</v>
      </c>
      <c r="E27" s="188">
        <f t="shared" si="73"/>
        <v>0</v>
      </c>
      <c r="F27" s="188">
        <f t="shared" si="73"/>
        <v>0</v>
      </c>
      <c r="G27" s="188">
        <f t="shared" si="73"/>
        <v>0</v>
      </c>
      <c r="H27" s="188">
        <f t="shared" si="73"/>
        <v>0</v>
      </c>
      <c r="I27" s="95">
        <f t="shared" ref="I27:R27" si="74">+I28+I29+I30+I31+I32</f>
        <v>0</v>
      </c>
      <c r="J27" s="95">
        <f t="shared" si="74"/>
        <v>0</v>
      </c>
      <c r="K27" s="95">
        <f t="shared" si="74"/>
        <v>0</v>
      </c>
      <c r="L27" s="95">
        <f t="shared" si="74"/>
        <v>0</v>
      </c>
      <c r="M27" s="95">
        <f t="shared" si="74"/>
        <v>0</v>
      </c>
      <c r="N27" s="95">
        <f t="shared" si="74"/>
        <v>0</v>
      </c>
      <c r="O27" s="95">
        <f t="shared" si="74"/>
        <v>0</v>
      </c>
      <c r="P27" s="95">
        <f t="shared" si="74"/>
        <v>0</v>
      </c>
      <c r="Q27" s="95">
        <f t="shared" si="74"/>
        <v>0</v>
      </c>
      <c r="R27" s="95">
        <f t="shared" si="74"/>
        <v>0</v>
      </c>
      <c r="S27" s="95">
        <f t="shared" ref="S27" si="75">+S28+S29+S30+S31+S32</f>
        <v>0</v>
      </c>
      <c r="T27" s="95">
        <f t="shared" ref="T27:V27" si="76">+T28+T29+T30+T31+T32</f>
        <v>0</v>
      </c>
      <c r="U27" s="95">
        <f t="shared" si="76"/>
        <v>0</v>
      </c>
      <c r="V27" s="95">
        <f t="shared" si="76"/>
        <v>0</v>
      </c>
      <c r="W27" s="95">
        <f t="shared" ref="W27:AC27" si="77">+W28+W29+W30+W31+W32</f>
        <v>0</v>
      </c>
      <c r="X27" s="95">
        <f t="shared" si="77"/>
        <v>0</v>
      </c>
      <c r="Y27" s="95">
        <f t="shared" si="77"/>
        <v>0</v>
      </c>
      <c r="Z27" s="95">
        <f t="shared" si="77"/>
        <v>0</v>
      </c>
      <c r="AA27" s="95">
        <f t="shared" si="77"/>
        <v>0</v>
      </c>
      <c r="AB27" s="95">
        <f t="shared" si="77"/>
        <v>0</v>
      </c>
      <c r="AC27" s="95">
        <f t="shared" si="77"/>
        <v>0</v>
      </c>
      <c r="AD27" s="4"/>
    </row>
    <row r="28" spans="1:30" ht="13.5" customHeight="1">
      <c r="A28" s="5">
        <v>2</v>
      </c>
      <c r="B28" s="97" t="s">
        <v>89</v>
      </c>
      <c r="C28" s="187"/>
      <c r="D28" s="187"/>
      <c r="E28" s="187"/>
      <c r="F28" s="187"/>
      <c r="G28" s="187"/>
      <c r="H28" s="187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4"/>
    </row>
    <row r="29" spans="1:30" ht="13.5" customHeight="1">
      <c r="A29" s="5">
        <v>2</v>
      </c>
      <c r="B29" s="97" t="s">
        <v>90</v>
      </c>
      <c r="C29" s="187"/>
      <c r="D29" s="187"/>
      <c r="E29" s="187"/>
      <c r="F29" s="187"/>
      <c r="G29" s="187"/>
      <c r="H29" s="187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4"/>
    </row>
    <row r="30" spans="1:30" ht="13.5" customHeight="1">
      <c r="A30" s="5">
        <v>2</v>
      </c>
      <c r="B30" s="97" t="s">
        <v>91</v>
      </c>
      <c r="C30" s="187"/>
      <c r="D30" s="187"/>
      <c r="E30" s="187"/>
      <c r="F30" s="187"/>
      <c r="G30" s="187"/>
      <c r="H30" s="187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4"/>
    </row>
    <row r="31" spans="1:30" ht="13.5" customHeight="1">
      <c r="A31" s="5">
        <v>2</v>
      </c>
      <c r="B31" s="97" t="s">
        <v>92</v>
      </c>
      <c r="C31" s="187"/>
      <c r="D31" s="187"/>
      <c r="E31" s="187"/>
      <c r="F31" s="187"/>
      <c r="G31" s="187"/>
      <c r="H31" s="187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7">
        <v>0</v>
      </c>
    </row>
    <row r="32" spans="1:30" ht="13.5" customHeight="1">
      <c r="A32" s="5">
        <v>2</v>
      </c>
      <c r="B32" s="97" t="s">
        <v>93</v>
      </c>
      <c r="C32" s="187"/>
      <c r="D32" s="187"/>
      <c r="E32" s="187"/>
      <c r="F32" s="187"/>
      <c r="G32" s="187"/>
      <c r="H32" s="187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4"/>
    </row>
    <row r="33" spans="1:30" ht="13.5" customHeight="1">
      <c r="A33" s="5">
        <v>1</v>
      </c>
      <c r="B33" s="93" t="s">
        <v>94</v>
      </c>
      <c r="C33" s="188">
        <f t="shared" ref="C33" si="78">+C34+C35+C36+C37+C38+C39+C40</f>
        <v>15267843.76</v>
      </c>
      <c r="D33" s="188">
        <f t="shared" ref="D33:H33" si="79">+D34+D35+D36+D37+D38+D39+D40</f>
        <v>15746243.470000001</v>
      </c>
      <c r="E33" s="188">
        <f t="shared" si="79"/>
        <v>16417296.23</v>
      </c>
      <c r="F33" s="188">
        <f t="shared" si="79"/>
        <v>15189953.449999999</v>
      </c>
      <c r="G33" s="188">
        <f t="shared" si="79"/>
        <v>15572853.699999999</v>
      </c>
      <c r="H33" s="188">
        <f t="shared" si="79"/>
        <v>22232908.839999996</v>
      </c>
      <c r="I33" s="95">
        <f t="shared" ref="I33:R33" si="80">+I34+I35+I36+I37+I38+I39+I40</f>
        <v>23349405.638071425</v>
      </c>
      <c r="J33" s="95">
        <f t="shared" si="80"/>
        <v>23128989.828954615</v>
      </c>
      <c r="K33" s="95">
        <f t="shared" si="80"/>
        <v>23150039.818710431</v>
      </c>
      <c r="L33" s="95">
        <f t="shared" si="80"/>
        <v>23175563.153308745</v>
      </c>
      <c r="M33" s="95">
        <f t="shared" si="80"/>
        <v>23287598.309559781</v>
      </c>
      <c r="N33" s="95">
        <f t="shared" si="80"/>
        <v>22576537.366409037</v>
      </c>
      <c r="O33" s="95">
        <f t="shared" si="80"/>
        <v>21976673.241958845</v>
      </c>
      <c r="P33" s="95">
        <f t="shared" si="80"/>
        <v>21686407.241426993</v>
      </c>
      <c r="Q33" s="95">
        <f t="shared" si="80"/>
        <v>21698425.331752174</v>
      </c>
      <c r="R33" s="95">
        <f t="shared" si="80"/>
        <v>21698787.019970421</v>
      </c>
      <c r="S33" s="95">
        <f t="shared" ref="S33" si="81">+S34+S35+S36+S37+S38+S39+S40</f>
        <v>21704458.835206043</v>
      </c>
      <c r="T33" s="95">
        <f t="shared" ref="T33:V33" si="82">+T34+T35+T36+T37+T38+T39+T40</f>
        <v>21701602.293971099</v>
      </c>
      <c r="U33" s="95">
        <f t="shared" si="82"/>
        <v>21682594.803758759</v>
      </c>
      <c r="V33" s="95">
        <f t="shared" si="82"/>
        <v>21650952.833968092</v>
      </c>
      <c r="W33" s="95">
        <f t="shared" ref="W33:AC33" si="83">+W34+W35+W36+W37+W38+W39+W40</f>
        <v>21653371.841639277</v>
      </c>
      <c r="X33" s="95">
        <f t="shared" si="83"/>
        <v>21655790.849310458</v>
      </c>
      <c r="Y33" s="95">
        <f t="shared" si="83"/>
        <v>21658209.856981643</v>
      </c>
      <c r="Z33" s="95">
        <f t="shared" si="83"/>
        <v>21660628.864652827</v>
      </c>
      <c r="AA33" s="95">
        <f t="shared" si="83"/>
        <v>21663047.872324008</v>
      </c>
      <c r="AB33" s="95">
        <f t="shared" si="83"/>
        <v>21665466.87999519</v>
      </c>
      <c r="AC33" s="95">
        <f t="shared" si="83"/>
        <v>21667885.887666374</v>
      </c>
      <c r="AD33" s="4"/>
    </row>
    <row r="34" spans="1:30" ht="13.5" customHeight="1">
      <c r="A34" s="5">
        <v>2</v>
      </c>
      <c r="B34" s="97" t="s">
        <v>89</v>
      </c>
      <c r="C34" s="187">
        <f>BS_Data!E133</f>
        <v>14959525.85</v>
      </c>
      <c r="D34" s="187">
        <f>BS_Data!F133</f>
        <v>15326629.039999999</v>
      </c>
      <c r="E34" s="187">
        <f>BS_Data!G133</f>
        <v>16084519.91</v>
      </c>
      <c r="F34" s="187">
        <f>BS_Data!H133</f>
        <v>14931860.189999999</v>
      </c>
      <c r="G34" s="187">
        <f>BS_Data!I133</f>
        <v>15184155.800000001</v>
      </c>
      <c r="H34" s="187">
        <f>BS_Data!J133</f>
        <v>22086269.469999999</v>
      </c>
      <c r="I34" s="92">
        <f>'Financials"0"'!H42</f>
        <v>23260714.668071426</v>
      </c>
      <c r="J34" s="92">
        <f>'Financials"0"'!I42</f>
        <v>23040298.858954616</v>
      </c>
      <c r="K34" s="92">
        <f>'Financials"0"'!J42</f>
        <v>23061348.848710433</v>
      </c>
      <c r="L34" s="92">
        <f>'Financials"0"'!K42</f>
        <v>23086872.183308747</v>
      </c>
      <c r="M34" s="92">
        <f>'Financials"0"'!L42</f>
        <v>23198907.339559782</v>
      </c>
      <c r="N34" s="92">
        <f>'Financials"0"'!M42</f>
        <v>22487846.396409038</v>
      </c>
      <c r="O34" s="92">
        <f>'Financials"0"'!N42</f>
        <v>21887982.271958847</v>
      </c>
      <c r="P34" s="92">
        <f>'Financials"0"'!O42</f>
        <v>21597716.271426994</v>
      </c>
      <c r="Q34" s="92">
        <f>'Financials"0"'!P42</f>
        <v>21609734.361752175</v>
      </c>
      <c r="R34" s="92">
        <f>'Financials"0"'!Q42</f>
        <v>21610096.049970422</v>
      </c>
      <c r="S34" s="92">
        <f>'Financials"0"'!R42</f>
        <v>21615767.865206044</v>
      </c>
      <c r="T34" s="92">
        <f>'Financials"0"'!S42</f>
        <v>21612911.3239711</v>
      </c>
      <c r="U34" s="92">
        <f>'Financials"0"'!T42</f>
        <v>21593903.83375876</v>
      </c>
      <c r="V34" s="92">
        <f>'Financials"0"'!U42</f>
        <v>21562261.863968093</v>
      </c>
      <c r="W34" s="92">
        <f>'Financials"0"'!V42</f>
        <v>21564680.871639278</v>
      </c>
      <c r="X34" s="92">
        <f>'Financials"0"'!W42</f>
        <v>21567099.879310459</v>
      </c>
      <c r="Y34" s="92">
        <f>'Financials"0"'!X42</f>
        <v>21569518.886981644</v>
      </c>
      <c r="Z34" s="92">
        <f>'Financials"0"'!Y42</f>
        <v>21571937.894652829</v>
      </c>
      <c r="AA34" s="92">
        <f>'Financials"0"'!Z42</f>
        <v>21574356.90232401</v>
      </c>
      <c r="AB34" s="92">
        <f>'Financials"0"'!AA42</f>
        <v>21576775.909995191</v>
      </c>
      <c r="AC34" s="92">
        <f>'Financials"0"'!AB42</f>
        <v>21579194.917666376</v>
      </c>
      <c r="AD34" s="7">
        <v>0.9</v>
      </c>
    </row>
    <row r="35" spans="1:30" ht="13.5" customHeight="1">
      <c r="A35" s="5">
        <v>2</v>
      </c>
      <c r="B35" s="97" t="s">
        <v>1033</v>
      </c>
      <c r="C35" s="187">
        <f>BS_Data!E142</f>
        <v>47545.25</v>
      </c>
      <c r="D35" s="187">
        <f>BS_Data!F142</f>
        <v>55927.51</v>
      </c>
      <c r="E35" s="187">
        <f>BS_Data!G142</f>
        <v>57261.48</v>
      </c>
      <c r="F35" s="187">
        <f>BS_Data!H142</f>
        <v>43692.959999999999</v>
      </c>
      <c r="G35" s="187">
        <f>BS_Data!I142</f>
        <v>77861.100000000006</v>
      </c>
      <c r="H35" s="187">
        <f>BS_Data!J142</f>
        <v>66110.240000000005</v>
      </c>
      <c r="I35" s="92">
        <f>H35</f>
        <v>66110.240000000005</v>
      </c>
      <c r="J35" s="92">
        <f t="shared" ref="J35:V35" si="84">I35</f>
        <v>66110.240000000005</v>
      </c>
      <c r="K35" s="92">
        <f t="shared" si="84"/>
        <v>66110.240000000005</v>
      </c>
      <c r="L35" s="92">
        <f t="shared" si="84"/>
        <v>66110.240000000005</v>
      </c>
      <c r="M35" s="92">
        <f t="shared" si="84"/>
        <v>66110.240000000005</v>
      </c>
      <c r="N35" s="92">
        <f t="shared" si="84"/>
        <v>66110.240000000005</v>
      </c>
      <c r="O35" s="92">
        <f t="shared" si="84"/>
        <v>66110.240000000005</v>
      </c>
      <c r="P35" s="92">
        <f t="shared" si="84"/>
        <v>66110.240000000005</v>
      </c>
      <c r="Q35" s="92">
        <f t="shared" si="84"/>
        <v>66110.240000000005</v>
      </c>
      <c r="R35" s="92">
        <f t="shared" si="84"/>
        <v>66110.240000000005</v>
      </c>
      <c r="S35" s="92">
        <f t="shared" si="84"/>
        <v>66110.240000000005</v>
      </c>
      <c r="T35" s="92">
        <f t="shared" si="84"/>
        <v>66110.240000000005</v>
      </c>
      <c r="U35" s="92">
        <f t="shared" si="84"/>
        <v>66110.240000000005</v>
      </c>
      <c r="V35" s="92">
        <f t="shared" si="84"/>
        <v>66110.240000000005</v>
      </c>
      <c r="W35" s="92">
        <f t="shared" ref="W35:AC35" si="85">V35</f>
        <v>66110.240000000005</v>
      </c>
      <c r="X35" s="92">
        <f t="shared" si="85"/>
        <v>66110.240000000005</v>
      </c>
      <c r="Y35" s="92">
        <f t="shared" si="85"/>
        <v>66110.240000000005</v>
      </c>
      <c r="Z35" s="92">
        <f t="shared" si="85"/>
        <v>66110.240000000005</v>
      </c>
      <c r="AA35" s="92">
        <f t="shared" si="85"/>
        <v>66110.240000000005</v>
      </c>
      <c r="AB35" s="92">
        <f t="shared" si="85"/>
        <v>66110.240000000005</v>
      </c>
      <c r="AC35" s="92">
        <f t="shared" si="85"/>
        <v>66110.240000000005</v>
      </c>
      <c r="AD35" s="4"/>
    </row>
    <row r="36" spans="1:30" ht="13.5" customHeight="1">
      <c r="A36" s="5">
        <v>2</v>
      </c>
      <c r="B36" s="97" t="s">
        <v>91</v>
      </c>
      <c r="C36" s="187"/>
      <c r="D36" s="187"/>
      <c r="E36" s="187"/>
      <c r="F36" s="187"/>
      <c r="G36" s="187"/>
      <c r="H36" s="187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4"/>
    </row>
    <row r="37" spans="1:30" ht="13.5" customHeight="1">
      <c r="A37" s="5">
        <v>2</v>
      </c>
      <c r="B37" s="97" t="s">
        <v>95</v>
      </c>
      <c r="C37" s="187"/>
      <c r="D37" s="187"/>
      <c r="E37" s="187"/>
      <c r="F37" s="187"/>
      <c r="G37" s="187"/>
      <c r="H37" s="187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4"/>
    </row>
    <row r="38" spans="1:30" ht="13.5" customHeight="1">
      <c r="A38" s="5">
        <v>2</v>
      </c>
      <c r="B38" s="97" t="s">
        <v>96</v>
      </c>
      <c r="C38" s="187">
        <f>BS_Data!E144</f>
        <v>115765.05</v>
      </c>
      <c r="D38" s="187">
        <f>BS_Data!F144</f>
        <v>97250.85</v>
      </c>
      <c r="E38" s="187">
        <f>BS_Data!G144</f>
        <v>62188.08</v>
      </c>
      <c r="F38" s="187">
        <f>BS_Data!H144</f>
        <v>0</v>
      </c>
      <c r="G38" s="187">
        <f>BS_Data!I144</f>
        <v>86737.81</v>
      </c>
      <c r="H38" s="187">
        <f>BS_Data!J144</f>
        <v>22580.73</v>
      </c>
      <c r="I38" s="92">
        <f>H38</f>
        <v>22580.73</v>
      </c>
      <c r="J38" s="92">
        <f t="shared" ref="J38:V38" si="86">I38</f>
        <v>22580.73</v>
      </c>
      <c r="K38" s="92">
        <f t="shared" si="86"/>
        <v>22580.73</v>
      </c>
      <c r="L38" s="92">
        <f t="shared" si="86"/>
        <v>22580.73</v>
      </c>
      <c r="M38" s="92">
        <f t="shared" si="86"/>
        <v>22580.73</v>
      </c>
      <c r="N38" s="92">
        <f t="shared" si="86"/>
        <v>22580.73</v>
      </c>
      <c r="O38" s="92">
        <f t="shared" si="86"/>
        <v>22580.73</v>
      </c>
      <c r="P38" s="92">
        <f t="shared" si="86"/>
        <v>22580.73</v>
      </c>
      <c r="Q38" s="92">
        <f t="shared" si="86"/>
        <v>22580.73</v>
      </c>
      <c r="R38" s="92">
        <f t="shared" si="86"/>
        <v>22580.73</v>
      </c>
      <c r="S38" s="92">
        <f t="shared" si="86"/>
        <v>22580.73</v>
      </c>
      <c r="T38" s="92">
        <f t="shared" si="86"/>
        <v>22580.73</v>
      </c>
      <c r="U38" s="92">
        <f t="shared" si="86"/>
        <v>22580.73</v>
      </c>
      <c r="V38" s="92">
        <f t="shared" si="86"/>
        <v>22580.73</v>
      </c>
      <c r="W38" s="92">
        <f t="shared" ref="W38:AC38" si="87">V38</f>
        <v>22580.73</v>
      </c>
      <c r="X38" s="92">
        <f t="shared" si="87"/>
        <v>22580.73</v>
      </c>
      <c r="Y38" s="92">
        <f t="shared" si="87"/>
        <v>22580.73</v>
      </c>
      <c r="Z38" s="92">
        <f t="shared" si="87"/>
        <v>22580.73</v>
      </c>
      <c r="AA38" s="92">
        <f t="shared" si="87"/>
        <v>22580.73</v>
      </c>
      <c r="AB38" s="92">
        <f t="shared" si="87"/>
        <v>22580.73</v>
      </c>
      <c r="AC38" s="92">
        <f t="shared" si="87"/>
        <v>22580.73</v>
      </c>
      <c r="AD38" s="7">
        <v>0</v>
      </c>
    </row>
    <row r="39" spans="1:30" ht="13.5" customHeight="1">
      <c r="A39" s="5">
        <v>2</v>
      </c>
      <c r="B39" s="97" t="s">
        <v>97</v>
      </c>
      <c r="C39" s="187"/>
      <c r="D39" s="187"/>
      <c r="E39" s="187"/>
      <c r="F39" s="187"/>
      <c r="G39" s="187"/>
      <c r="H39" s="187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4"/>
    </row>
    <row r="40" spans="1:30" ht="13.5" customHeight="1">
      <c r="A40" s="5">
        <v>2</v>
      </c>
      <c r="B40" s="97" t="s">
        <v>98</v>
      </c>
      <c r="C40" s="187">
        <f>BS_Data!E132-SUM(C34:C39)</f>
        <v>145007.6099999994</v>
      </c>
      <c r="D40" s="187">
        <f>BS_Data!F132-SUM(D34:D39)</f>
        <v>266436.07000000216</v>
      </c>
      <c r="E40" s="187">
        <f>BS_Data!G132-SUM(E34:E39)</f>
        <v>213326.75999999978</v>
      </c>
      <c r="F40" s="187">
        <f>BS_Data!H132-SUM(F34:F39)</f>
        <v>214400.29999999888</v>
      </c>
      <c r="G40" s="187">
        <f>BS_Data!I132-SUM(G34:G39)</f>
        <v>224098.98999999836</v>
      </c>
      <c r="H40" s="187">
        <f>BS_Data!J132-SUM(H34:H39)</f>
        <v>57948.39999999851</v>
      </c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7">
        <v>0</v>
      </c>
    </row>
    <row r="41" spans="1:30" ht="13.5" customHeight="1">
      <c r="A41" s="5">
        <v>1</v>
      </c>
      <c r="B41" s="93" t="s">
        <v>99</v>
      </c>
      <c r="C41" s="189">
        <f>BS_Data!E157</f>
        <v>1103209.6299999999</v>
      </c>
      <c r="D41" s="189">
        <f>BS_Data!F157</f>
        <v>1026010.44</v>
      </c>
      <c r="E41" s="189">
        <f>BS_Data!G157</f>
        <v>2648084.48</v>
      </c>
      <c r="F41" s="189">
        <f>BS_Data!H157</f>
        <v>10179491.35</v>
      </c>
      <c r="G41" s="189">
        <f>BS_Data!I157</f>
        <v>11017552.380000001</v>
      </c>
      <c r="H41" s="189">
        <f>BS_Data!J157</f>
        <v>28459962.109999999</v>
      </c>
      <c r="I41" s="190">
        <f>'CF"0"'!H32</f>
        <v>28459962.109999999</v>
      </c>
      <c r="J41" s="190">
        <f>'CF"0"'!I32</f>
        <v>28459962.109999999</v>
      </c>
      <c r="K41" s="190">
        <f>'CF"0"'!J32</f>
        <v>28459962.109999999</v>
      </c>
      <c r="L41" s="190">
        <f>'CF"0"'!K32</f>
        <v>28459962.109999999</v>
      </c>
      <c r="M41" s="190">
        <f>'CF"0"'!L32</f>
        <v>28459962.109999999</v>
      </c>
      <c r="N41" s="190">
        <f>'CF"0"'!M32</f>
        <v>28459962.109999999</v>
      </c>
      <c r="O41" s="190">
        <f>'CF"0"'!N32</f>
        <v>28459962.109999999</v>
      </c>
      <c r="P41" s="190">
        <f>'CF"0"'!O32</f>
        <v>28459962.109999999</v>
      </c>
      <c r="Q41" s="190">
        <f>'CF"0"'!P32</f>
        <v>28459962.109999999</v>
      </c>
      <c r="R41" s="190">
        <f>'CF"0"'!Q32</f>
        <v>28459962.109999999</v>
      </c>
      <c r="S41" s="190">
        <f>'CF"0"'!R32</f>
        <v>28459962.109999999</v>
      </c>
      <c r="T41" s="190">
        <f>'CF"0"'!S32</f>
        <v>28459962.109999999</v>
      </c>
      <c r="U41" s="190">
        <f>'CF"0"'!T32</f>
        <v>28459962.109999999</v>
      </c>
      <c r="V41" s="190">
        <f>'CF"0"'!U32</f>
        <v>28459962.109999999</v>
      </c>
      <c r="W41" s="190">
        <f>'CF"0"'!V32</f>
        <v>-50055363.920666188</v>
      </c>
      <c r="X41" s="190">
        <f>'CF"0"'!W32</f>
        <v>-129274455.99992822</v>
      </c>
      <c r="Y41" s="190">
        <f>'CF"0"'!X32</f>
        <v>-209211743.90168524</v>
      </c>
      <c r="Z41" s="190">
        <f>'CF"0"'!Y32</f>
        <v>-289881956.96025091</v>
      </c>
      <c r="AA41" s="190">
        <f>'CF"0"'!Z32</f>
        <v>-371300130.33568525</v>
      </c>
      <c r="AB41" s="190">
        <f>'CF"0"'!AA32</f>
        <v>-453481611.41128695</v>
      </c>
      <c r="AC41" s="190">
        <f>'CF"0"'!AB32</f>
        <v>-536442066.32605791</v>
      </c>
      <c r="AD41" s="7">
        <v>1</v>
      </c>
    </row>
    <row r="42" spans="1:30" ht="13.5" customHeight="1">
      <c r="A42" s="5">
        <v>1</v>
      </c>
      <c r="B42" s="100" t="s">
        <v>100</v>
      </c>
      <c r="C42" s="185">
        <f t="shared" ref="C42" si="88">+C43+C44</f>
        <v>35576.81</v>
      </c>
      <c r="D42" s="185">
        <f t="shared" ref="D42:H42" si="89">+D43+D44</f>
        <v>1617285.04</v>
      </c>
      <c r="E42" s="185">
        <f t="shared" si="89"/>
        <v>9882.09</v>
      </c>
      <c r="F42" s="185">
        <f t="shared" si="89"/>
        <v>31993.05</v>
      </c>
      <c r="G42" s="185">
        <f t="shared" si="89"/>
        <v>1622130.17</v>
      </c>
      <c r="H42" s="185">
        <f t="shared" si="89"/>
        <v>2088756.98</v>
      </c>
      <c r="I42" s="102">
        <f t="shared" ref="I42:M42" si="90">+I43+I44</f>
        <v>2088756.98</v>
      </c>
      <c r="J42" s="102">
        <f t="shared" si="90"/>
        <v>2088756.98</v>
      </c>
      <c r="K42" s="102">
        <f t="shared" si="90"/>
        <v>2088756.98</v>
      </c>
      <c r="L42" s="102">
        <f t="shared" si="90"/>
        <v>2088756.98</v>
      </c>
      <c r="M42" s="102">
        <f t="shared" si="90"/>
        <v>2088756.98</v>
      </c>
      <c r="N42" s="102">
        <f t="shared" ref="N42:R42" si="91">+N43+N44</f>
        <v>2088756.98</v>
      </c>
      <c r="O42" s="102">
        <f t="shared" si="91"/>
        <v>2088756.98</v>
      </c>
      <c r="P42" s="102">
        <f t="shared" si="91"/>
        <v>2088756.98</v>
      </c>
      <c r="Q42" s="102">
        <f t="shared" si="91"/>
        <v>2088756.98</v>
      </c>
      <c r="R42" s="102">
        <f t="shared" si="91"/>
        <v>2088756.98</v>
      </c>
      <c r="S42" s="102">
        <f t="shared" ref="S42" si="92">+S43+S44</f>
        <v>2088756.98</v>
      </c>
      <c r="T42" s="102">
        <f t="shared" ref="T42:V42" si="93">+T43+T44</f>
        <v>2088756.98</v>
      </c>
      <c r="U42" s="102">
        <f t="shared" si="93"/>
        <v>2088756.98</v>
      </c>
      <c r="V42" s="102">
        <f t="shared" si="93"/>
        <v>2088756.98</v>
      </c>
      <c r="W42" s="102">
        <f t="shared" ref="W42:AC42" si="94">+W43+W44</f>
        <v>2088756.98</v>
      </c>
      <c r="X42" s="102">
        <f t="shared" si="94"/>
        <v>2088756.98</v>
      </c>
      <c r="Y42" s="102">
        <f t="shared" si="94"/>
        <v>2088756.98</v>
      </c>
      <c r="Z42" s="102">
        <f t="shared" si="94"/>
        <v>2088756.98</v>
      </c>
      <c r="AA42" s="102">
        <f t="shared" si="94"/>
        <v>2088756.98</v>
      </c>
      <c r="AB42" s="102">
        <f t="shared" si="94"/>
        <v>2088756.98</v>
      </c>
      <c r="AC42" s="102">
        <f t="shared" si="94"/>
        <v>2088756.98</v>
      </c>
      <c r="AD42" s="4"/>
    </row>
    <row r="43" spans="1:30" ht="13.5" customHeight="1">
      <c r="A43" s="5">
        <v>2</v>
      </c>
      <c r="B43" s="97" t="s">
        <v>101</v>
      </c>
      <c r="C43" s="187">
        <f>BS_Data!E183</f>
        <v>27867.52</v>
      </c>
      <c r="D43" s="187">
        <f>BS_Data!F183</f>
        <v>6033.24</v>
      </c>
      <c r="E43" s="187">
        <f>BS_Data!G183</f>
        <v>7847.3</v>
      </c>
      <c r="F43" s="187">
        <f>BS_Data!H183</f>
        <v>31993.05</v>
      </c>
      <c r="G43" s="187">
        <f>BS_Data!I183</f>
        <v>18963.919999999998</v>
      </c>
      <c r="H43" s="187">
        <f>BS_Data!J183</f>
        <v>28915.05</v>
      </c>
      <c r="I43" s="92">
        <f>H43</f>
        <v>28915.05</v>
      </c>
      <c r="J43" s="92">
        <f t="shared" ref="J43:V43" si="95">I43</f>
        <v>28915.05</v>
      </c>
      <c r="K43" s="92">
        <f t="shared" si="95"/>
        <v>28915.05</v>
      </c>
      <c r="L43" s="92">
        <f t="shared" si="95"/>
        <v>28915.05</v>
      </c>
      <c r="M43" s="92">
        <f t="shared" si="95"/>
        <v>28915.05</v>
      </c>
      <c r="N43" s="92">
        <f t="shared" si="95"/>
        <v>28915.05</v>
      </c>
      <c r="O43" s="92">
        <f t="shared" si="95"/>
        <v>28915.05</v>
      </c>
      <c r="P43" s="92">
        <f t="shared" si="95"/>
        <v>28915.05</v>
      </c>
      <c r="Q43" s="92">
        <f t="shared" si="95"/>
        <v>28915.05</v>
      </c>
      <c r="R43" s="92">
        <f t="shared" si="95"/>
        <v>28915.05</v>
      </c>
      <c r="S43" s="92">
        <f t="shared" si="95"/>
        <v>28915.05</v>
      </c>
      <c r="T43" s="92">
        <f t="shared" si="95"/>
        <v>28915.05</v>
      </c>
      <c r="U43" s="92">
        <f t="shared" si="95"/>
        <v>28915.05</v>
      </c>
      <c r="V43" s="92">
        <f t="shared" si="95"/>
        <v>28915.05</v>
      </c>
      <c r="W43" s="92">
        <f t="shared" ref="W43:AC43" si="96">V43</f>
        <v>28915.05</v>
      </c>
      <c r="X43" s="92">
        <f t="shared" si="96"/>
        <v>28915.05</v>
      </c>
      <c r="Y43" s="92">
        <f t="shared" si="96"/>
        <v>28915.05</v>
      </c>
      <c r="Z43" s="92">
        <f t="shared" si="96"/>
        <v>28915.05</v>
      </c>
      <c r="AA43" s="92">
        <f t="shared" si="96"/>
        <v>28915.05</v>
      </c>
      <c r="AB43" s="92">
        <f t="shared" si="96"/>
        <v>28915.05</v>
      </c>
      <c r="AC43" s="92">
        <f t="shared" si="96"/>
        <v>28915.05</v>
      </c>
      <c r="AD43" s="7">
        <v>0</v>
      </c>
    </row>
    <row r="44" spans="1:30" ht="13.5" customHeight="1">
      <c r="A44" s="5">
        <v>2</v>
      </c>
      <c r="B44" s="97" t="s">
        <v>102</v>
      </c>
      <c r="C44" s="187">
        <f>BS_Data!E185</f>
        <v>7709.29</v>
      </c>
      <c r="D44" s="187">
        <f>BS_Data!F185</f>
        <v>1611251.8</v>
      </c>
      <c r="E44" s="187">
        <f>BS_Data!G185</f>
        <v>2034.79</v>
      </c>
      <c r="F44" s="187">
        <f>BS_Data!H185</f>
        <v>0</v>
      </c>
      <c r="G44" s="187">
        <f>BS_Data!I185</f>
        <v>1603166.25</v>
      </c>
      <c r="H44" s="187">
        <f>BS_Data!J185</f>
        <v>2059841.93</v>
      </c>
      <c r="I44" s="92">
        <f>H44</f>
        <v>2059841.93</v>
      </c>
      <c r="J44" s="92">
        <f t="shared" ref="J44:V44" si="97">I44</f>
        <v>2059841.93</v>
      </c>
      <c r="K44" s="92">
        <f t="shared" si="97"/>
        <v>2059841.93</v>
      </c>
      <c r="L44" s="92">
        <f t="shared" si="97"/>
        <v>2059841.93</v>
      </c>
      <c r="M44" s="92">
        <f t="shared" si="97"/>
        <v>2059841.93</v>
      </c>
      <c r="N44" s="92">
        <f t="shared" si="97"/>
        <v>2059841.93</v>
      </c>
      <c r="O44" s="92">
        <f t="shared" si="97"/>
        <v>2059841.93</v>
      </c>
      <c r="P44" s="92">
        <f t="shared" si="97"/>
        <v>2059841.93</v>
      </c>
      <c r="Q44" s="92">
        <f t="shared" si="97"/>
        <v>2059841.93</v>
      </c>
      <c r="R44" s="92">
        <f t="shared" si="97"/>
        <v>2059841.93</v>
      </c>
      <c r="S44" s="92">
        <f t="shared" si="97"/>
        <v>2059841.93</v>
      </c>
      <c r="T44" s="92">
        <f t="shared" si="97"/>
        <v>2059841.93</v>
      </c>
      <c r="U44" s="92">
        <f t="shared" si="97"/>
        <v>2059841.93</v>
      </c>
      <c r="V44" s="92">
        <f t="shared" si="97"/>
        <v>2059841.93</v>
      </c>
      <c r="W44" s="92">
        <f t="shared" ref="W44:AC44" si="98">V44</f>
        <v>2059841.93</v>
      </c>
      <c r="X44" s="92">
        <f t="shared" si="98"/>
        <v>2059841.93</v>
      </c>
      <c r="Y44" s="92">
        <f t="shared" si="98"/>
        <v>2059841.93</v>
      </c>
      <c r="Z44" s="92">
        <f t="shared" si="98"/>
        <v>2059841.93</v>
      </c>
      <c r="AA44" s="92">
        <f t="shared" si="98"/>
        <v>2059841.93</v>
      </c>
      <c r="AB44" s="92">
        <f t="shared" si="98"/>
        <v>2059841.93</v>
      </c>
      <c r="AC44" s="92">
        <f t="shared" si="98"/>
        <v>2059841.93</v>
      </c>
      <c r="AD44" s="7">
        <v>0</v>
      </c>
    </row>
    <row r="45" spans="1:30" ht="13.5" customHeight="1">
      <c r="A45" s="5">
        <v>1</v>
      </c>
      <c r="B45" s="191" t="s">
        <v>103</v>
      </c>
      <c r="C45" s="192"/>
      <c r="D45" s="192"/>
      <c r="E45" s="192"/>
      <c r="F45" s="192"/>
      <c r="G45" s="192"/>
      <c r="H45" s="192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4"/>
    </row>
    <row r="46" spans="1:30" ht="13.5" customHeight="1" thickBot="1">
      <c r="A46" s="5">
        <v>1</v>
      </c>
      <c r="B46" s="85" t="s">
        <v>104</v>
      </c>
      <c r="C46" s="182">
        <f t="shared" ref="C46" si="99">+C5</f>
        <v>42735</v>
      </c>
      <c r="D46" s="182">
        <f t="shared" ref="D46:H46" si="100">+D5</f>
        <v>43100</v>
      </c>
      <c r="E46" s="182">
        <f t="shared" si="100"/>
        <v>43465</v>
      </c>
      <c r="F46" s="182">
        <f t="shared" si="100"/>
        <v>43830</v>
      </c>
      <c r="G46" s="182">
        <f t="shared" si="100"/>
        <v>44196</v>
      </c>
      <c r="H46" s="182">
        <f t="shared" si="100"/>
        <v>44561</v>
      </c>
      <c r="I46" s="87">
        <f t="shared" ref="I46:M46" si="101">+I5</f>
        <v>44926</v>
      </c>
      <c r="J46" s="87">
        <f t="shared" si="101"/>
        <v>45291</v>
      </c>
      <c r="K46" s="87">
        <f t="shared" si="101"/>
        <v>45657</v>
      </c>
      <c r="L46" s="87">
        <f t="shared" si="101"/>
        <v>46022</v>
      </c>
      <c r="M46" s="87">
        <f t="shared" si="101"/>
        <v>46387</v>
      </c>
      <c r="N46" s="87">
        <f t="shared" ref="N46:R46" si="102">+N5</f>
        <v>46752</v>
      </c>
      <c r="O46" s="87">
        <f t="shared" si="102"/>
        <v>47118</v>
      </c>
      <c r="P46" s="87">
        <f t="shared" si="102"/>
        <v>47483</v>
      </c>
      <c r="Q46" s="87">
        <f t="shared" si="102"/>
        <v>47848</v>
      </c>
      <c r="R46" s="87">
        <f t="shared" si="102"/>
        <v>48213</v>
      </c>
      <c r="S46" s="87">
        <f t="shared" ref="S46" si="103">+S5</f>
        <v>48579</v>
      </c>
      <c r="T46" s="87">
        <f t="shared" ref="T46:V46" si="104">+T5</f>
        <v>48944</v>
      </c>
      <c r="U46" s="87">
        <f t="shared" si="104"/>
        <v>49309</v>
      </c>
      <c r="V46" s="87">
        <f t="shared" si="104"/>
        <v>49674</v>
      </c>
      <c r="W46" s="87">
        <f t="shared" ref="W46:AC46" si="105">+W5</f>
        <v>50040</v>
      </c>
      <c r="X46" s="87">
        <f t="shared" si="105"/>
        <v>50405</v>
      </c>
      <c r="Y46" s="87">
        <f t="shared" si="105"/>
        <v>50770</v>
      </c>
      <c r="Z46" s="87">
        <f t="shared" si="105"/>
        <v>51135</v>
      </c>
      <c r="AA46" s="87">
        <f t="shared" si="105"/>
        <v>51501</v>
      </c>
      <c r="AB46" s="87">
        <f t="shared" si="105"/>
        <v>51866</v>
      </c>
      <c r="AC46" s="87">
        <f t="shared" si="105"/>
        <v>52231</v>
      </c>
      <c r="AD46" s="4"/>
    </row>
    <row r="47" spans="1:30" ht="13.5" customHeight="1">
      <c r="A47" s="5">
        <v>1</v>
      </c>
      <c r="B47" s="194" t="s">
        <v>104</v>
      </c>
      <c r="C47" s="195">
        <f t="shared" ref="C47" si="106">+C48+C60+C83</f>
        <v>75239391.570000008</v>
      </c>
      <c r="D47" s="195">
        <f t="shared" ref="D47:H47" si="107">+D48+D60+D83</f>
        <v>74921159.649999991</v>
      </c>
      <c r="E47" s="195">
        <f t="shared" si="107"/>
        <v>74249383.920000002</v>
      </c>
      <c r="F47" s="195">
        <f t="shared" si="107"/>
        <v>86997527.139999971</v>
      </c>
      <c r="G47" s="195">
        <f t="shared" si="107"/>
        <v>95898522.270000011</v>
      </c>
      <c r="H47" s="195">
        <f t="shared" si="107"/>
        <v>121548556.33000004</v>
      </c>
      <c r="I47" s="125">
        <f t="shared" ref="I47:M47" si="108">+I48+I60+I83</f>
        <v>130244423.04368527</v>
      </c>
      <c r="J47" s="125">
        <f t="shared" si="108"/>
        <v>145757182.15745038</v>
      </c>
      <c r="K47" s="125">
        <f t="shared" si="108"/>
        <v>159222586.69421339</v>
      </c>
      <c r="L47" s="125">
        <f t="shared" si="108"/>
        <v>170337676.45954913</v>
      </c>
      <c r="M47" s="125">
        <f t="shared" si="108"/>
        <v>179287842.8422288</v>
      </c>
      <c r="N47" s="125">
        <f t="shared" ref="N47:R47" si="109">+N48+N60+N83</f>
        <v>184106455.79133546</v>
      </c>
      <c r="O47" s="125">
        <f t="shared" si="109"/>
        <v>186175453.23592931</v>
      </c>
      <c r="P47" s="125">
        <f t="shared" si="109"/>
        <v>186800776.84395054</v>
      </c>
      <c r="Q47" s="125">
        <f t="shared" si="109"/>
        <v>187880522.74387103</v>
      </c>
      <c r="R47" s="125">
        <f t="shared" si="109"/>
        <v>190813021.32207292</v>
      </c>
      <c r="S47" s="125">
        <f t="shared" ref="S47" si="110">+S48+S60+S83</f>
        <v>193628489.79011858</v>
      </c>
      <c r="T47" s="125">
        <f t="shared" ref="T47:V47" si="111">+T48+T60+T83</f>
        <v>196272043.50843841</v>
      </c>
      <c r="U47" s="125">
        <f t="shared" si="111"/>
        <v>198702885.80825239</v>
      </c>
      <c r="V47" s="125">
        <f t="shared" si="111"/>
        <v>200828406.47461647</v>
      </c>
      <c r="W47" s="125">
        <f t="shared" ref="W47:AC47" si="112">+W48+W60+W83</f>
        <v>124104263.42411146</v>
      </c>
      <c r="X47" s="125">
        <f t="shared" si="112"/>
        <v>46290610.765574008</v>
      </c>
      <c r="Y47" s="125">
        <f t="shared" si="112"/>
        <v>-32010712.206083894</v>
      </c>
      <c r="Z47" s="125">
        <f t="shared" si="112"/>
        <v>-110517058.7137883</v>
      </c>
      <c r="AA47" s="125">
        <f t="shared" si="112"/>
        <v>-190180719.68958408</v>
      </c>
      <c r="AB47" s="125">
        <f t="shared" si="112"/>
        <v>-271025229.59979415</v>
      </c>
      <c r="AC47" s="125">
        <f t="shared" si="112"/>
        <v>-353074605.40810561</v>
      </c>
      <c r="AD47" s="4"/>
    </row>
    <row r="48" spans="1:30" ht="13.5" customHeight="1">
      <c r="A48" s="5">
        <v>1</v>
      </c>
      <c r="B48" s="100" t="s">
        <v>105</v>
      </c>
      <c r="C48" s="185">
        <f t="shared" ref="C48" si="113">+C49+C52+C55+C58+C59</f>
        <v>-53444000.619999997</v>
      </c>
      <c r="D48" s="185">
        <f t="shared" ref="D48:H48" si="114">+D49+D52+D55+D58+D59</f>
        <v>-70157249.460000008</v>
      </c>
      <c r="E48" s="185">
        <f t="shared" si="114"/>
        <v>-69006459.099999994</v>
      </c>
      <c r="F48" s="185">
        <f t="shared" si="114"/>
        <v>-69143779.850000009</v>
      </c>
      <c r="G48" s="185">
        <f t="shared" si="114"/>
        <v>-94991475.929999992</v>
      </c>
      <c r="H48" s="185">
        <f t="shared" si="114"/>
        <v>-114802698.06999993</v>
      </c>
      <c r="I48" s="102">
        <f t="shared" ref="I48:M48" si="115">+I49+I52+I55+I58+I59</f>
        <v>-109664990.60298492</v>
      </c>
      <c r="J48" s="102">
        <f t="shared" si="115"/>
        <v>-93709750.550417513</v>
      </c>
      <c r="K48" s="102">
        <f t="shared" si="115"/>
        <v>-80471688.918834344</v>
      </c>
      <c r="L48" s="102">
        <f t="shared" si="115"/>
        <v>-70001574.781534553</v>
      </c>
      <c r="M48" s="102">
        <f t="shared" si="115"/>
        <v>-62072589.861902125</v>
      </c>
      <c r="N48" s="102">
        <f t="shared" ref="N48:R48" si="116">+N49+N52+N55+N58+N59</f>
        <v>-54810020.809128642</v>
      </c>
      <c r="O48" s="102">
        <f t="shared" si="116"/>
        <v>-50754567.448752627</v>
      </c>
      <c r="P48" s="102">
        <f t="shared" si="116"/>
        <v>-49452573.205328822</v>
      </c>
      <c r="Q48" s="102">
        <f t="shared" si="116"/>
        <v>-48992235.380017459</v>
      </c>
      <c r="R48" s="102">
        <f t="shared" si="116"/>
        <v>-46641497.07102713</v>
      </c>
      <c r="S48" s="102">
        <f t="shared" ref="S48" si="117">+S49+S52+S55+S58+S59</f>
        <v>-44443181.336866319</v>
      </c>
      <c r="T48" s="102">
        <f t="shared" ref="T48:V48" si="118">+T49+T52+T55+T58+T59</f>
        <v>-41810386.315956801</v>
      </c>
      <c r="U48" s="102">
        <f t="shared" si="118"/>
        <v>-39460927.579354152</v>
      </c>
      <c r="V48" s="102">
        <f t="shared" si="118"/>
        <v>-37368370.691055894</v>
      </c>
      <c r="W48" s="102">
        <f t="shared" ref="W48:AC48" si="119">+W49+W52+W55+W58+W59</f>
        <v>-114296009.22374958</v>
      </c>
      <c r="X48" s="102">
        <f t="shared" si="119"/>
        <v>-192317375.80545616</v>
      </c>
      <c r="Y48" s="102">
        <f t="shared" si="119"/>
        <v>-270830725.44245386</v>
      </c>
      <c r="Z48" s="102">
        <f t="shared" si="119"/>
        <v>-349553507.79319215</v>
      </c>
      <c r="AA48" s="102">
        <f t="shared" si="119"/>
        <v>-429438112.40846658</v>
      </c>
      <c r="AB48" s="102">
        <f t="shared" si="119"/>
        <v>-510508174.60660589</v>
      </c>
      <c r="AC48" s="102">
        <f t="shared" si="119"/>
        <v>-592787814.48774493</v>
      </c>
      <c r="AD48" s="4"/>
    </row>
    <row r="49" spans="1:30" ht="13.5" customHeight="1">
      <c r="A49" s="5">
        <v>1</v>
      </c>
      <c r="B49" s="93" t="s">
        <v>106</v>
      </c>
      <c r="C49" s="188">
        <f t="shared" ref="C49" si="120">+C50+C51</f>
        <v>0</v>
      </c>
      <c r="D49" s="188">
        <f t="shared" ref="D49:H49" si="121">+D50+D51</f>
        <v>0</v>
      </c>
      <c r="E49" s="188">
        <f t="shared" si="121"/>
        <v>0</v>
      </c>
      <c r="F49" s="188">
        <f t="shared" si="121"/>
        <v>0</v>
      </c>
      <c r="G49" s="188">
        <f t="shared" si="121"/>
        <v>0</v>
      </c>
      <c r="H49" s="188">
        <f t="shared" si="121"/>
        <v>0</v>
      </c>
      <c r="I49" s="95">
        <f t="shared" ref="I49:M49" si="122">+I50+I51</f>
        <v>0</v>
      </c>
      <c r="J49" s="95">
        <f t="shared" si="122"/>
        <v>0</v>
      </c>
      <c r="K49" s="95">
        <f t="shared" si="122"/>
        <v>0</v>
      </c>
      <c r="L49" s="95">
        <f t="shared" si="122"/>
        <v>0</v>
      </c>
      <c r="M49" s="95">
        <f t="shared" si="122"/>
        <v>0</v>
      </c>
      <c r="N49" s="95">
        <f t="shared" ref="N49:R49" si="123">+N50+N51</f>
        <v>0</v>
      </c>
      <c r="O49" s="95">
        <f t="shared" si="123"/>
        <v>0</v>
      </c>
      <c r="P49" s="95">
        <f t="shared" si="123"/>
        <v>0</v>
      </c>
      <c r="Q49" s="95">
        <f t="shared" si="123"/>
        <v>0</v>
      </c>
      <c r="R49" s="95">
        <f t="shared" si="123"/>
        <v>0</v>
      </c>
      <c r="S49" s="95">
        <f t="shared" ref="S49" si="124">+S50+S51</f>
        <v>0</v>
      </c>
      <c r="T49" s="95">
        <f t="shared" ref="T49:V49" si="125">+T50+T51</f>
        <v>0</v>
      </c>
      <c r="U49" s="95">
        <f t="shared" si="125"/>
        <v>0</v>
      </c>
      <c r="V49" s="95">
        <f t="shared" si="125"/>
        <v>0</v>
      </c>
      <c r="W49" s="95">
        <f t="shared" ref="W49:AC49" si="126">+W50+W51</f>
        <v>0</v>
      </c>
      <c r="X49" s="95">
        <f t="shared" si="126"/>
        <v>0</v>
      </c>
      <c r="Y49" s="95">
        <f t="shared" si="126"/>
        <v>0</v>
      </c>
      <c r="Z49" s="95">
        <f t="shared" si="126"/>
        <v>0</v>
      </c>
      <c r="AA49" s="95">
        <f t="shared" si="126"/>
        <v>0</v>
      </c>
      <c r="AB49" s="95">
        <f t="shared" si="126"/>
        <v>0</v>
      </c>
      <c r="AC49" s="95">
        <f t="shared" si="126"/>
        <v>0</v>
      </c>
      <c r="AD49" s="4"/>
    </row>
    <row r="50" spans="1:30" ht="13.5" customHeight="1">
      <c r="A50" s="5">
        <v>2</v>
      </c>
      <c r="B50" s="97" t="s">
        <v>106</v>
      </c>
      <c r="C50" s="187"/>
      <c r="D50" s="187"/>
      <c r="E50" s="187"/>
      <c r="F50" s="187"/>
      <c r="G50" s="187"/>
      <c r="H50" s="187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4"/>
    </row>
    <row r="51" spans="1:30" ht="13.5" customHeight="1">
      <c r="A51" s="5">
        <v>2</v>
      </c>
      <c r="B51" s="97" t="s">
        <v>107</v>
      </c>
      <c r="C51" s="187"/>
      <c r="D51" s="187"/>
      <c r="E51" s="187"/>
      <c r="F51" s="187"/>
      <c r="G51" s="187"/>
      <c r="H51" s="187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4"/>
    </row>
    <row r="52" spans="1:30" ht="13.5" customHeight="1">
      <c r="A52" s="5">
        <v>1</v>
      </c>
      <c r="B52" s="93" t="s">
        <v>108</v>
      </c>
      <c r="C52" s="188">
        <f t="shared" ref="C52" si="127">+C53+C54</f>
        <v>0</v>
      </c>
      <c r="D52" s="188">
        <f t="shared" ref="D52:H52" si="128">+D53+D54</f>
        <v>0</v>
      </c>
      <c r="E52" s="188">
        <f t="shared" si="128"/>
        <v>0</v>
      </c>
      <c r="F52" s="188">
        <f t="shared" si="128"/>
        <v>0</v>
      </c>
      <c r="G52" s="188">
        <f t="shared" si="128"/>
        <v>0</v>
      </c>
      <c r="H52" s="188">
        <f t="shared" si="128"/>
        <v>0</v>
      </c>
      <c r="I52" s="95">
        <f t="shared" ref="I52:M52" si="129">+I53+I54</f>
        <v>55792174.581842169</v>
      </c>
      <c r="J52" s="95">
        <f t="shared" si="129"/>
        <v>124121460.87604396</v>
      </c>
      <c r="K52" s="95">
        <f t="shared" si="129"/>
        <v>192260991.93998772</v>
      </c>
      <c r="L52" s="95">
        <f t="shared" si="129"/>
        <v>260982893.37625194</v>
      </c>
      <c r="M52" s="95">
        <f t="shared" si="129"/>
        <v>330564951.10863388</v>
      </c>
      <c r="N52" s="95">
        <f t="shared" ref="N52:R52" si="130">+N53+N54</f>
        <v>402632419.95168543</v>
      </c>
      <c r="O52" s="95">
        <f t="shared" si="130"/>
        <v>474580616.36256886</v>
      </c>
      <c r="P52" s="95">
        <f t="shared" si="130"/>
        <v>546907717.73909903</v>
      </c>
      <c r="Q52" s="95">
        <f t="shared" si="130"/>
        <v>619765526.77864099</v>
      </c>
      <c r="R52" s="95">
        <f t="shared" si="130"/>
        <v>694108227.32932115</v>
      </c>
      <c r="S52" s="95">
        <f t="shared" ref="S52" si="131">+S53+S54</f>
        <v>769917876.39821672</v>
      </c>
      <c r="T52" s="95">
        <f t="shared" ref="T52:V52" si="132">+T53+T54</f>
        <v>846666149.28476894</v>
      </c>
      <c r="U52" s="95">
        <f t="shared" si="132"/>
        <v>923947081.56279433</v>
      </c>
      <c r="V52" s="95">
        <f t="shared" si="132"/>
        <v>1001895341.0980338</v>
      </c>
      <c r="W52" s="95">
        <f t="shared" ref="W52:AC52" si="133">+W53+W54</f>
        <v>1001895341.0980338</v>
      </c>
      <c r="X52" s="95">
        <f t="shared" si="133"/>
        <v>1001895341.0980338</v>
      </c>
      <c r="Y52" s="95">
        <f t="shared" si="133"/>
        <v>1001895341.0980338</v>
      </c>
      <c r="Z52" s="95">
        <f t="shared" si="133"/>
        <v>1001895341.0980338</v>
      </c>
      <c r="AA52" s="95">
        <f t="shared" si="133"/>
        <v>1001895341.0980338</v>
      </c>
      <c r="AB52" s="95">
        <f t="shared" si="133"/>
        <v>1001895341.0980338</v>
      </c>
      <c r="AC52" s="95">
        <f t="shared" si="133"/>
        <v>1001895341.0980338</v>
      </c>
      <c r="AD52" s="4"/>
    </row>
    <row r="53" spans="1:30" ht="13.5" customHeight="1">
      <c r="A53" s="5">
        <v>2</v>
      </c>
      <c r="B53" s="97" t="s">
        <v>108</v>
      </c>
      <c r="C53" s="187"/>
      <c r="D53" s="187"/>
      <c r="E53" s="187"/>
      <c r="F53" s="187"/>
      <c r="G53" s="187"/>
      <c r="H53" s="187"/>
      <c r="I53" s="92">
        <f>H53-'FCFs"0"'!C31</f>
        <v>55792174.581842169</v>
      </c>
      <c r="J53" s="92">
        <f>I53-'FCFs"0"'!D31</f>
        <v>124121460.87604396</v>
      </c>
      <c r="K53" s="92">
        <f>J53-'FCFs"0"'!E31</f>
        <v>192260991.93998772</v>
      </c>
      <c r="L53" s="92">
        <f>K53-'FCFs"0"'!F31</f>
        <v>260982893.37625194</v>
      </c>
      <c r="M53" s="92">
        <f>L53-'FCFs"0"'!G31</f>
        <v>330564951.10863388</v>
      </c>
      <c r="N53" s="92">
        <f>M53-'FCFs"0"'!H31</f>
        <v>402632419.95168543</v>
      </c>
      <c r="O53" s="92">
        <f>N53-'FCFs"0"'!I31</f>
        <v>474580616.36256886</v>
      </c>
      <c r="P53" s="92">
        <f>O53-'FCFs"0"'!J31</f>
        <v>546907717.73909903</v>
      </c>
      <c r="Q53" s="92">
        <f>P53-'FCFs"0"'!K31</f>
        <v>619765526.77864099</v>
      </c>
      <c r="R53" s="92">
        <f>Q53-'FCFs"0"'!L31</f>
        <v>694108227.32932115</v>
      </c>
      <c r="S53" s="92">
        <f>R53-'FCFs"0"'!M31</f>
        <v>769917876.39821672</v>
      </c>
      <c r="T53" s="92">
        <f>S53-'FCFs"0"'!N31</f>
        <v>846666149.28476894</v>
      </c>
      <c r="U53" s="92">
        <f>T53-'FCFs"0"'!O31</f>
        <v>923947081.56279433</v>
      </c>
      <c r="V53" s="92">
        <f>U53-'FCFs"0"'!P31</f>
        <v>1001895341.0980338</v>
      </c>
      <c r="W53" s="92">
        <f>V53-'FCFs"0"'!Q31</f>
        <v>1001895341.0980338</v>
      </c>
      <c r="X53" s="92">
        <f>W53-'FCFs"0"'!R31</f>
        <v>1001895341.0980338</v>
      </c>
      <c r="Y53" s="92">
        <f>X53-'FCFs"0"'!S31</f>
        <v>1001895341.0980338</v>
      </c>
      <c r="Z53" s="92">
        <f>Y53-'FCFs"0"'!T31</f>
        <v>1001895341.0980338</v>
      </c>
      <c r="AA53" s="92">
        <f>Z53-'FCFs"0"'!U31</f>
        <v>1001895341.0980338</v>
      </c>
      <c r="AB53" s="92">
        <f>AA53-'FCFs"0"'!V31</f>
        <v>1001895341.0980338</v>
      </c>
      <c r="AC53" s="92">
        <f>AB53-'FCFs"0"'!W31</f>
        <v>1001895341.0980338</v>
      </c>
      <c r="AD53" s="4"/>
    </row>
    <row r="54" spans="1:30" ht="13.5" customHeight="1">
      <c r="A54" s="5">
        <v>2</v>
      </c>
      <c r="B54" s="97" t="s">
        <v>109</v>
      </c>
      <c r="C54" s="187"/>
      <c r="D54" s="187"/>
      <c r="E54" s="187"/>
      <c r="F54" s="187"/>
      <c r="G54" s="187"/>
      <c r="H54" s="187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4"/>
    </row>
    <row r="55" spans="1:30" ht="13.5" customHeight="1">
      <c r="A55" s="5">
        <v>1</v>
      </c>
      <c r="B55" s="93" t="s">
        <v>110</v>
      </c>
      <c r="C55" s="188">
        <f t="shared" ref="C55" si="134">+C56+C57</f>
        <v>0</v>
      </c>
      <c r="D55" s="188">
        <f t="shared" ref="D55:H55" si="135">+D56+D57</f>
        <v>0</v>
      </c>
      <c r="E55" s="188">
        <f t="shared" si="135"/>
        <v>0</v>
      </c>
      <c r="F55" s="188">
        <f t="shared" si="135"/>
        <v>0</v>
      </c>
      <c r="G55" s="188">
        <f t="shared" si="135"/>
        <v>0</v>
      </c>
      <c r="H55" s="188">
        <f t="shared" si="135"/>
        <v>0</v>
      </c>
      <c r="I55" s="95">
        <f t="shared" ref="I55:M55" si="136">+I56+I57</f>
        <v>0</v>
      </c>
      <c r="J55" s="95">
        <f t="shared" si="136"/>
        <v>0</v>
      </c>
      <c r="K55" s="95">
        <f t="shared" si="136"/>
        <v>0</v>
      </c>
      <c r="L55" s="95">
        <f t="shared" si="136"/>
        <v>0</v>
      </c>
      <c r="M55" s="95">
        <f t="shared" si="136"/>
        <v>0</v>
      </c>
      <c r="N55" s="95">
        <f t="shared" ref="N55:R55" si="137">+N56+N57</f>
        <v>0</v>
      </c>
      <c r="O55" s="95">
        <f t="shared" si="137"/>
        <v>0</v>
      </c>
      <c r="P55" s="95">
        <f t="shared" si="137"/>
        <v>0</v>
      </c>
      <c r="Q55" s="95">
        <f t="shared" si="137"/>
        <v>0</v>
      </c>
      <c r="R55" s="95">
        <f t="shared" si="137"/>
        <v>0</v>
      </c>
      <c r="S55" s="95">
        <f t="shared" ref="S55" si="138">+S56+S57</f>
        <v>0</v>
      </c>
      <c r="T55" s="95">
        <f t="shared" ref="T55:V55" si="139">+T56+T57</f>
        <v>0</v>
      </c>
      <c r="U55" s="95">
        <f t="shared" si="139"/>
        <v>0</v>
      </c>
      <c r="V55" s="95">
        <f t="shared" si="139"/>
        <v>0</v>
      </c>
      <c r="W55" s="95">
        <f t="shared" ref="W55:AC55" si="140">+W56+W57</f>
        <v>0</v>
      </c>
      <c r="X55" s="95">
        <f t="shared" si="140"/>
        <v>0</v>
      </c>
      <c r="Y55" s="95">
        <f t="shared" si="140"/>
        <v>0</v>
      </c>
      <c r="Z55" s="95">
        <f t="shared" si="140"/>
        <v>0</v>
      </c>
      <c r="AA55" s="95">
        <f t="shared" si="140"/>
        <v>0</v>
      </c>
      <c r="AB55" s="95">
        <f t="shared" si="140"/>
        <v>0</v>
      </c>
      <c r="AC55" s="95">
        <f t="shared" si="140"/>
        <v>0</v>
      </c>
      <c r="AD55" s="4"/>
    </row>
    <row r="56" spans="1:30" ht="13.5" customHeight="1">
      <c r="A56" s="5">
        <v>2</v>
      </c>
      <c r="B56" s="97" t="s">
        <v>111</v>
      </c>
      <c r="C56" s="187"/>
      <c r="D56" s="187"/>
      <c r="E56" s="187"/>
      <c r="F56" s="187"/>
      <c r="G56" s="187"/>
      <c r="H56" s="187"/>
      <c r="I56" s="283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"/>
    </row>
    <row r="57" spans="1:30" ht="13.5" customHeight="1">
      <c r="A57" s="5">
        <v>2</v>
      </c>
      <c r="B57" s="97" t="s">
        <v>112</v>
      </c>
      <c r="C57" s="187"/>
      <c r="D57" s="187"/>
      <c r="E57" s="187"/>
      <c r="F57" s="187"/>
      <c r="G57" s="187"/>
      <c r="H57" s="187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"/>
    </row>
    <row r="58" spans="1:30" ht="13.5" customHeight="1">
      <c r="A58" s="5">
        <v>1</v>
      </c>
      <c r="B58" s="93" t="s">
        <v>113</v>
      </c>
      <c r="C58" s="188">
        <f>BS_Data!E12</f>
        <v>-34934574.479999997</v>
      </c>
      <c r="D58" s="188">
        <f>BS_Data!F12</f>
        <v>-52824437.450000003</v>
      </c>
      <c r="E58" s="188">
        <f>BS_Data!G12</f>
        <v>-71384596.780000001</v>
      </c>
      <c r="F58" s="188">
        <f>BS_Data!H12</f>
        <v>-68802116.540000007</v>
      </c>
      <c r="G58" s="188">
        <f>BS_Data!I12</f>
        <v>-69911174.849999994</v>
      </c>
      <c r="H58" s="188">
        <f>BS_Data!J12</f>
        <v>-95395229.810000002</v>
      </c>
      <c r="I58" s="95">
        <f>H58+H59-IFERROR('FCFs"0"'!D30,0)</f>
        <v>-114802698.06999993</v>
      </c>
      <c r="J58" s="95">
        <f>I58+I59-IFERROR('FCFs"0"'!E30,0)</f>
        <v>-165457165.18482709</v>
      </c>
      <c r="K58" s="95">
        <f>J58+J59-IFERROR('FCFs"0"'!F30,0)</f>
        <v>-217831211.42646146</v>
      </c>
      <c r="L58" s="95">
        <f>K58+K59-IFERROR('FCFs"0"'!G30,0)</f>
        <v>-272732680.85882205</v>
      </c>
      <c r="M58" s="95">
        <f>L58+L59-IFERROR('FCFs"0"'!H30,0)</f>
        <v>-330984468.15778649</v>
      </c>
      <c r="N58" s="95">
        <f>M58+M59-IFERROR('FCFs"0"'!I30,0)</f>
        <v>-392637540.97053599</v>
      </c>
      <c r="O58" s="95">
        <f>N58+N59-IFERROR('FCFs"0"'!J30,0)</f>
        <v>-457442440.76081407</v>
      </c>
      <c r="P58" s="95">
        <f>O58+O59-IFERROR('FCFs"0"'!K30,0)</f>
        <v>-525335183.8113215</v>
      </c>
      <c r="Q58" s="95">
        <f>P58+P59-IFERROR('FCFs"0"'!#REF!,0)</f>
        <v>-596360290.94442785</v>
      </c>
      <c r="R58" s="95">
        <f>Q58+Q59-IFERROR('FCFs"0"'!L30,0)</f>
        <v>-668757762.1586585</v>
      </c>
      <c r="S58" s="95">
        <f>R58+R59-IFERROR('FCFs"0"'!M30,0)</f>
        <v>-740749724.40034831</v>
      </c>
      <c r="T58" s="95">
        <f>S58+S59-IFERROR('FCFs"0"'!X30,0)</f>
        <v>-814361057.7350831</v>
      </c>
      <c r="U58" s="95">
        <f>T58+T59-IFERROR('FCFs"0"'!Y30,0)</f>
        <v>-888476535.60072577</v>
      </c>
      <c r="V58" s="95">
        <f>U58+U59-IFERROR('FCFs"0"'!Z30,0)</f>
        <v>-963408009.14214849</v>
      </c>
      <c r="W58" s="95">
        <f>V58+V59-IFERROR('FCFs"0"'!AA30,0)</f>
        <v>-1039263711.7890897</v>
      </c>
      <c r="X58" s="95">
        <f>W58+W59-IFERROR('FCFs"0"'!AB30,0)</f>
        <v>-1116191350.3217833</v>
      </c>
      <c r="Y58" s="95">
        <f>X58+X59-IFERROR('FCFs"0"'!AC30,0)</f>
        <v>-1194212716.9034901</v>
      </c>
      <c r="Z58" s="95">
        <f>Y58+Y59-IFERROR('FCFs"0"'!AD30,0)</f>
        <v>-1272726066.5404878</v>
      </c>
      <c r="AA58" s="95">
        <f>Z58+Z59-IFERROR('FCFs"0"'!AE30,0)</f>
        <v>-1351448848.8912258</v>
      </c>
      <c r="AB58" s="95">
        <f>AA58+AA59-IFERROR('FCFs"0"'!AF30,0)</f>
        <v>-1431333453.5065002</v>
      </c>
      <c r="AC58" s="95">
        <f>AB58+AB59-IFERROR('FCFs"0"'!AG30,0)</f>
        <v>-1512403515.7046397</v>
      </c>
      <c r="AD58" s="4"/>
    </row>
    <row r="59" spans="1:30" ht="13.5" customHeight="1">
      <c r="A59" s="5">
        <v>1</v>
      </c>
      <c r="B59" s="93" t="s">
        <v>114</v>
      </c>
      <c r="C59" s="188">
        <f>BS_Data!E13</f>
        <v>-18509426.140000001</v>
      </c>
      <c r="D59" s="188">
        <f>BS_Data!F13</f>
        <v>-17332812.010000002</v>
      </c>
      <c r="E59" s="188">
        <f>BS_Data!G13</f>
        <v>2378137.6800000002</v>
      </c>
      <c r="F59" s="188">
        <f>BS_Data!H13</f>
        <v>-341663.31</v>
      </c>
      <c r="G59" s="188">
        <f>BS_Data!I13</f>
        <v>-25080301.079999998</v>
      </c>
      <c r="H59" s="188">
        <f>BS_Data!J13</f>
        <v>-19407468.259999931</v>
      </c>
      <c r="I59" s="95">
        <f>+'PL"0"'!I54</f>
        <v>-50654467.114827156</v>
      </c>
      <c r="J59" s="95">
        <f>+'PL"0"'!J54</f>
        <v>-52374046.241634384</v>
      </c>
      <c r="K59" s="95">
        <f>+'PL"0"'!K54</f>
        <v>-54901469.432360604</v>
      </c>
      <c r="L59" s="95">
        <f>+'PL"0"'!L54</f>
        <v>-58251787.298964448</v>
      </c>
      <c r="M59" s="95">
        <f>+'PL"0"'!M54</f>
        <v>-61653072.812749512</v>
      </c>
      <c r="N59" s="95">
        <f>+'PL"0"'!N54</f>
        <v>-64804899.790278077</v>
      </c>
      <c r="O59" s="95">
        <f>+'PL"0"'!O54</f>
        <v>-67892743.050507411</v>
      </c>
      <c r="P59" s="95">
        <f>+'PL"0"'!P54</f>
        <v>-71025107.133106351</v>
      </c>
      <c r="Q59" s="95">
        <f>+'PL"0"'!Q54</f>
        <v>-72397471.214230597</v>
      </c>
      <c r="R59" s="95">
        <f>+'PL"0"'!R54</f>
        <v>-71991962.241689771</v>
      </c>
      <c r="S59" s="95">
        <f>+'PL"0"'!S54</f>
        <v>-73611333.334734738</v>
      </c>
      <c r="T59" s="95">
        <f>+'PL"0"'!T54</f>
        <v>-74115477.865642637</v>
      </c>
      <c r="U59" s="95">
        <f>+'PL"0"'!U54</f>
        <v>-74931473.54142271</v>
      </c>
      <c r="V59" s="95">
        <f>+'PL"0"'!V54</f>
        <v>-75855702.646941185</v>
      </c>
      <c r="W59" s="95">
        <f>+'PL"0"'!W54</f>
        <v>-76927638.532693684</v>
      </c>
      <c r="X59" s="95">
        <f>+'PL"0"'!X54</f>
        <v>-78021366.581706643</v>
      </c>
      <c r="Y59" s="95">
        <f>+'PL"0"'!Y54</f>
        <v>-78513349.636997581</v>
      </c>
      <c r="Z59" s="95">
        <f>+'PL"0"'!Z54</f>
        <v>-78722782.350738138</v>
      </c>
      <c r="AA59" s="95">
        <f>+'PL"0"'!AA54</f>
        <v>-79884604.615274519</v>
      </c>
      <c r="AB59" s="95">
        <f>+'PL"0"'!AB54</f>
        <v>-81070062.198139429</v>
      </c>
      <c r="AC59" s="95">
        <f>+'PL"0"'!AC54</f>
        <v>-82279639.881139025</v>
      </c>
      <c r="AD59" s="4"/>
    </row>
    <row r="60" spans="1:30" ht="13.5" customHeight="1">
      <c r="A60" s="5">
        <v>1</v>
      </c>
      <c r="B60" s="100" t="s">
        <v>64</v>
      </c>
      <c r="C60" s="185">
        <f t="shared" ref="C60" si="141">+C61+C65+C71+C79</f>
        <v>128460286.45999999</v>
      </c>
      <c r="D60" s="185">
        <f t="shared" ref="D60:H60" si="142">+D61+D65+D71+D79</f>
        <v>144867923.59999999</v>
      </c>
      <c r="E60" s="185">
        <f t="shared" si="142"/>
        <v>143032587.25</v>
      </c>
      <c r="F60" s="185">
        <f t="shared" si="142"/>
        <v>155916886.98999998</v>
      </c>
      <c r="G60" s="185">
        <f t="shared" si="142"/>
        <v>190499596.78</v>
      </c>
      <c r="H60" s="185">
        <f t="shared" si="142"/>
        <v>234862372.89999998</v>
      </c>
      <c r="I60" s="102">
        <f t="shared" ref="I60:M60" si="143">+I61+I65+I71+I79</f>
        <v>238420532.14667019</v>
      </c>
      <c r="J60" s="102">
        <f t="shared" si="143"/>
        <v>237978051.20786789</v>
      </c>
      <c r="K60" s="102">
        <f t="shared" si="143"/>
        <v>238205394.11304775</v>
      </c>
      <c r="L60" s="102">
        <f t="shared" si="143"/>
        <v>238850369.74108368</v>
      </c>
      <c r="M60" s="102">
        <f t="shared" si="143"/>
        <v>239871551.20413092</v>
      </c>
      <c r="N60" s="102">
        <f t="shared" ref="N60:R60" si="144">+N61+N65+N71+N79</f>
        <v>237427595.10046411</v>
      </c>
      <c r="O60" s="102">
        <f t="shared" si="144"/>
        <v>235441139.18468192</v>
      </c>
      <c r="P60" s="102">
        <f t="shared" si="144"/>
        <v>234764468.54927936</v>
      </c>
      <c r="Q60" s="102">
        <f t="shared" si="144"/>
        <v>235383876.62388849</v>
      </c>
      <c r="R60" s="102">
        <f t="shared" si="144"/>
        <v>235965636.89310005</v>
      </c>
      <c r="S60" s="102">
        <f t="shared" ref="S60" si="145">+S61+S65+S71+S79</f>
        <v>236582789.62698489</v>
      </c>
      <c r="T60" s="102">
        <f t="shared" ref="T60:V60" si="146">+T61+T65+T71+T79</f>
        <v>236593548.32439521</v>
      </c>
      <c r="U60" s="102">
        <f t="shared" si="146"/>
        <v>236674931.88760653</v>
      </c>
      <c r="V60" s="102">
        <f t="shared" si="146"/>
        <v>236707895.66567236</v>
      </c>
      <c r="W60" s="102">
        <f t="shared" ref="W60:AC60" si="147">+W61+W65+W71+W79</f>
        <v>236911391.14786103</v>
      </c>
      <c r="X60" s="102">
        <f t="shared" si="147"/>
        <v>237119105.07103017</v>
      </c>
      <c r="Y60" s="102">
        <f t="shared" si="147"/>
        <v>237331131.73636997</v>
      </c>
      <c r="Z60" s="102">
        <f t="shared" si="147"/>
        <v>237547567.57940385</v>
      </c>
      <c r="AA60" s="102">
        <f t="shared" si="147"/>
        <v>237768511.2188825</v>
      </c>
      <c r="AB60" s="102">
        <f t="shared" si="147"/>
        <v>237994063.50681171</v>
      </c>
      <c r="AC60" s="102">
        <f t="shared" si="147"/>
        <v>238224327.57963929</v>
      </c>
      <c r="AD60" s="4"/>
    </row>
    <row r="61" spans="1:30" ht="13.5" customHeight="1">
      <c r="A61" s="5">
        <v>1</v>
      </c>
      <c r="B61" s="93" t="s">
        <v>65</v>
      </c>
      <c r="C61" s="188">
        <f t="shared" ref="C61" si="148">+C62+C63+C64</f>
        <v>3133695.12</v>
      </c>
      <c r="D61" s="188">
        <f t="shared" ref="D61:H61" si="149">+D62+D63+D64</f>
        <v>1086936.94</v>
      </c>
      <c r="E61" s="188">
        <f t="shared" si="149"/>
        <v>2786331.6</v>
      </c>
      <c r="F61" s="188">
        <f t="shared" si="149"/>
        <v>3198032.23</v>
      </c>
      <c r="G61" s="188">
        <f t="shared" si="149"/>
        <v>20104621.569999997</v>
      </c>
      <c r="H61" s="188">
        <f t="shared" si="149"/>
        <v>29441022.129999999</v>
      </c>
      <c r="I61" s="95">
        <f t="shared" ref="I61:M61" si="150">+I62+I63+I64</f>
        <v>29441022.129999999</v>
      </c>
      <c r="J61" s="95">
        <f t="shared" si="150"/>
        <v>29441022.129999999</v>
      </c>
      <c r="K61" s="95">
        <f t="shared" si="150"/>
        <v>29441022.129999999</v>
      </c>
      <c r="L61" s="95">
        <f t="shared" si="150"/>
        <v>29441022.129999999</v>
      </c>
      <c r="M61" s="95">
        <f t="shared" si="150"/>
        <v>29441022.129999999</v>
      </c>
      <c r="N61" s="95">
        <f t="shared" ref="N61:R61" si="151">+N62+N63+N64</f>
        <v>29441022.129999999</v>
      </c>
      <c r="O61" s="95">
        <f t="shared" si="151"/>
        <v>29441022.129999999</v>
      </c>
      <c r="P61" s="95">
        <f t="shared" si="151"/>
        <v>29441022.129999999</v>
      </c>
      <c r="Q61" s="95">
        <f t="shared" si="151"/>
        <v>29441022.129999999</v>
      </c>
      <c r="R61" s="95">
        <f t="shared" si="151"/>
        <v>29441022.129999999</v>
      </c>
      <c r="S61" s="95">
        <f t="shared" ref="S61" si="152">+S62+S63+S64</f>
        <v>29441022.129999999</v>
      </c>
      <c r="T61" s="95">
        <f t="shared" ref="T61:V61" si="153">+T62+T63+T64</f>
        <v>29441022.129999999</v>
      </c>
      <c r="U61" s="95">
        <f t="shared" si="153"/>
        <v>29441022.129999999</v>
      </c>
      <c r="V61" s="95">
        <f t="shared" si="153"/>
        <v>29441022.129999999</v>
      </c>
      <c r="W61" s="95">
        <f t="shared" ref="W61:AC61" si="154">+W62+W63+W64</f>
        <v>29441022.129999999</v>
      </c>
      <c r="X61" s="95">
        <f t="shared" si="154"/>
        <v>29441022.129999999</v>
      </c>
      <c r="Y61" s="95">
        <f t="shared" si="154"/>
        <v>29441022.129999999</v>
      </c>
      <c r="Z61" s="95">
        <f t="shared" si="154"/>
        <v>29441022.129999999</v>
      </c>
      <c r="AA61" s="95">
        <f t="shared" si="154"/>
        <v>29441022.129999999</v>
      </c>
      <c r="AB61" s="95">
        <f t="shared" si="154"/>
        <v>29441022.129999999</v>
      </c>
      <c r="AC61" s="95">
        <f t="shared" si="154"/>
        <v>29441022.129999999</v>
      </c>
      <c r="AD61" s="4"/>
    </row>
    <row r="62" spans="1:30" ht="13.5" customHeight="1">
      <c r="A62" s="5">
        <v>2</v>
      </c>
      <c r="B62" s="97" t="s">
        <v>115</v>
      </c>
      <c r="C62" s="187">
        <f>BS_Data!E18</f>
        <v>33326</v>
      </c>
      <c r="D62" s="187">
        <f>BS_Data!F18</f>
        <v>18014</v>
      </c>
      <c r="E62" s="187">
        <f>BS_Data!G18</f>
        <v>20631.599999999999</v>
      </c>
      <c r="F62" s="187">
        <f>BS_Data!H18</f>
        <v>25745.26</v>
      </c>
      <c r="G62" s="187">
        <f>BS_Data!I18</f>
        <v>286709.33</v>
      </c>
      <c r="H62" s="187">
        <f>BS_Data!J18</f>
        <v>251595.33</v>
      </c>
      <c r="I62" s="283">
        <f>H62</f>
        <v>251595.33</v>
      </c>
      <c r="J62" s="92">
        <f t="shared" ref="J62:R62" si="155">I62</f>
        <v>251595.33</v>
      </c>
      <c r="K62" s="92">
        <f t="shared" si="155"/>
        <v>251595.33</v>
      </c>
      <c r="L62" s="92">
        <f t="shared" si="155"/>
        <v>251595.33</v>
      </c>
      <c r="M62" s="92">
        <f t="shared" si="155"/>
        <v>251595.33</v>
      </c>
      <c r="N62" s="92">
        <f t="shared" si="155"/>
        <v>251595.33</v>
      </c>
      <c r="O62" s="92">
        <f t="shared" si="155"/>
        <v>251595.33</v>
      </c>
      <c r="P62" s="92">
        <f t="shared" si="155"/>
        <v>251595.33</v>
      </c>
      <c r="Q62" s="92">
        <f t="shared" si="155"/>
        <v>251595.33</v>
      </c>
      <c r="R62" s="92">
        <f t="shared" si="155"/>
        <v>251595.33</v>
      </c>
      <c r="S62" s="92">
        <f t="shared" ref="S62" si="156">R62</f>
        <v>251595.33</v>
      </c>
      <c r="T62" s="92">
        <f t="shared" ref="T62:V62" si="157">S62</f>
        <v>251595.33</v>
      </c>
      <c r="U62" s="92">
        <f t="shared" si="157"/>
        <v>251595.33</v>
      </c>
      <c r="V62" s="92">
        <f t="shared" si="157"/>
        <v>251595.33</v>
      </c>
      <c r="W62" s="92">
        <f t="shared" ref="W62:AC62" si="158">V62</f>
        <v>251595.33</v>
      </c>
      <c r="X62" s="92">
        <f t="shared" si="158"/>
        <v>251595.33</v>
      </c>
      <c r="Y62" s="92">
        <f t="shared" si="158"/>
        <v>251595.33</v>
      </c>
      <c r="Z62" s="92">
        <f t="shared" si="158"/>
        <v>251595.33</v>
      </c>
      <c r="AA62" s="92">
        <f t="shared" si="158"/>
        <v>251595.33</v>
      </c>
      <c r="AB62" s="92">
        <f t="shared" si="158"/>
        <v>251595.33</v>
      </c>
      <c r="AC62" s="92">
        <f t="shared" si="158"/>
        <v>251595.33</v>
      </c>
      <c r="AD62" s="7">
        <v>0</v>
      </c>
    </row>
    <row r="63" spans="1:30" ht="13.5" customHeight="1">
      <c r="A63" s="5">
        <v>2</v>
      </c>
      <c r="B63" s="97" t="s">
        <v>116</v>
      </c>
      <c r="C63" s="187"/>
      <c r="D63" s="187"/>
      <c r="E63" s="187"/>
      <c r="F63" s="187"/>
      <c r="G63" s="187"/>
      <c r="H63" s="187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</row>
    <row r="64" spans="1:30" ht="13.5" customHeight="1">
      <c r="A64" s="5">
        <v>2</v>
      </c>
      <c r="B64" s="97" t="s">
        <v>117</v>
      </c>
      <c r="C64" s="187">
        <f>BS_Data!E19</f>
        <v>3100369.12</v>
      </c>
      <c r="D64" s="187">
        <f>BS_Data!F19</f>
        <v>1068922.94</v>
      </c>
      <c r="E64" s="187">
        <f>BS_Data!G19</f>
        <v>2765700</v>
      </c>
      <c r="F64" s="187">
        <f>BS_Data!H19</f>
        <v>3172286.97</v>
      </c>
      <c r="G64" s="187">
        <f>BS_Data!I19</f>
        <v>19817912.239999998</v>
      </c>
      <c r="H64" s="187">
        <f>BS_Data!J19</f>
        <v>29189426.800000001</v>
      </c>
      <c r="I64" s="283">
        <f>H64</f>
        <v>29189426.800000001</v>
      </c>
      <c r="J64" s="92">
        <f t="shared" ref="J64:R64" si="159">I64</f>
        <v>29189426.800000001</v>
      </c>
      <c r="K64" s="92">
        <f t="shared" si="159"/>
        <v>29189426.800000001</v>
      </c>
      <c r="L64" s="92">
        <f t="shared" si="159"/>
        <v>29189426.800000001</v>
      </c>
      <c r="M64" s="92">
        <f t="shared" si="159"/>
        <v>29189426.800000001</v>
      </c>
      <c r="N64" s="92">
        <f t="shared" si="159"/>
        <v>29189426.800000001</v>
      </c>
      <c r="O64" s="92">
        <f t="shared" si="159"/>
        <v>29189426.800000001</v>
      </c>
      <c r="P64" s="92">
        <f t="shared" si="159"/>
        <v>29189426.800000001</v>
      </c>
      <c r="Q64" s="92">
        <f t="shared" si="159"/>
        <v>29189426.800000001</v>
      </c>
      <c r="R64" s="92">
        <f t="shared" si="159"/>
        <v>29189426.800000001</v>
      </c>
      <c r="S64" s="92">
        <f t="shared" ref="S64" si="160">R64</f>
        <v>29189426.800000001</v>
      </c>
      <c r="T64" s="92">
        <f t="shared" ref="T64:V64" si="161">S64</f>
        <v>29189426.800000001</v>
      </c>
      <c r="U64" s="92">
        <f t="shared" si="161"/>
        <v>29189426.800000001</v>
      </c>
      <c r="V64" s="92">
        <f t="shared" si="161"/>
        <v>29189426.800000001</v>
      </c>
      <c r="W64" s="92">
        <f t="shared" ref="W64:AC64" si="162">V64</f>
        <v>29189426.800000001</v>
      </c>
      <c r="X64" s="92">
        <f t="shared" si="162"/>
        <v>29189426.800000001</v>
      </c>
      <c r="Y64" s="92">
        <f t="shared" si="162"/>
        <v>29189426.800000001</v>
      </c>
      <c r="Z64" s="92">
        <f t="shared" si="162"/>
        <v>29189426.800000001</v>
      </c>
      <c r="AA64" s="92">
        <f t="shared" si="162"/>
        <v>29189426.800000001</v>
      </c>
      <c r="AB64" s="92">
        <f t="shared" si="162"/>
        <v>29189426.800000001</v>
      </c>
      <c r="AC64" s="92">
        <f t="shared" si="162"/>
        <v>29189426.800000001</v>
      </c>
      <c r="AD64" s="7">
        <v>0</v>
      </c>
    </row>
    <row r="65" spans="1:269" ht="13.5" customHeight="1">
      <c r="A65" s="5">
        <v>1</v>
      </c>
      <c r="B65" s="93" t="s">
        <v>118</v>
      </c>
      <c r="C65" s="188">
        <f t="shared" ref="C65" si="163">+C66+C67+C68+C69+C70</f>
        <v>32880332.34</v>
      </c>
      <c r="D65" s="188">
        <f t="shared" ref="D65:H65" si="164">+D66+D67+D68+D69+D70</f>
        <v>31084587.289999999</v>
      </c>
      <c r="E65" s="188">
        <f t="shared" si="164"/>
        <v>30330172.23</v>
      </c>
      <c r="F65" s="188">
        <f t="shared" si="164"/>
        <v>39691054.050000004</v>
      </c>
      <c r="G65" s="188">
        <f t="shared" si="164"/>
        <v>43215358.289999999</v>
      </c>
      <c r="H65" s="188">
        <f t="shared" si="164"/>
        <v>50287820.559999995</v>
      </c>
      <c r="I65" s="95">
        <f t="shared" ref="I65:M65" si="165">+I66+I67+I68+I69+I70</f>
        <v>50287820.559999995</v>
      </c>
      <c r="J65" s="95">
        <f t="shared" si="165"/>
        <v>50287820.559999995</v>
      </c>
      <c r="K65" s="95">
        <f t="shared" si="165"/>
        <v>50287820.559999995</v>
      </c>
      <c r="L65" s="95">
        <f t="shared" si="165"/>
        <v>50287820.559999995</v>
      </c>
      <c r="M65" s="95">
        <f t="shared" si="165"/>
        <v>50287820.559999995</v>
      </c>
      <c r="N65" s="95">
        <f t="shared" ref="N65:R65" si="166">+N66+N67+N68+N69+N70</f>
        <v>50287820.559999995</v>
      </c>
      <c r="O65" s="95">
        <f t="shared" si="166"/>
        <v>50287820.559999995</v>
      </c>
      <c r="P65" s="95">
        <f t="shared" si="166"/>
        <v>50287820.559999995</v>
      </c>
      <c r="Q65" s="95">
        <f t="shared" si="166"/>
        <v>50287820.559999995</v>
      </c>
      <c r="R65" s="95">
        <f t="shared" si="166"/>
        <v>50287820.559999995</v>
      </c>
      <c r="S65" s="95">
        <f t="shared" ref="S65" si="167">+S66+S67+S68+S69+S70</f>
        <v>50287820.559999995</v>
      </c>
      <c r="T65" s="95">
        <f t="shared" ref="T65:V65" si="168">+T66+T67+T68+T69+T70</f>
        <v>50287820.559999995</v>
      </c>
      <c r="U65" s="95">
        <f t="shared" si="168"/>
        <v>50287820.559999995</v>
      </c>
      <c r="V65" s="95">
        <f t="shared" si="168"/>
        <v>50287820.559999995</v>
      </c>
      <c r="W65" s="95">
        <f t="shared" ref="W65:AC65" si="169">+W66+W67+W68+W69+W70</f>
        <v>50287820.559999995</v>
      </c>
      <c r="X65" s="95">
        <f t="shared" si="169"/>
        <v>50287820.559999995</v>
      </c>
      <c r="Y65" s="95">
        <f t="shared" si="169"/>
        <v>50287820.559999995</v>
      </c>
      <c r="Z65" s="95">
        <f t="shared" si="169"/>
        <v>50287820.559999995</v>
      </c>
      <c r="AA65" s="95">
        <f t="shared" si="169"/>
        <v>50287820.559999995</v>
      </c>
      <c r="AB65" s="95">
        <f t="shared" si="169"/>
        <v>50287820.559999995</v>
      </c>
      <c r="AC65" s="95">
        <f t="shared" si="169"/>
        <v>50287820.559999995</v>
      </c>
      <c r="AD65" s="4"/>
    </row>
    <row r="66" spans="1:269" ht="13.5" customHeight="1">
      <c r="A66" s="5">
        <v>2</v>
      </c>
      <c r="B66" s="97" t="s">
        <v>119</v>
      </c>
      <c r="C66" s="187"/>
      <c r="D66" s="187"/>
      <c r="E66" s="187"/>
      <c r="F66" s="187"/>
      <c r="G66" s="187"/>
      <c r="H66" s="187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4"/>
    </row>
    <row r="67" spans="1:269" s="731" customFormat="1" ht="13.5" customHeight="1">
      <c r="A67" s="727"/>
      <c r="B67" s="728" t="s">
        <v>1034</v>
      </c>
      <c r="C67" s="729">
        <f>BS_Data!E22</f>
        <v>32853786.66</v>
      </c>
      <c r="D67" s="729">
        <f>BS_Data!F22</f>
        <v>31063760.27</v>
      </c>
      <c r="E67" s="729">
        <f>BS_Data!G22</f>
        <v>30281763.219999999</v>
      </c>
      <c r="F67" s="729">
        <f>BS_Data!H22</f>
        <v>39388919.100000001</v>
      </c>
      <c r="G67" s="729">
        <f>BS_Data!I22</f>
        <v>42897420.07</v>
      </c>
      <c r="H67" s="729">
        <f>BS_Data!J22</f>
        <v>50056147.979999997</v>
      </c>
      <c r="I67" s="730">
        <f>'Financials"0"'!H49</f>
        <v>50056147.979999997</v>
      </c>
      <c r="J67" s="730">
        <f>'Financials"0"'!I49</f>
        <v>50056147.979999997</v>
      </c>
      <c r="K67" s="730">
        <f>'Financials"0"'!J49</f>
        <v>50056147.979999997</v>
      </c>
      <c r="L67" s="730">
        <f>'Financials"0"'!K49</f>
        <v>50056147.979999997</v>
      </c>
      <c r="M67" s="730">
        <f>'Financials"0"'!L49</f>
        <v>50056147.979999997</v>
      </c>
      <c r="N67" s="730">
        <f>'Financials"0"'!M49</f>
        <v>50056147.979999997</v>
      </c>
      <c r="O67" s="730">
        <f>'Financials"0"'!N49</f>
        <v>50056147.979999997</v>
      </c>
      <c r="P67" s="730">
        <f>'Financials"0"'!O49</f>
        <v>50056147.979999997</v>
      </c>
      <c r="Q67" s="730">
        <f>'Financials"0"'!P49</f>
        <v>50056147.979999997</v>
      </c>
      <c r="R67" s="730">
        <f>'Financials"0"'!Q49</f>
        <v>50056147.979999997</v>
      </c>
      <c r="S67" s="730">
        <f>'Financials"0"'!R49</f>
        <v>50056147.979999997</v>
      </c>
      <c r="T67" s="730">
        <f>'Financials"0"'!S49</f>
        <v>50056147.979999997</v>
      </c>
      <c r="U67" s="730">
        <f>'Financials"0"'!T49</f>
        <v>50056147.979999997</v>
      </c>
      <c r="V67" s="730">
        <f>'Financials"0"'!U49</f>
        <v>50056147.979999997</v>
      </c>
      <c r="W67" s="730">
        <f>'Financials"0"'!V49</f>
        <v>50056147.979999997</v>
      </c>
      <c r="X67" s="730">
        <f>'Financials"0"'!W49</f>
        <v>50056147.979999997</v>
      </c>
      <c r="Y67" s="730">
        <f>'Financials"0"'!X49</f>
        <v>50056147.979999997</v>
      </c>
      <c r="Z67" s="730">
        <f>'Financials"0"'!Y49</f>
        <v>50056147.979999997</v>
      </c>
      <c r="AA67" s="730">
        <f>'Financials"0"'!Z49</f>
        <v>50056147.979999997</v>
      </c>
      <c r="AB67" s="730">
        <f>'Financials"0"'!AA49</f>
        <v>50056147.979999997</v>
      </c>
      <c r="AC67" s="730">
        <f>'Financials"0"'!AB49</f>
        <v>50056147.979999997</v>
      </c>
      <c r="AD67" s="727"/>
      <c r="AE67" s="727"/>
      <c r="AF67" s="727"/>
      <c r="AG67" s="727"/>
      <c r="AH67" s="727"/>
      <c r="AI67" s="727"/>
      <c r="AJ67" s="727"/>
      <c r="AK67" s="727"/>
      <c r="AL67" s="727"/>
      <c r="AM67" s="727"/>
      <c r="AN67" s="727"/>
      <c r="AO67" s="727"/>
      <c r="AP67" s="727"/>
      <c r="AQ67" s="727"/>
      <c r="AR67" s="727"/>
      <c r="AS67" s="727"/>
      <c r="AT67" s="727"/>
      <c r="AU67" s="727"/>
      <c r="AV67" s="727"/>
      <c r="AW67" s="727"/>
      <c r="AX67" s="727"/>
      <c r="AY67" s="727"/>
      <c r="AZ67" s="727"/>
      <c r="BA67" s="727"/>
      <c r="BB67" s="727"/>
      <c r="BC67" s="727"/>
      <c r="BD67" s="727"/>
      <c r="BE67" s="727"/>
      <c r="BF67" s="727"/>
      <c r="BG67" s="727"/>
      <c r="BH67" s="727"/>
      <c r="BI67" s="727"/>
      <c r="BJ67" s="727"/>
      <c r="BK67" s="727"/>
      <c r="BL67" s="727"/>
      <c r="BM67" s="727"/>
      <c r="BN67" s="727"/>
      <c r="BO67" s="727"/>
      <c r="BP67" s="727"/>
      <c r="BQ67" s="727"/>
      <c r="BR67" s="727"/>
      <c r="BS67" s="727"/>
      <c r="BT67" s="727"/>
      <c r="BU67" s="727"/>
      <c r="BV67" s="727"/>
      <c r="BW67" s="727"/>
      <c r="BX67" s="727"/>
      <c r="BY67" s="727"/>
      <c r="BZ67" s="727"/>
      <c r="CA67" s="727"/>
      <c r="CB67" s="727"/>
      <c r="CC67" s="727"/>
      <c r="CD67" s="727"/>
      <c r="CE67" s="727"/>
      <c r="CF67" s="727"/>
      <c r="CG67" s="727"/>
      <c r="CH67" s="727"/>
      <c r="CI67" s="727"/>
      <c r="CJ67" s="727"/>
      <c r="CK67" s="727"/>
      <c r="CL67" s="727"/>
      <c r="CM67" s="727"/>
      <c r="CN67" s="727"/>
      <c r="CO67" s="727"/>
      <c r="CP67" s="727"/>
      <c r="CQ67" s="727"/>
      <c r="CR67" s="727"/>
      <c r="CS67" s="727"/>
      <c r="CT67" s="727"/>
      <c r="CU67" s="727"/>
      <c r="CV67" s="727"/>
      <c r="CW67" s="727"/>
      <c r="CX67" s="727"/>
      <c r="CY67" s="727"/>
      <c r="CZ67" s="727"/>
      <c r="DA67" s="727"/>
      <c r="DB67" s="727"/>
      <c r="DC67" s="727"/>
      <c r="DD67" s="727"/>
      <c r="DE67" s="727"/>
      <c r="DF67" s="727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727"/>
      <c r="FT67" s="727"/>
      <c r="FU67" s="727"/>
      <c r="FV67" s="727"/>
      <c r="FW67" s="727"/>
      <c r="FX67" s="727"/>
      <c r="FY67" s="727"/>
      <c r="FZ67" s="727"/>
      <c r="GA67" s="727"/>
      <c r="GB67" s="727"/>
      <c r="GC67" s="727"/>
      <c r="GD67" s="727"/>
      <c r="GE67" s="727"/>
      <c r="GF67" s="727"/>
      <c r="GG67" s="727"/>
      <c r="GH67" s="727"/>
      <c r="GI67" s="727"/>
      <c r="GJ67" s="727"/>
      <c r="GK67" s="727"/>
      <c r="GL67" s="727"/>
      <c r="GM67" s="727"/>
      <c r="GN67" s="727"/>
      <c r="GO67" s="727"/>
      <c r="GP67" s="727"/>
      <c r="GQ67" s="727"/>
      <c r="GR67" s="727"/>
      <c r="GS67" s="727"/>
      <c r="GT67" s="727"/>
      <c r="GU67" s="727"/>
      <c r="GV67" s="727"/>
      <c r="GW67" s="727"/>
      <c r="GX67" s="727"/>
      <c r="GY67" s="727"/>
      <c r="GZ67" s="727"/>
      <c r="HA67" s="727"/>
      <c r="HB67" s="727"/>
      <c r="HC67" s="727"/>
      <c r="HD67" s="727"/>
      <c r="HE67" s="727"/>
      <c r="HF67" s="727"/>
      <c r="HG67" s="727"/>
      <c r="HH67" s="727"/>
      <c r="HI67" s="727"/>
      <c r="HJ67" s="727"/>
      <c r="HK67" s="727"/>
      <c r="HL67" s="727"/>
      <c r="HM67" s="727"/>
      <c r="HN67" s="727"/>
      <c r="HO67" s="727"/>
      <c r="HP67" s="727"/>
      <c r="HQ67" s="727"/>
      <c r="HR67" s="727"/>
      <c r="HS67" s="727"/>
      <c r="HT67" s="727"/>
      <c r="HU67" s="727"/>
      <c r="HV67" s="727"/>
      <c r="HW67" s="727"/>
      <c r="HX67" s="727"/>
      <c r="HY67" s="727"/>
      <c r="HZ67" s="727"/>
      <c r="IA67" s="727"/>
      <c r="IB67" s="727"/>
      <c r="IC67" s="727"/>
      <c r="ID67" s="727"/>
      <c r="IE67" s="727"/>
      <c r="IF67" s="727"/>
      <c r="IG67" s="727"/>
      <c r="IH67" s="727"/>
      <c r="II67" s="727"/>
      <c r="IJ67" s="727"/>
      <c r="IK67" s="727"/>
      <c r="IL67" s="727"/>
      <c r="IM67" s="727"/>
      <c r="IN67" s="727"/>
      <c r="IO67" s="727"/>
      <c r="IP67" s="727"/>
      <c r="IQ67" s="727"/>
      <c r="IR67" s="727"/>
      <c r="IS67" s="727"/>
      <c r="IT67" s="727"/>
      <c r="IU67" s="727"/>
      <c r="IV67" s="727"/>
      <c r="IW67" s="727"/>
      <c r="IX67" s="727"/>
      <c r="IY67" s="727"/>
      <c r="IZ67" s="727"/>
      <c r="JA67" s="727"/>
      <c r="JB67" s="727"/>
      <c r="JC67" s="727"/>
      <c r="JD67" s="727"/>
      <c r="JE67" s="727"/>
      <c r="JF67" s="727"/>
      <c r="JG67" s="727"/>
      <c r="JH67" s="727"/>
      <c r="JI67" s="727"/>
    </row>
    <row r="68" spans="1:269" ht="13.5" customHeight="1">
      <c r="A68" s="5">
        <v>2</v>
      </c>
      <c r="B68" s="99" t="s">
        <v>221</v>
      </c>
      <c r="C68" s="187">
        <f>BS_Data!E32</f>
        <v>26545.68</v>
      </c>
      <c r="D68" s="187">
        <f>BS_Data!F32</f>
        <v>20827.02</v>
      </c>
      <c r="E68" s="187">
        <f>BS_Data!G32</f>
        <v>48409.01</v>
      </c>
      <c r="F68" s="187">
        <f>BS_Data!H32</f>
        <v>107654.27</v>
      </c>
      <c r="G68" s="187">
        <f>BS_Data!I32</f>
        <v>121526.14</v>
      </c>
      <c r="H68" s="187">
        <f>BS_Data!J32</f>
        <v>231672.58</v>
      </c>
      <c r="I68" s="92">
        <f>H68</f>
        <v>231672.58</v>
      </c>
      <c r="J68" s="92">
        <f t="shared" ref="J68:R68" si="170">I68</f>
        <v>231672.58</v>
      </c>
      <c r="K68" s="92">
        <f t="shared" si="170"/>
        <v>231672.58</v>
      </c>
      <c r="L68" s="92">
        <f t="shared" si="170"/>
        <v>231672.58</v>
      </c>
      <c r="M68" s="92">
        <f t="shared" si="170"/>
        <v>231672.58</v>
      </c>
      <c r="N68" s="92">
        <f t="shared" si="170"/>
        <v>231672.58</v>
      </c>
      <c r="O68" s="92">
        <f t="shared" si="170"/>
        <v>231672.58</v>
      </c>
      <c r="P68" s="92">
        <f t="shared" si="170"/>
        <v>231672.58</v>
      </c>
      <c r="Q68" s="92">
        <f t="shared" si="170"/>
        <v>231672.58</v>
      </c>
      <c r="R68" s="92">
        <f t="shared" si="170"/>
        <v>231672.58</v>
      </c>
      <c r="S68" s="92">
        <f t="shared" ref="S68" si="171">R68</f>
        <v>231672.58</v>
      </c>
      <c r="T68" s="92">
        <f t="shared" ref="T68:V68" si="172">S68</f>
        <v>231672.58</v>
      </c>
      <c r="U68" s="92">
        <f t="shared" si="172"/>
        <v>231672.58</v>
      </c>
      <c r="V68" s="92">
        <f t="shared" si="172"/>
        <v>231672.58</v>
      </c>
      <c r="W68" s="92">
        <f t="shared" ref="W68:AC68" si="173">V68</f>
        <v>231672.58</v>
      </c>
      <c r="X68" s="92">
        <f t="shared" si="173"/>
        <v>231672.58</v>
      </c>
      <c r="Y68" s="92">
        <f t="shared" si="173"/>
        <v>231672.58</v>
      </c>
      <c r="Z68" s="92">
        <f t="shared" si="173"/>
        <v>231672.58</v>
      </c>
      <c r="AA68" s="92">
        <f t="shared" si="173"/>
        <v>231672.58</v>
      </c>
      <c r="AB68" s="92">
        <f t="shared" si="173"/>
        <v>231672.58</v>
      </c>
      <c r="AC68" s="92">
        <f t="shared" si="173"/>
        <v>231672.58</v>
      </c>
      <c r="AD68" s="7">
        <v>0</v>
      </c>
    </row>
    <row r="69" spans="1:269" ht="13.5" customHeight="1">
      <c r="A69" s="5">
        <v>2</v>
      </c>
      <c r="B69" s="97" t="s">
        <v>120</v>
      </c>
      <c r="C69" s="187"/>
      <c r="D69" s="187"/>
      <c r="E69" s="187"/>
      <c r="F69" s="187"/>
      <c r="G69" s="187"/>
      <c r="H69" s="187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4"/>
    </row>
    <row r="70" spans="1:269" ht="13.5" customHeight="1">
      <c r="A70" s="5">
        <v>2</v>
      </c>
      <c r="B70" s="97" t="s">
        <v>121</v>
      </c>
      <c r="C70" s="187"/>
      <c r="D70" s="187"/>
      <c r="E70" s="187"/>
      <c r="F70" s="187">
        <f>BS_Data!H29</f>
        <v>194480.68</v>
      </c>
      <c r="G70" s="187">
        <f>BS_Data!I29</f>
        <v>196412.08</v>
      </c>
      <c r="H70" s="187"/>
      <c r="I70" s="283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4"/>
    </row>
    <row r="71" spans="1:269" ht="13.5" customHeight="1">
      <c r="A71" s="5">
        <v>1</v>
      </c>
      <c r="B71" s="93" t="s">
        <v>122</v>
      </c>
      <c r="C71" s="188">
        <f t="shared" ref="C71" si="174">+C72+C73+C74+C75+C76+C77+C78</f>
        <v>91837385.269999996</v>
      </c>
      <c r="D71" s="188">
        <f t="shared" ref="D71:H71" si="175">+D72+D73+D74+D75+D76+D77+D78</f>
        <v>112087525.64</v>
      </c>
      <c r="E71" s="188">
        <f t="shared" si="175"/>
        <v>109307209.69</v>
      </c>
      <c r="F71" s="188">
        <f t="shared" si="175"/>
        <v>112418926.98</v>
      </c>
      <c r="G71" s="188">
        <f t="shared" si="175"/>
        <v>126570743.19</v>
      </c>
      <c r="H71" s="188">
        <f t="shared" si="175"/>
        <v>154524656.47999999</v>
      </c>
      <c r="I71" s="95">
        <f t="shared" ref="I71:M71" si="176">+I72+I73+I74+I75+I76+I77+I78</f>
        <v>158082815.72667021</v>
      </c>
      <c r="J71" s="95">
        <f t="shared" si="176"/>
        <v>157640334.7878679</v>
      </c>
      <c r="K71" s="95">
        <f t="shared" si="176"/>
        <v>157867677.69304776</v>
      </c>
      <c r="L71" s="95">
        <f t="shared" si="176"/>
        <v>158512653.32108369</v>
      </c>
      <c r="M71" s="95">
        <f t="shared" si="176"/>
        <v>159533834.78413093</v>
      </c>
      <c r="N71" s="95">
        <f t="shared" ref="N71:R71" si="177">+N72+N73+N74+N75+N76+N77+N78</f>
        <v>157089878.68046412</v>
      </c>
      <c r="O71" s="95">
        <f t="shared" si="177"/>
        <v>155103422.76468194</v>
      </c>
      <c r="P71" s="95">
        <f t="shared" si="177"/>
        <v>154426752.12927938</v>
      </c>
      <c r="Q71" s="95">
        <f t="shared" si="177"/>
        <v>155046160.20388851</v>
      </c>
      <c r="R71" s="95">
        <f t="shared" si="177"/>
        <v>155627920.47310007</v>
      </c>
      <c r="S71" s="95">
        <f t="shared" ref="S71" si="178">+S72+S73+S74+S75+S76+S77+S78</f>
        <v>156245073.20698491</v>
      </c>
      <c r="T71" s="95">
        <f t="shared" ref="T71:V71" si="179">+T72+T73+T74+T75+T76+T77+T78</f>
        <v>156255831.90439522</v>
      </c>
      <c r="U71" s="95">
        <f t="shared" si="179"/>
        <v>156337215.46760654</v>
      </c>
      <c r="V71" s="95">
        <f t="shared" si="179"/>
        <v>156370179.24567237</v>
      </c>
      <c r="W71" s="95">
        <f t="shared" ref="W71:AC71" si="180">+W72+W73+W74+W75+W76+W77+W78</f>
        <v>156573674.72786105</v>
      </c>
      <c r="X71" s="95">
        <f t="shared" si="180"/>
        <v>156781388.65103018</v>
      </c>
      <c r="Y71" s="95">
        <f t="shared" si="180"/>
        <v>156993415.31636998</v>
      </c>
      <c r="Z71" s="95">
        <f t="shared" si="180"/>
        <v>157209851.15940386</v>
      </c>
      <c r="AA71" s="95">
        <f t="shared" si="180"/>
        <v>157430794.79888251</v>
      </c>
      <c r="AB71" s="95">
        <f t="shared" si="180"/>
        <v>157656347.08681172</v>
      </c>
      <c r="AC71" s="95">
        <f t="shared" si="180"/>
        <v>157886611.1596393</v>
      </c>
      <c r="AD71" s="4"/>
    </row>
    <row r="72" spans="1:269" ht="13.5" customHeight="1">
      <c r="A72" s="5">
        <v>2</v>
      </c>
      <c r="B72" s="97" t="s">
        <v>119</v>
      </c>
      <c r="C72" s="187">
        <f>BS_Data!E40</f>
        <v>80516005.370000005</v>
      </c>
      <c r="D72" s="187">
        <f>BS_Data!F40</f>
        <v>88478742.439999998</v>
      </c>
      <c r="E72" s="187">
        <f>BS_Data!G40</f>
        <v>74291543.040000007</v>
      </c>
      <c r="F72" s="187">
        <f>BS_Data!H40</f>
        <v>45280650.93</v>
      </c>
      <c r="G72" s="187">
        <f>BS_Data!I40</f>
        <v>62512564.100000001</v>
      </c>
      <c r="H72" s="187">
        <f>BS_Data!J40</f>
        <v>65614825.579999998</v>
      </c>
      <c r="I72" s="92">
        <f>'Financials"0"'!H44</f>
        <v>69172984.826670229</v>
      </c>
      <c r="J72" s="92">
        <f>'Financials"0"'!I44</f>
        <v>69166140.366767377</v>
      </c>
      <c r="K72" s="92">
        <f>'Financials"0"'!J44</f>
        <v>69362801.567308918</v>
      </c>
      <c r="L72" s="92">
        <f>'Financials"0"'!K44</f>
        <v>69559341.358367592</v>
      </c>
      <c r="M72" s="92">
        <f>'Financials"0"'!L44</f>
        <v>69953278.4242156</v>
      </c>
      <c r="N72" s="92">
        <f>'Financials"0"'!M44</f>
        <v>68504214.686365172</v>
      </c>
      <c r="O72" s="92">
        <f>'Financials"0"'!N44</f>
        <v>67308699.20107764</v>
      </c>
      <c r="P72" s="92">
        <f>'Financials"0"'!O44</f>
        <v>66811481.814757943</v>
      </c>
      <c r="Q72" s="92">
        <f>'Financials"0"'!P44</f>
        <v>66995787.58228898</v>
      </c>
      <c r="R72" s="92">
        <f>'Financials"0"'!Q44</f>
        <v>67157669.120626032</v>
      </c>
      <c r="S72" s="92">
        <f>'Financials"0"'!R44</f>
        <v>67335242.306984916</v>
      </c>
      <c r="T72" s="92">
        <f>'Financials"0"'!S44</f>
        <v>67496883.291906148</v>
      </c>
      <c r="U72" s="92">
        <f>'Financials"0"'!T44</f>
        <v>67626472.506899327</v>
      </c>
      <c r="V72" s="92">
        <f>'Financials"0"'!U44</f>
        <v>67731835.342817307</v>
      </c>
      <c r="W72" s="92">
        <f>'Financials"0"'!V44</f>
        <v>67929353.129792273</v>
      </c>
      <c r="X72" s="92">
        <f>'Financials"0"'!W44</f>
        <v>68131089.357747674</v>
      </c>
      <c r="Y72" s="92">
        <f>'Financials"0"'!X44</f>
        <v>68337138.327873766</v>
      </c>
      <c r="Z72" s="92">
        <f>'Financials"0"'!Y44</f>
        <v>68547596.475693911</v>
      </c>
      <c r="AA72" s="92">
        <f>'Financials"0"'!Z44</f>
        <v>68762562.41995886</v>
      </c>
      <c r="AB72" s="92">
        <f>'Financials"0"'!AA44</f>
        <v>68982137.012674361</v>
      </c>
      <c r="AC72" s="92">
        <f>'Financials"0"'!AB44</f>
        <v>69206423.390288204</v>
      </c>
      <c r="AD72" s="7">
        <v>-1</v>
      </c>
    </row>
    <row r="73" spans="1:269" ht="13.5" customHeight="1">
      <c r="A73" s="5">
        <v>2</v>
      </c>
      <c r="B73" s="97" t="s">
        <v>123</v>
      </c>
      <c r="C73" s="187"/>
      <c r="D73" s="187"/>
      <c r="E73" s="187"/>
      <c r="F73" s="301"/>
      <c r="G73" s="301"/>
      <c r="H73" s="301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7">
        <v>-1</v>
      </c>
    </row>
    <row r="74" spans="1:269" ht="13.5" customHeight="1">
      <c r="A74" s="5">
        <v>2</v>
      </c>
      <c r="B74" s="97" t="s">
        <v>124</v>
      </c>
      <c r="C74" s="187"/>
      <c r="D74" s="187"/>
      <c r="E74" s="187"/>
      <c r="F74" s="187"/>
      <c r="G74" s="187"/>
      <c r="H74" s="187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7">
        <v>-1</v>
      </c>
    </row>
    <row r="75" spans="1:269" ht="13.5" customHeight="1">
      <c r="A75" s="5">
        <v>2</v>
      </c>
      <c r="B75" s="97" t="s">
        <v>125</v>
      </c>
      <c r="C75" s="187">
        <f>BS_Data!E51+BS_Data!E52</f>
        <v>2954370.2199999997</v>
      </c>
      <c r="D75" s="187">
        <f>BS_Data!F51+BS_Data!F52</f>
        <v>3147518.6399999997</v>
      </c>
      <c r="E75" s="187">
        <f>BS_Data!G51+BS_Data!G52</f>
        <v>3198066.48</v>
      </c>
      <c r="F75" s="187">
        <f>BS_Data!H51+BS_Data!H52</f>
        <v>3549735.1599999997</v>
      </c>
      <c r="G75" s="187">
        <f>BS_Data!I51+BS_Data!I52</f>
        <v>4092868.52</v>
      </c>
      <c r="H75" s="187">
        <f>BS_Data!J51+BS_Data!J52</f>
        <v>6008320.0699999994</v>
      </c>
      <c r="I75" s="92">
        <f>H75/SUM(H75:H76)*'Financials"0"'!H43</f>
        <v>6008320.0699999984</v>
      </c>
      <c r="J75" s="92">
        <f>I75/SUM(I75:I76)*'Financials"0"'!I43</f>
        <v>5961993.6869138796</v>
      </c>
      <c r="K75" s="92">
        <f>J75/SUM(J75:J76)*'Financials"0"'!J43</f>
        <v>5965256.4357231623</v>
      </c>
      <c r="L75" s="92">
        <f>K75/SUM(K75:K76)*'Financials"0"'!K43</f>
        <v>6012943.9260495808</v>
      </c>
      <c r="M75" s="92">
        <f>L75/SUM(L75:L76)*'Financials"0"'!L43</f>
        <v>6079646.2470000265</v>
      </c>
      <c r="N75" s="92">
        <f>M75/SUM(M75:M76)*'Financials"0"'!M43</f>
        <v>5973847.5659880461</v>
      </c>
      <c r="O75" s="92">
        <f>N75/SUM(N75:N76)*'Financials"0"'!N43</f>
        <v>5889737.508276714</v>
      </c>
      <c r="P75" s="92">
        <f>O75/SUM(O75:O76)*'Financials"0"'!O43</f>
        <v>5870654.120255433</v>
      </c>
      <c r="Q75" s="92">
        <f>P75/SUM(P75:P76)*'Financials"0"'!P43</f>
        <v>5916923.6985292211</v>
      </c>
      <c r="R75" s="92">
        <f>Q75/SUM(Q75:Q76)*'Financials"0"'!Q43</f>
        <v>5961574.3737558359</v>
      </c>
      <c r="S75" s="92">
        <f>R75/SUM(R75:R76)*'Financials"0"'!R43</f>
        <v>6008320.0699999984</v>
      </c>
      <c r="T75" s="92">
        <f>S75/SUM(S75:S76)*'Financials"0"'!S43</f>
        <v>5992274.9704945581</v>
      </c>
      <c r="U75" s="92">
        <f>T75/SUM(T75:T76)*'Financials"0"'!T43</f>
        <v>5987148.6929683872</v>
      </c>
      <c r="V75" s="92">
        <f>U75/SUM(U75:U76)*'Financials"0"'!U43</f>
        <v>5979449.6442165356</v>
      </c>
      <c r="W75" s="92">
        <f>V75/SUM(V75:V76)*'Financials"0"'!V43</f>
        <v>5980085.3233018639</v>
      </c>
      <c r="X75" s="92">
        <f>W75/SUM(W75:W76)*'Financials"0"'!W43</f>
        <v>5980721.0023871921</v>
      </c>
      <c r="Y75" s="92">
        <f>X75/SUM(X75:X76)*'Financials"0"'!X43</f>
        <v>5981356.6814725222</v>
      </c>
      <c r="Z75" s="92">
        <f>Y75/SUM(Y75:Y76)*'Financials"0"'!Y43</f>
        <v>5981992.3605578514</v>
      </c>
      <c r="AA75" s="92">
        <f>Z75/SUM(Z75:Z76)*'Financials"0"'!Z43</f>
        <v>5982628.0396431787</v>
      </c>
      <c r="AB75" s="92">
        <f>AA75/SUM(AA75:AA76)*'Financials"0"'!AA43</f>
        <v>5983263.7187285069</v>
      </c>
      <c r="AC75" s="92">
        <f>AB75/SUM(AB75:AB76)*'Financials"0"'!AB43</f>
        <v>5983899.3978138361</v>
      </c>
      <c r="AD75" s="7">
        <v>-1</v>
      </c>
    </row>
    <row r="76" spans="1:269" ht="13.5" customHeight="1">
      <c r="A76" s="5">
        <v>2</v>
      </c>
      <c r="B76" s="97" t="s">
        <v>126</v>
      </c>
      <c r="C76" s="187">
        <f>BS_Data!E53</f>
        <v>6606420.3499999996</v>
      </c>
      <c r="D76" s="187">
        <f>BS_Data!F53</f>
        <v>18679206.289999999</v>
      </c>
      <c r="E76" s="187">
        <f>BS_Data!G53</f>
        <v>27396220.379999999</v>
      </c>
      <c r="F76" s="187">
        <f>BS_Data!H53</f>
        <v>41010999.780000001</v>
      </c>
      <c r="G76" s="187">
        <f>BS_Data!I53</f>
        <v>33861051.729999997</v>
      </c>
      <c r="H76" s="187">
        <f>BS_Data!J53</f>
        <v>50491739.399999999</v>
      </c>
      <c r="I76" s="92">
        <f>'Financials"0"'!H43-I75</f>
        <v>50491739.399999991</v>
      </c>
      <c r="J76" s="92">
        <f>'Financials"0"'!I43-J75</f>
        <v>50102429.304186657</v>
      </c>
      <c r="K76" s="92">
        <f>'Financials"0"'!J43-K75</f>
        <v>50129848.260015674</v>
      </c>
      <c r="L76" s="92">
        <f>'Financials"0"'!K43-L75</f>
        <v>50530596.606666513</v>
      </c>
      <c r="M76" s="92">
        <f>'Financials"0"'!L43-M75</f>
        <v>51091138.682915308</v>
      </c>
      <c r="N76" s="92">
        <f>'Financials"0"'!M43-N75</f>
        <v>50202044.998110883</v>
      </c>
      <c r="O76" s="92">
        <f>'Financials"0"'!N43-O75</f>
        <v>49495214.62532758</v>
      </c>
      <c r="P76" s="92">
        <f>'Financials"0"'!O43-P75</f>
        <v>49334844.764265969</v>
      </c>
      <c r="Q76" s="92">
        <f>'Financials"0"'!P43-Q75</f>
        <v>49723677.493070312</v>
      </c>
      <c r="R76" s="92">
        <f>'Financials"0"'!Q43-R75</f>
        <v>50098905.548718199</v>
      </c>
      <c r="S76" s="92">
        <f>'Financials"0"'!R43-S75</f>
        <v>50491739.399999991</v>
      </c>
      <c r="T76" s="92">
        <f>'Financials"0"'!S43-T75</f>
        <v>50356902.211994499</v>
      </c>
      <c r="U76" s="92">
        <f>'Financials"0"'!T43-U75</f>
        <v>50313822.837738812</v>
      </c>
      <c r="V76" s="92">
        <f>'Financials"0"'!U43-V75</f>
        <v>50249122.828638531</v>
      </c>
      <c r="W76" s="92">
        <f>'Financials"0"'!V43-W75</f>
        <v>50254464.844766915</v>
      </c>
      <c r="X76" s="92">
        <f>'Financials"0"'!W43-X75</f>
        <v>50259806.860895291</v>
      </c>
      <c r="Y76" s="92">
        <f>'Financials"0"'!X43-Y75</f>
        <v>50265148.877023689</v>
      </c>
      <c r="Z76" s="92">
        <f>'Financials"0"'!Y43-Z75</f>
        <v>50270490.89315208</v>
      </c>
      <c r="AA76" s="92">
        <f>'Financials"0"'!Z43-AA75</f>
        <v>50275832.909280457</v>
      </c>
      <c r="AB76" s="92">
        <f>'Financials"0"'!AA43-AB75</f>
        <v>50281174.92540884</v>
      </c>
      <c r="AC76" s="92">
        <f>'Financials"0"'!AB43-AC75</f>
        <v>50286516.941537231</v>
      </c>
      <c r="AD76" s="7">
        <v>-1</v>
      </c>
    </row>
    <row r="77" spans="1:269" ht="13.5" customHeight="1">
      <c r="A77" s="5">
        <v>2</v>
      </c>
      <c r="B77" s="97" t="s">
        <v>127</v>
      </c>
      <c r="C77" s="187">
        <f>BS_Data!E55+BS_Data!E56</f>
        <v>524541.92000000004</v>
      </c>
      <c r="D77" s="187">
        <f>BS_Data!F55+BS_Data!F56</f>
        <v>550153.63</v>
      </c>
      <c r="E77" s="187">
        <f>BS_Data!G55+BS_Data!G56</f>
        <v>587222.31999999995</v>
      </c>
      <c r="F77" s="187">
        <f>BS_Data!H55+BS_Data!H56</f>
        <v>664523.77999999991</v>
      </c>
      <c r="G77" s="187">
        <f>BS_Data!I55+BS_Data!I56</f>
        <v>741587.01</v>
      </c>
      <c r="H77" s="187">
        <f>BS_Data!J55+BS_Data!J56</f>
        <v>1208832.45</v>
      </c>
      <c r="I77" s="283">
        <f>H77</f>
        <v>1208832.45</v>
      </c>
      <c r="J77" s="283">
        <f t="shared" ref="J77:R77" si="181">I77</f>
        <v>1208832.45</v>
      </c>
      <c r="K77" s="92">
        <f t="shared" si="181"/>
        <v>1208832.45</v>
      </c>
      <c r="L77" s="92">
        <f t="shared" si="181"/>
        <v>1208832.45</v>
      </c>
      <c r="M77" s="92">
        <f t="shared" si="181"/>
        <v>1208832.45</v>
      </c>
      <c r="N77" s="92">
        <f t="shared" si="181"/>
        <v>1208832.45</v>
      </c>
      <c r="O77" s="92">
        <f t="shared" si="181"/>
        <v>1208832.45</v>
      </c>
      <c r="P77" s="92">
        <f t="shared" si="181"/>
        <v>1208832.45</v>
      </c>
      <c r="Q77" s="92">
        <f t="shared" si="181"/>
        <v>1208832.45</v>
      </c>
      <c r="R77" s="92">
        <f t="shared" si="181"/>
        <v>1208832.45</v>
      </c>
      <c r="S77" s="92">
        <f t="shared" ref="S77" si="182">R77</f>
        <v>1208832.45</v>
      </c>
      <c r="T77" s="92">
        <f t="shared" ref="T77:V77" si="183">S77</f>
        <v>1208832.45</v>
      </c>
      <c r="U77" s="92">
        <f t="shared" si="183"/>
        <v>1208832.45</v>
      </c>
      <c r="V77" s="92">
        <f t="shared" si="183"/>
        <v>1208832.45</v>
      </c>
      <c r="W77" s="92">
        <f t="shared" ref="W77:AC77" si="184">V77</f>
        <v>1208832.45</v>
      </c>
      <c r="X77" s="92">
        <f t="shared" si="184"/>
        <v>1208832.45</v>
      </c>
      <c r="Y77" s="92">
        <f t="shared" si="184"/>
        <v>1208832.45</v>
      </c>
      <c r="Z77" s="92">
        <f t="shared" si="184"/>
        <v>1208832.45</v>
      </c>
      <c r="AA77" s="92">
        <f t="shared" si="184"/>
        <v>1208832.45</v>
      </c>
      <c r="AB77" s="92">
        <f t="shared" si="184"/>
        <v>1208832.45</v>
      </c>
      <c r="AC77" s="92">
        <f t="shared" si="184"/>
        <v>1208832.45</v>
      </c>
      <c r="AD77" s="7">
        <v>-1</v>
      </c>
    </row>
    <row r="78" spans="1:269" ht="13.5" customHeight="1">
      <c r="A78" s="5">
        <v>2</v>
      </c>
      <c r="B78" s="97" t="s">
        <v>128</v>
      </c>
      <c r="C78" s="187">
        <f>BS_Data!E39-SUM(C72:C77)</f>
        <v>1236047.4099999964</v>
      </c>
      <c r="D78" s="187">
        <f>BS_Data!F39-SUM(D72:D77)</f>
        <v>1231904.6400000006</v>
      </c>
      <c r="E78" s="187">
        <f>BS_Data!G39-SUM(E72:E77)</f>
        <v>3834157.4699999988</v>
      </c>
      <c r="F78" s="187">
        <f>BS_Data!H39-SUM(F72:F77)</f>
        <v>21913017.329999998</v>
      </c>
      <c r="G78" s="187">
        <f>BS_Data!I39-SUM(G72:G77)</f>
        <v>25362671.829999998</v>
      </c>
      <c r="H78" s="187">
        <f>BS_Data!J39-SUM(H72:H77)</f>
        <v>31200938.980000004</v>
      </c>
      <c r="I78" s="92">
        <f>'Financials"0"'!H51</f>
        <v>31200938.980000004</v>
      </c>
      <c r="J78" s="92">
        <f>'Financials"0"'!I51</f>
        <v>31200938.980000004</v>
      </c>
      <c r="K78" s="92">
        <f>'Financials"0"'!J51</f>
        <v>31200938.980000004</v>
      </c>
      <c r="L78" s="92">
        <f>'Financials"0"'!K51</f>
        <v>31200938.980000004</v>
      </c>
      <c r="M78" s="92">
        <f>'Financials"0"'!L51</f>
        <v>31200938.980000004</v>
      </c>
      <c r="N78" s="92">
        <f>'Financials"0"'!M51</f>
        <v>31200938.980000004</v>
      </c>
      <c r="O78" s="92">
        <f>'Financials"0"'!N51</f>
        <v>31200938.980000004</v>
      </c>
      <c r="P78" s="92">
        <f>'Financials"0"'!O51</f>
        <v>31200938.980000004</v>
      </c>
      <c r="Q78" s="92">
        <f>'Financials"0"'!P51</f>
        <v>31200938.980000004</v>
      </c>
      <c r="R78" s="92">
        <f>'Financials"0"'!Q51</f>
        <v>31200938.980000004</v>
      </c>
      <c r="S78" s="92">
        <f>'Financials"0"'!R51</f>
        <v>31200938.980000004</v>
      </c>
      <c r="T78" s="92">
        <f>'Financials"0"'!S51</f>
        <v>31200938.980000004</v>
      </c>
      <c r="U78" s="92">
        <f>'Financials"0"'!T51</f>
        <v>31200938.980000004</v>
      </c>
      <c r="V78" s="92">
        <f>'Financials"0"'!U51</f>
        <v>31200938.980000004</v>
      </c>
      <c r="W78" s="92">
        <f>'Financials"0"'!V51</f>
        <v>31200938.980000004</v>
      </c>
      <c r="X78" s="92">
        <f>'Financials"0"'!W51</f>
        <v>31200938.980000004</v>
      </c>
      <c r="Y78" s="92">
        <f>'Financials"0"'!X51</f>
        <v>31200938.980000004</v>
      </c>
      <c r="Z78" s="92">
        <f>'Financials"0"'!Y51</f>
        <v>31200938.980000004</v>
      </c>
      <c r="AA78" s="92">
        <f>'Financials"0"'!Z51</f>
        <v>31200938.980000004</v>
      </c>
      <c r="AB78" s="92">
        <f>'Financials"0"'!AA51</f>
        <v>31200938.980000004</v>
      </c>
      <c r="AC78" s="92">
        <f>'Financials"0"'!AB51</f>
        <v>31200938.980000004</v>
      </c>
      <c r="AD78" s="7">
        <v>-1</v>
      </c>
    </row>
    <row r="79" spans="1:269" ht="13.5" customHeight="1">
      <c r="A79" s="5">
        <v>1</v>
      </c>
      <c r="B79" s="93" t="s">
        <v>58</v>
      </c>
      <c r="C79" s="188">
        <f t="shared" ref="C79" si="185">SUM(C80:C82)</f>
        <v>608873.73</v>
      </c>
      <c r="D79" s="188">
        <f t="shared" ref="D79" si="186">SUM(D80:D82)</f>
        <v>608873.73</v>
      </c>
      <c r="E79" s="188">
        <f t="shared" ref="E79" si="187">SUM(E80:E82)</f>
        <v>608873.73</v>
      </c>
      <c r="F79" s="188">
        <f t="shared" ref="F79" si="188">SUM(F80:F82)</f>
        <v>608873.73</v>
      </c>
      <c r="G79" s="188">
        <f t="shared" ref="G79" si="189">SUM(G80:G82)</f>
        <v>608873.73</v>
      </c>
      <c r="H79" s="188">
        <f t="shared" ref="H79" si="190">SUM(H80:H82)</f>
        <v>608873.73</v>
      </c>
      <c r="I79" s="95">
        <f t="shared" ref="I79:R79" si="191">SUM(I80:I82)</f>
        <v>608873.73</v>
      </c>
      <c r="J79" s="95">
        <f t="shared" si="191"/>
        <v>608873.73</v>
      </c>
      <c r="K79" s="95">
        <f t="shared" si="191"/>
        <v>608873.73</v>
      </c>
      <c r="L79" s="95">
        <f t="shared" si="191"/>
        <v>608873.73</v>
      </c>
      <c r="M79" s="95">
        <f t="shared" si="191"/>
        <v>608873.73</v>
      </c>
      <c r="N79" s="95">
        <f t="shared" si="191"/>
        <v>608873.73</v>
      </c>
      <c r="O79" s="95">
        <f t="shared" si="191"/>
        <v>608873.73</v>
      </c>
      <c r="P79" s="95">
        <f t="shared" si="191"/>
        <v>608873.73</v>
      </c>
      <c r="Q79" s="95">
        <f t="shared" si="191"/>
        <v>608873.73</v>
      </c>
      <c r="R79" s="95">
        <f t="shared" si="191"/>
        <v>608873.73</v>
      </c>
      <c r="S79" s="95">
        <f t="shared" ref="S79" si="192">SUM(S80:S82)</f>
        <v>608873.73</v>
      </c>
      <c r="T79" s="95">
        <f t="shared" ref="T79:V79" si="193">SUM(T80:T82)</f>
        <v>608873.73</v>
      </c>
      <c r="U79" s="95">
        <f t="shared" si="193"/>
        <v>608873.73</v>
      </c>
      <c r="V79" s="95">
        <f t="shared" si="193"/>
        <v>608873.73</v>
      </c>
      <c r="W79" s="95">
        <f t="shared" ref="W79:AC79" si="194">SUM(W80:W82)</f>
        <v>608873.73</v>
      </c>
      <c r="X79" s="95">
        <f t="shared" si="194"/>
        <v>608873.73</v>
      </c>
      <c r="Y79" s="95">
        <f t="shared" si="194"/>
        <v>608873.73</v>
      </c>
      <c r="Z79" s="95">
        <f t="shared" si="194"/>
        <v>608873.73</v>
      </c>
      <c r="AA79" s="95">
        <f t="shared" si="194"/>
        <v>608873.73</v>
      </c>
      <c r="AB79" s="95">
        <f t="shared" si="194"/>
        <v>608873.73</v>
      </c>
      <c r="AC79" s="95">
        <f t="shared" si="194"/>
        <v>608873.73</v>
      </c>
    </row>
    <row r="80" spans="1:269" ht="13.5" customHeight="1">
      <c r="A80" s="5">
        <v>2</v>
      </c>
      <c r="B80" s="97" t="s">
        <v>1035</v>
      </c>
      <c r="C80" s="187"/>
      <c r="D80" s="187"/>
      <c r="E80" s="187"/>
      <c r="F80" s="187"/>
      <c r="G80" s="187"/>
      <c r="H80" s="187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7">
        <v>-1</v>
      </c>
    </row>
    <row r="81" spans="1:269" ht="13.5" customHeight="1">
      <c r="B81" s="97" t="s">
        <v>1036</v>
      </c>
      <c r="C81" s="187">
        <f>BS_Data!E66</f>
        <v>608873.73</v>
      </c>
      <c r="D81" s="187">
        <f>BS_Data!F66</f>
        <v>608873.73</v>
      </c>
      <c r="E81" s="187">
        <f>BS_Data!G66</f>
        <v>608873.73</v>
      </c>
      <c r="F81" s="187">
        <f>BS_Data!H66</f>
        <v>608873.73</v>
      </c>
      <c r="G81" s="187">
        <f>BS_Data!I66</f>
        <v>608873.73</v>
      </c>
      <c r="H81" s="187">
        <f>BS_Data!J66</f>
        <v>608873.73</v>
      </c>
      <c r="I81" s="92">
        <f>'Financials"0"'!H50</f>
        <v>608873.73</v>
      </c>
      <c r="J81" s="92">
        <f>'Financials"0"'!I50</f>
        <v>608873.73</v>
      </c>
      <c r="K81" s="92">
        <f>'Financials"0"'!J50</f>
        <v>608873.73</v>
      </c>
      <c r="L81" s="92">
        <f>'Financials"0"'!K50</f>
        <v>608873.73</v>
      </c>
      <c r="M81" s="92">
        <f>'Financials"0"'!L50</f>
        <v>608873.73</v>
      </c>
      <c r="N81" s="92">
        <f>'Financials"0"'!M50</f>
        <v>608873.73</v>
      </c>
      <c r="O81" s="92">
        <f>'Financials"0"'!N50</f>
        <v>608873.73</v>
      </c>
      <c r="P81" s="92">
        <f>'Financials"0"'!O50</f>
        <v>608873.73</v>
      </c>
      <c r="Q81" s="92">
        <f>'Financials"0"'!P50</f>
        <v>608873.73</v>
      </c>
      <c r="R81" s="92">
        <f>'Financials"0"'!Q50</f>
        <v>608873.73</v>
      </c>
      <c r="S81" s="92">
        <f>'Financials"0"'!R50</f>
        <v>608873.73</v>
      </c>
      <c r="T81" s="92">
        <f>'Financials"0"'!S50</f>
        <v>608873.73</v>
      </c>
      <c r="U81" s="92">
        <f>'Financials"0"'!T50</f>
        <v>608873.73</v>
      </c>
      <c r="V81" s="92">
        <f>'Financials"0"'!U50</f>
        <v>608873.73</v>
      </c>
      <c r="W81" s="92">
        <f>'Financials"0"'!V50</f>
        <v>608873.73</v>
      </c>
      <c r="X81" s="92">
        <f>'Financials"0"'!W50</f>
        <v>608873.73</v>
      </c>
      <c r="Y81" s="92">
        <f>'Financials"0"'!X50</f>
        <v>608873.73</v>
      </c>
      <c r="Z81" s="92">
        <f>'Financials"0"'!Y50</f>
        <v>608873.73</v>
      </c>
      <c r="AA81" s="92">
        <f>'Financials"0"'!Z50</f>
        <v>608873.73</v>
      </c>
      <c r="AB81" s="92">
        <f>'Financials"0"'!AA50</f>
        <v>608873.73</v>
      </c>
      <c r="AC81" s="92">
        <f>'Financials"0"'!AB50</f>
        <v>608873.73</v>
      </c>
      <c r="AD81" s="7">
        <v>-1</v>
      </c>
    </row>
    <row r="82" spans="1:269" ht="13.5" customHeight="1">
      <c r="A82" s="5">
        <v>2</v>
      </c>
      <c r="B82" s="97" t="s">
        <v>1037</v>
      </c>
      <c r="C82" s="187">
        <f>BS_Data!E61-SUM(C80,C81)</f>
        <v>0</v>
      </c>
      <c r="D82" s="187">
        <f>BS_Data!F61-SUM(D80,D81)</f>
        <v>0</v>
      </c>
      <c r="E82" s="187">
        <f>BS_Data!G61-SUM(E80,E81)</f>
        <v>0</v>
      </c>
      <c r="F82" s="187">
        <f>BS_Data!H61-SUM(F80,F81)</f>
        <v>0</v>
      </c>
      <c r="G82" s="187">
        <f>BS_Data!I61-SUM(G80,G81)</f>
        <v>0</v>
      </c>
      <c r="H82" s="187">
        <f>BS_Data!J61-SUM(H80,H81)</f>
        <v>0</v>
      </c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7">
        <v>-1</v>
      </c>
    </row>
    <row r="83" spans="1:269" ht="13.5" customHeight="1">
      <c r="A83" s="5">
        <v>1</v>
      </c>
      <c r="B83" s="100" t="s">
        <v>129</v>
      </c>
      <c r="C83" s="185">
        <f t="shared" ref="C83" si="195">+C84+C85</f>
        <v>223105.73</v>
      </c>
      <c r="D83" s="185">
        <f t="shared" ref="D83:H83" si="196">+D84+D85</f>
        <v>210485.51</v>
      </c>
      <c r="E83" s="185">
        <f t="shared" si="196"/>
        <v>223255.77000000002</v>
      </c>
      <c r="F83" s="185">
        <f t="shared" si="196"/>
        <v>224420</v>
      </c>
      <c r="G83" s="185">
        <f t="shared" si="196"/>
        <v>390401.42</v>
      </c>
      <c r="H83" s="185">
        <f t="shared" si="196"/>
        <v>1488881.5</v>
      </c>
      <c r="I83" s="102">
        <f t="shared" ref="I83:M83" si="197">+I84+I85</f>
        <v>1488881.5</v>
      </c>
      <c r="J83" s="102">
        <f t="shared" si="197"/>
        <v>1488881.5</v>
      </c>
      <c r="K83" s="102">
        <f t="shared" si="197"/>
        <v>1488881.5</v>
      </c>
      <c r="L83" s="102">
        <f t="shared" si="197"/>
        <v>1488881.5</v>
      </c>
      <c r="M83" s="102">
        <f t="shared" si="197"/>
        <v>1488881.5</v>
      </c>
      <c r="N83" s="102">
        <f t="shared" ref="N83:R83" si="198">+N84+N85</f>
        <v>1488881.5</v>
      </c>
      <c r="O83" s="102">
        <f t="shared" si="198"/>
        <v>1488881.5</v>
      </c>
      <c r="P83" s="102">
        <f t="shared" si="198"/>
        <v>1488881.5</v>
      </c>
      <c r="Q83" s="102">
        <f t="shared" si="198"/>
        <v>1488881.5</v>
      </c>
      <c r="R83" s="102">
        <f t="shared" si="198"/>
        <v>1488881.5</v>
      </c>
      <c r="S83" s="102">
        <f t="shared" ref="S83" si="199">+S84+S85</f>
        <v>1488881.5</v>
      </c>
      <c r="T83" s="102">
        <f t="shared" ref="T83:V83" si="200">+T84+T85</f>
        <v>1488881.5</v>
      </c>
      <c r="U83" s="102">
        <f t="shared" si="200"/>
        <v>1488881.5</v>
      </c>
      <c r="V83" s="102">
        <f t="shared" si="200"/>
        <v>1488881.5</v>
      </c>
      <c r="W83" s="102">
        <f t="shared" ref="W83:AC83" si="201">+W84+W85</f>
        <v>1488881.5</v>
      </c>
      <c r="X83" s="102">
        <f t="shared" si="201"/>
        <v>1488881.5</v>
      </c>
      <c r="Y83" s="102">
        <f t="shared" si="201"/>
        <v>1488881.5</v>
      </c>
      <c r="Z83" s="102">
        <f t="shared" si="201"/>
        <v>1488881.5</v>
      </c>
      <c r="AA83" s="102">
        <f t="shared" si="201"/>
        <v>1488881.5</v>
      </c>
      <c r="AB83" s="102">
        <f t="shared" si="201"/>
        <v>1488881.5</v>
      </c>
      <c r="AC83" s="102">
        <f t="shared" si="201"/>
        <v>1488881.5</v>
      </c>
    </row>
    <row r="84" spans="1:269" ht="13.5" customHeight="1">
      <c r="A84" s="5">
        <v>2</v>
      </c>
      <c r="B84" s="97" t="s">
        <v>101</v>
      </c>
      <c r="C84" s="187">
        <f>BS_Data!E69</f>
        <v>4.5</v>
      </c>
      <c r="D84" s="187">
        <f>BS_Data!F69</f>
        <v>0</v>
      </c>
      <c r="E84" s="187">
        <f>BS_Data!G69</f>
        <v>35.35</v>
      </c>
      <c r="F84" s="187">
        <f>BS_Data!H69</f>
        <v>0</v>
      </c>
      <c r="G84" s="187">
        <f>BS_Data!I69</f>
        <v>0</v>
      </c>
      <c r="H84" s="187">
        <f>BS_Data!J69</f>
        <v>387.29</v>
      </c>
      <c r="I84" s="283">
        <f>H84</f>
        <v>387.29</v>
      </c>
      <c r="J84" s="92">
        <f t="shared" ref="J84:V84" si="202">I84</f>
        <v>387.29</v>
      </c>
      <c r="K84" s="92">
        <f t="shared" si="202"/>
        <v>387.29</v>
      </c>
      <c r="L84" s="92">
        <f t="shared" si="202"/>
        <v>387.29</v>
      </c>
      <c r="M84" s="92">
        <f t="shared" si="202"/>
        <v>387.29</v>
      </c>
      <c r="N84" s="92">
        <f t="shared" si="202"/>
        <v>387.29</v>
      </c>
      <c r="O84" s="92">
        <f t="shared" si="202"/>
        <v>387.29</v>
      </c>
      <c r="P84" s="92">
        <f t="shared" si="202"/>
        <v>387.29</v>
      </c>
      <c r="Q84" s="92">
        <f t="shared" si="202"/>
        <v>387.29</v>
      </c>
      <c r="R84" s="92">
        <f t="shared" si="202"/>
        <v>387.29</v>
      </c>
      <c r="S84" s="92">
        <f t="shared" si="202"/>
        <v>387.29</v>
      </c>
      <c r="T84" s="92">
        <f t="shared" si="202"/>
        <v>387.29</v>
      </c>
      <c r="U84" s="92">
        <f t="shared" si="202"/>
        <v>387.29</v>
      </c>
      <c r="V84" s="92">
        <f t="shared" si="202"/>
        <v>387.29</v>
      </c>
      <c r="W84" s="92">
        <f t="shared" ref="W84:AC84" si="203">V84</f>
        <v>387.29</v>
      </c>
      <c r="X84" s="92">
        <f t="shared" si="203"/>
        <v>387.29</v>
      </c>
      <c r="Y84" s="92">
        <f t="shared" si="203"/>
        <v>387.29</v>
      </c>
      <c r="Z84" s="92">
        <f t="shared" si="203"/>
        <v>387.29</v>
      </c>
      <c r="AA84" s="92">
        <f t="shared" si="203"/>
        <v>387.29</v>
      </c>
      <c r="AB84" s="92">
        <f t="shared" si="203"/>
        <v>387.29</v>
      </c>
      <c r="AC84" s="92">
        <f t="shared" si="203"/>
        <v>387.29</v>
      </c>
      <c r="AD84" s="7">
        <v>-1</v>
      </c>
    </row>
    <row r="85" spans="1:269" ht="13.5" customHeight="1">
      <c r="A85" s="5">
        <v>2</v>
      </c>
      <c r="B85" s="97" t="s">
        <v>130</v>
      </c>
      <c r="C85" s="187">
        <f>BS_Data!E70</f>
        <v>223101.23</v>
      </c>
      <c r="D85" s="187">
        <f>BS_Data!F70</f>
        <v>210485.51</v>
      </c>
      <c r="E85" s="187">
        <f>BS_Data!G70</f>
        <v>223220.42</v>
      </c>
      <c r="F85" s="187">
        <f>BS_Data!H70</f>
        <v>224420</v>
      </c>
      <c r="G85" s="187">
        <f>BS_Data!I70</f>
        <v>390401.42</v>
      </c>
      <c r="H85" s="187">
        <f>BS_Data!J70</f>
        <v>1488494.21</v>
      </c>
      <c r="I85" s="283">
        <f>H85</f>
        <v>1488494.21</v>
      </c>
      <c r="J85" s="92">
        <f t="shared" ref="J85:V85" si="204">I85</f>
        <v>1488494.21</v>
      </c>
      <c r="K85" s="92">
        <f t="shared" si="204"/>
        <v>1488494.21</v>
      </c>
      <c r="L85" s="92">
        <f t="shared" si="204"/>
        <v>1488494.21</v>
      </c>
      <c r="M85" s="92">
        <f t="shared" si="204"/>
        <v>1488494.21</v>
      </c>
      <c r="N85" s="92">
        <f t="shared" si="204"/>
        <v>1488494.21</v>
      </c>
      <c r="O85" s="92">
        <f t="shared" si="204"/>
        <v>1488494.21</v>
      </c>
      <c r="P85" s="92">
        <f t="shared" si="204"/>
        <v>1488494.21</v>
      </c>
      <c r="Q85" s="92">
        <f t="shared" si="204"/>
        <v>1488494.21</v>
      </c>
      <c r="R85" s="92">
        <f t="shared" si="204"/>
        <v>1488494.21</v>
      </c>
      <c r="S85" s="92">
        <f t="shared" si="204"/>
        <v>1488494.21</v>
      </c>
      <c r="T85" s="92">
        <f t="shared" si="204"/>
        <v>1488494.21</v>
      </c>
      <c r="U85" s="92">
        <f t="shared" si="204"/>
        <v>1488494.21</v>
      </c>
      <c r="V85" s="92">
        <f t="shared" si="204"/>
        <v>1488494.21</v>
      </c>
      <c r="W85" s="92">
        <f t="shared" ref="W85:AC85" si="205">V85</f>
        <v>1488494.21</v>
      </c>
      <c r="X85" s="92">
        <f t="shared" si="205"/>
        <v>1488494.21</v>
      </c>
      <c r="Y85" s="92">
        <f t="shared" si="205"/>
        <v>1488494.21</v>
      </c>
      <c r="Z85" s="92">
        <f t="shared" si="205"/>
        <v>1488494.21</v>
      </c>
      <c r="AA85" s="92">
        <f t="shared" si="205"/>
        <v>1488494.21</v>
      </c>
      <c r="AB85" s="92">
        <f t="shared" si="205"/>
        <v>1488494.21</v>
      </c>
      <c r="AC85" s="92">
        <f t="shared" si="205"/>
        <v>1488494.21</v>
      </c>
      <c r="AD85" s="7">
        <v>-1</v>
      </c>
    </row>
    <row r="86" spans="1:269" ht="13.5" customHeight="1">
      <c r="B86" s="196"/>
      <c r="C86" s="197"/>
      <c r="D86" s="197"/>
      <c r="E86" s="197"/>
      <c r="F86" s="197"/>
      <c r="G86" s="197"/>
      <c r="H86" s="197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4"/>
    </row>
    <row r="87" spans="1:269" s="6" customFormat="1" ht="13">
      <c r="A87" s="198">
        <v>1</v>
      </c>
      <c r="B87" s="199" t="s">
        <v>131</v>
      </c>
      <c r="C87" s="200">
        <f t="shared" ref="C87:D87" si="206">C6-C47</f>
        <v>0</v>
      </c>
      <c r="D87" s="200">
        <f t="shared" si="206"/>
        <v>0</v>
      </c>
      <c r="E87" s="200">
        <f t="shared" ref="E87:H87" si="207">E6-E47</f>
        <v>0</v>
      </c>
      <c r="F87" s="200">
        <f t="shared" ref="F87:G87" si="208">F6-F47</f>
        <v>0</v>
      </c>
      <c r="G87" s="200">
        <f t="shared" si="208"/>
        <v>0</v>
      </c>
      <c r="H87" s="200">
        <f t="shared" si="207"/>
        <v>131807.43999998271</v>
      </c>
      <c r="I87" s="201">
        <f t="shared" ref="I87:M87" si="209">I6-I47</f>
        <v>131807.43999999762</v>
      </c>
      <c r="J87" s="201">
        <f t="shared" si="209"/>
        <v>131807.43999996781</v>
      </c>
      <c r="K87" s="201">
        <f t="shared" si="209"/>
        <v>131807.43999996781</v>
      </c>
      <c r="L87" s="201">
        <f t="shared" si="209"/>
        <v>131807.43999990821</v>
      </c>
      <c r="M87" s="201">
        <f t="shared" si="209"/>
        <v>131807.43999987841</v>
      </c>
      <c r="N87" s="201">
        <f t="shared" ref="N87:R87" si="210">N6-N47</f>
        <v>131807.43999990821</v>
      </c>
      <c r="O87" s="201">
        <f t="shared" si="210"/>
        <v>131807.43999990821</v>
      </c>
      <c r="P87" s="201">
        <f t="shared" si="210"/>
        <v>131807.43999996781</v>
      </c>
      <c r="Q87" s="201">
        <f t="shared" si="210"/>
        <v>131807.43999996781</v>
      </c>
      <c r="R87" s="201">
        <f t="shared" si="210"/>
        <v>131807.43999996781</v>
      </c>
      <c r="S87" s="201">
        <f t="shared" ref="S87" si="211">S6-S47</f>
        <v>131807.43999996781</v>
      </c>
      <c r="T87" s="201">
        <f t="shared" ref="T87:V87" si="212">T6-T47</f>
        <v>131807.43999996781</v>
      </c>
      <c r="U87" s="201">
        <f t="shared" si="212"/>
        <v>131807.43999993801</v>
      </c>
      <c r="V87" s="201">
        <f t="shared" si="212"/>
        <v>131807.43999993801</v>
      </c>
      <c r="W87" s="201">
        <f t="shared" ref="W87:AC87" si="213">W6-W47</f>
        <v>131807.43999995291</v>
      </c>
      <c r="X87" s="201">
        <f t="shared" si="213"/>
        <v>131807.43999991566</v>
      </c>
      <c r="Y87" s="201">
        <f t="shared" si="213"/>
        <v>131807.43999991938</v>
      </c>
      <c r="Z87" s="201">
        <f t="shared" si="213"/>
        <v>131807.43999992311</v>
      </c>
      <c r="AA87" s="201">
        <f t="shared" si="213"/>
        <v>131807.43999993801</v>
      </c>
      <c r="AB87" s="201">
        <f t="shared" si="213"/>
        <v>131807.43999993801</v>
      </c>
      <c r="AC87" s="201">
        <f t="shared" si="213"/>
        <v>131807.43999993801</v>
      </c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</row>
    <row r="88" spans="1:269">
      <c r="AD88" s="4"/>
    </row>
    <row r="89" spans="1:269">
      <c r="C89" s="202"/>
      <c r="D89" s="202"/>
      <c r="E89" s="202"/>
      <c r="F89" s="202"/>
      <c r="G89" s="202"/>
      <c r="H89" s="202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4"/>
    </row>
    <row r="90" spans="1:269" ht="13.5" customHeight="1">
      <c r="A90" s="5">
        <v>1</v>
      </c>
      <c r="B90" s="100" t="s">
        <v>132</v>
      </c>
      <c r="C90" s="185">
        <f t="shared" ref="C90:D90" si="214">SUMPRODUCT(C6:C85,$AD$6:$AD$85)</f>
        <v>-35891661.454999991</v>
      </c>
      <c r="D90" s="185">
        <f t="shared" si="214"/>
        <v>-56663977.807999998</v>
      </c>
      <c r="E90" s="185">
        <f t="shared" ref="E90:H90" si="215">SUMPRODUCT(E6:E85,$AD$6:$AD$85)</f>
        <v>-52894210.219000004</v>
      </c>
      <c r="F90" s="185">
        <f t="shared" ref="F90:G90" si="216">SUMPRODUCT(F6:F85,$AD$6:$AD$85)</f>
        <v>-43953099.68500001</v>
      </c>
      <c r="G90" s="185">
        <f t="shared" si="216"/>
        <v>-51744455.992000006</v>
      </c>
      <c r="H90" s="185">
        <f t="shared" si="215"/>
        <v>-55651705.038999997</v>
      </c>
      <c r="I90" s="76">
        <f t="shared" ref="I90:R90" si="217">SUMPRODUCT(I6:I85,$AD$6:$AD$85)</f>
        <v>-52257193.826039158</v>
      </c>
      <c r="J90" s="76">
        <f t="shared" si="217"/>
        <v>-39165744.542257167</v>
      </c>
      <c r="K90" s="76">
        <f t="shared" si="217"/>
        <v>-28831517.622668348</v>
      </c>
      <c r="L90" s="76">
        <f t="shared" si="217"/>
        <v>-21241352.511363991</v>
      </c>
      <c r="M90" s="76">
        <f t="shared" si="217"/>
        <v>-16202924.362123147</v>
      </c>
      <c r="N90" s="76">
        <f t="shared" si="217"/>
        <v>-11477751.997867465</v>
      </c>
      <c r="O90" s="76">
        <f t="shared" si="217"/>
        <v>-9877493.0964992493</v>
      </c>
      <c r="P90" s="76">
        <f t="shared" si="217"/>
        <v>-11149421.029696546</v>
      </c>
      <c r="Q90" s="76">
        <f t="shared" si="217"/>
        <v>-13177581.95420967</v>
      </c>
      <c r="R90" s="76">
        <f t="shared" si="217"/>
        <v>-12953172.889332913</v>
      </c>
      <c r="S90" s="76">
        <f t="shared" ref="S90" si="218">SUMPRODUCT(S6:S85,$AD$6:$AD$85)</f>
        <v>-12728133.388801999</v>
      </c>
      <c r="T90" s="76">
        <f t="shared" ref="T90:V90" si="219">SUMPRODUCT(T6:T85,$AD$6:$AD$85)</f>
        <v>-11912312.529359631</v>
      </c>
      <c r="U90" s="76">
        <f t="shared" si="219"/>
        <v>-11221267.409153126</v>
      </c>
      <c r="V90" s="76">
        <f t="shared" si="219"/>
        <v>-10636171.357962862</v>
      </c>
      <c r="W90" s="76">
        <f t="shared" ref="W90:AC90" si="220">SUMPRODUCT(W6:W85,$AD$6:$AD$85)</f>
        <v>-88938777.543195248</v>
      </c>
      <c r="X90" s="76">
        <f t="shared" si="220"/>
        <v>-168190508.35597965</v>
      </c>
      <c r="Y90" s="76">
        <f t="shared" si="220"/>
        <v>-248036320.31016496</v>
      </c>
      <c r="Z90" s="76">
        <f t="shared" si="220"/>
        <v>-328312811.26640302</v>
      </c>
      <c r="AA90" s="76">
        <f t="shared" si="220"/>
        <v>-409597670.17949539</v>
      </c>
      <c r="AB90" s="76">
        <f t="shared" si="220"/>
        <v>-491911463.2816174</v>
      </c>
      <c r="AC90" s="76">
        <f t="shared" si="220"/>
        <v>-575275180.2050271</v>
      </c>
      <c r="AD90" s="4"/>
    </row>
    <row r="91" spans="1:269">
      <c r="F91" s="202"/>
      <c r="G91" s="202"/>
      <c r="H91" s="202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4"/>
    </row>
    <row r="92" spans="1:269">
      <c r="C92" s="202"/>
      <c r="D92" s="202"/>
      <c r="E92" s="202"/>
      <c r="F92" s="202"/>
      <c r="G92" s="202"/>
      <c r="H92" s="202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4"/>
    </row>
    <row r="93" spans="1:269">
      <c r="AD93" s="4"/>
    </row>
    <row r="94" spans="1:269">
      <c r="AD94" s="4"/>
    </row>
    <row r="95" spans="1:269">
      <c r="AD95" s="4"/>
    </row>
    <row r="96" spans="1:269">
      <c r="AD96" s="4"/>
    </row>
    <row r="97" spans="30:30">
      <c r="AD97" s="4"/>
    </row>
    <row r="98" spans="30:30">
      <c r="AD98" s="4"/>
    </row>
    <row r="99" spans="30:30">
      <c r="AD99" s="4"/>
    </row>
    <row r="100" spans="30:30">
      <c r="AD100" s="4"/>
    </row>
    <row r="101" spans="30:30">
      <c r="AD101" s="4"/>
    </row>
    <row r="102" spans="30:30">
      <c r="AD102" s="4"/>
    </row>
    <row r="103" spans="30:30">
      <c r="AD103" s="4"/>
    </row>
    <row r="104" spans="30:30">
      <c r="AD104" s="4"/>
    </row>
    <row r="105" spans="30:30">
      <c r="AD105" s="4"/>
    </row>
    <row r="106" spans="30:30">
      <c r="AD106" s="4"/>
    </row>
    <row r="107" spans="30:30">
      <c r="AD107" s="4"/>
    </row>
    <row r="108" spans="30:30">
      <c r="AD108" s="4"/>
    </row>
    <row r="109" spans="30:30">
      <c r="AD109" s="4"/>
    </row>
    <row r="110" spans="30:30">
      <c r="AD110" s="4"/>
    </row>
    <row r="111" spans="30:30">
      <c r="AD111" s="4"/>
    </row>
    <row r="112" spans="30:30">
      <c r="AD112" s="4"/>
    </row>
    <row r="113" spans="30:30">
      <c r="AD113" s="4"/>
    </row>
    <row r="114" spans="30:30">
      <c r="AD114" s="4"/>
    </row>
    <row r="115" spans="30:30">
      <c r="AD115" s="4"/>
    </row>
    <row r="116" spans="30:30">
      <c r="AD116" s="4"/>
    </row>
    <row r="117" spans="30:30">
      <c r="AD117" s="4"/>
    </row>
    <row r="118" spans="30:30">
      <c r="AD118" s="4"/>
    </row>
    <row r="119" spans="30:30">
      <c r="AD119" s="4"/>
    </row>
    <row r="120" spans="30:30">
      <c r="AD120" s="4"/>
    </row>
    <row r="121" spans="30:30">
      <c r="AD121" s="4"/>
    </row>
    <row r="122" spans="30:30">
      <c r="AD122" s="4"/>
    </row>
    <row r="123" spans="30:30">
      <c r="AD123" s="4"/>
    </row>
    <row r="124" spans="30:30">
      <c r="AD124" s="4"/>
    </row>
    <row r="125" spans="30:30">
      <c r="AD125" s="4"/>
    </row>
    <row r="126" spans="30:30">
      <c r="AD126" s="4"/>
    </row>
    <row r="127" spans="30:30">
      <c r="AD127" s="4"/>
    </row>
    <row r="128" spans="30:30">
      <c r="AD128" s="4"/>
    </row>
    <row r="129" spans="30:30">
      <c r="AD129" s="4"/>
    </row>
    <row r="130" spans="30:30">
      <c r="AD130" s="4"/>
    </row>
    <row r="131" spans="30:30">
      <c r="AD131" s="4"/>
    </row>
    <row r="132" spans="30:30">
      <c r="AD132" s="4"/>
    </row>
    <row r="133" spans="30:30">
      <c r="AD133" s="4"/>
    </row>
    <row r="134" spans="30:30">
      <c r="AD134" s="4"/>
    </row>
    <row r="135" spans="30:30">
      <c r="AD135" s="4"/>
    </row>
    <row r="136" spans="30:30">
      <c r="AD136" s="4"/>
    </row>
    <row r="137" spans="30:30">
      <c r="AD137" s="4"/>
    </row>
    <row r="138" spans="30:30">
      <c r="AD138" s="4"/>
    </row>
    <row r="139" spans="30:30">
      <c r="AD139" s="4"/>
    </row>
    <row r="140" spans="30:30">
      <c r="AD140" s="4"/>
    </row>
    <row r="141" spans="30:30">
      <c r="AD141" s="4"/>
    </row>
    <row r="142" spans="30:30">
      <c r="AD142" s="4"/>
    </row>
    <row r="143" spans="30:30">
      <c r="AD143" s="4"/>
    </row>
    <row r="144" spans="30:30">
      <c r="AD144" s="4"/>
    </row>
    <row r="145" spans="30:30">
      <c r="AD145" s="4"/>
    </row>
    <row r="146" spans="30:30">
      <c r="AD146" s="4"/>
    </row>
    <row r="147" spans="30:30">
      <c r="AD147" s="4"/>
    </row>
    <row r="148" spans="30:30">
      <c r="AD148" s="4"/>
    </row>
    <row r="149" spans="30:30">
      <c r="AD149" s="4"/>
    </row>
    <row r="150" spans="30:30">
      <c r="AD150" s="4"/>
    </row>
    <row r="151" spans="30:30">
      <c r="AD151" s="4"/>
    </row>
    <row r="152" spans="30:30">
      <c r="AD152" s="4"/>
    </row>
    <row r="153" spans="30:30">
      <c r="AD153" s="4"/>
    </row>
    <row r="154" spans="30:30">
      <c r="AD154" s="4"/>
    </row>
    <row r="155" spans="30:30">
      <c r="AD155" s="4"/>
    </row>
    <row r="156" spans="30:30">
      <c r="AD156" s="4"/>
    </row>
    <row r="157" spans="30:30">
      <c r="AD157" s="4"/>
    </row>
    <row r="158" spans="30:30">
      <c r="AD158" s="4"/>
    </row>
    <row r="159" spans="30:30">
      <c r="AD159" s="4"/>
    </row>
    <row r="160" spans="30:30">
      <c r="AD160" s="4"/>
    </row>
    <row r="161" spans="30:30">
      <c r="AD161" s="4"/>
    </row>
    <row r="162" spans="30:30">
      <c r="AD162" s="4"/>
    </row>
    <row r="163" spans="30:30">
      <c r="AD163" s="4"/>
    </row>
    <row r="164" spans="30:30">
      <c r="AD164" s="4"/>
    </row>
    <row r="165" spans="30:30">
      <c r="AD165" s="4"/>
    </row>
    <row r="166" spans="30:30">
      <c r="AD166" s="4"/>
    </row>
    <row r="167" spans="30:30">
      <c r="AD167" s="4"/>
    </row>
    <row r="168" spans="30:30">
      <c r="AD168" s="4"/>
    </row>
    <row r="169" spans="30:30">
      <c r="AD169" s="4"/>
    </row>
    <row r="170" spans="30:30">
      <c r="AD170" s="4"/>
    </row>
    <row r="171" spans="30:30">
      <c r="AD171" s="4"/>
    </row>
    <row r="172" spans="30:30">
      <c r="AD172" s="4"/>
    </row>
    <row r="173" spans="30:30">
      <c r="AD173" s="4"/>
    </row>
    <row r="174" spans="30:30">
      <c r="AD174" s="4"/>
    </row>
    <row r="175" spans="30:30">
      <c r="AD175" s="4"/>
    </row>
    <row r="176" spans="30:30">
      <c r="AD176" s="4"/>
    </row>
    <row r="177" spans="30:30">
      <c r="AD177" s="4"/>
    </row>
    <row r="178" spans="30:30">
      <c r="AD178" s="4"/>
    </row>
    <row r="179" spans="30:30">
      <c r="AD179" s="4"/>
    </row>
    <row r="180" spans="30:30">
      <c r="AD180" s="4"/>
    </row>
    <row r="181" spans="30:30">
      <c r="AD181" s="4"/>
    </row>
    <row r="182" spans="30:30">
      <c r="AD182" s="4"/>
    </row>
    <row r="183" spans="30:30">
      <c r="AD183" s="4"/>
    </row>
    <row r="184" spans="30:30">
      <c r="AD184" s="4"/>
    </row>
    <row r="185" spans="30:30">
      <c r="AD185" s="4"/>
    </row>
    <row r="186" spans="30:30">
      <c r="AD186" s="4"/>
    </row>
    <row r="187" spans="30:30">
      <c r="AD187" s="4"/>
    </row>
    <row r="188" spans="30:30">
      <c r="AD188" s="4"/>
    </row>
    <row r="189" spans="30:30">
      <c r="AD189" s="4"/>
    </row>
    <row r="190" spans="30:30">
      <c r="AD190" s="4"/>
    </row>
    <row r="191" spans="30:30">
      <c r="AD191" s="4"/>
    </row>
    <row r="192" spans="30:30">
      <c r="AD192" s="4"/>
    </row>
    <row r="193" spans="30:30">
      <c r="AD193" s="4"/>
    </row>
    <row r="194" spans="30:30">
      <c r="AD194" s="4"/>
    </row>
    <row r="195" spans="30:30">
      <c r="AD195" s="4"/>
    </row>
    <row r="196" spans="30:30">
      <c r="AD196" s="4"/>
    </row>
    <row r="197" spans="30:30">
      <c r="AD197" s="4"/>
    </row>
    <row r="198" spans="30:30">
      <c r="AD198" s="4"/>
    </row>
    <row r="199" spans="30:30">
      <c r="AD199" s="4"/>
    </row>
    <row r="200" spans="30:30">
      <c r="AD200" s="4"/>
    </row>
    <row r="201" spans="30:30">
      <c r="AD201" s="4"/>
    </row>
    <row r="202" spans="30:30">
      <c r="AD202" s="4"/>
    </row>
    <row r="203" spans="30:30">
      <c r="AD203" s="4"/>
    </row>
    <row r="204" spans="30:30">
      <c r="AD204" s="4"/>
    </row>
    <row r="205" spans="30:30">
      <c r="AD205" s="4"/>
    </row>
    <row r="206" spans="30:30">
      <c r="AD206" s="4"/>
    </row>
    <row r="207" spans="30:30">
      <c r="AD207" s="4"/>
    </row>
    <row r="208" spans="30:30">
      <c r="AD208" s="4"/>
    </row>
    <row r="209" spans="30:30">
      <c r="AD209" s="4"/>
    </row>
    <row r="210" spans="30:30">
      <c r="AD210" s="4"/>
    </row>
    <row r="211" spans="30:30">
      <c r="AD211" s="4"/>
    </row>
    <row r="212" spans="30:30">
      <c r="AD212" s="4"/>
    </row>
    <row r="213" spans="30:30">
      <c r="AD213" s="4"/>
    </row>
    <row r="214" spans="30:30">
      <c r="AD214" s="4"/>
    </row>
    <row r="215" spans="30:30">
      <c r="AD215" s="4"/>
    </row>
    <row r="216" spans="30:30">
      <c r="AD216" s="4"/>
    </row>
    <row r="217" spans="30:30">
      <c r="AD217" s="4"/>
    </row>
    <row r="218" spans="30:30">
      <c r="AD218" s="4"/>
    </row>
    <row r="219" spans="30:30">
      <c r="AD219" s="4"/>
    </row>
    <row r="220" spans="30:30">
      <c r="AD220" s="4"/>
    </row>
    <row r="221" spans="30:30">
      <c r="AD221" s="4"/>
    </row>
    <row r="222" spans="30:30">
      <c r="AD222" s="4"/>
    </row>
    <row r="223" spans="30:30">
      <c r="AD223" s="4"/>
    </row>
    <row r="224" spans="30:30">
      <c r="AD224" s="4"/>
    </row>
    <row r="225" spans="30:30">
      <c r="AD225" s="4"/>
    </row>
    <row r="226" spans="30:30">
      <c r="AD226" s="4"/>
    </row>
    <row r="227" spans="30:30">
      <c r="AD227" s="4"/>
    </row>
    <row r="228" spans="30:30">
      <c r="AD228" s="4"/>
    </row>
    <row r="229" spans="30:30">
      <c r="AD229" s="4"/>
    </row>
    <row r="230" spans="30:30">
      <c r="AD230" s="4"/>
    </row>
    <row r="231" spans="30:30">
      <c r="AD231" s="4"/>
    </row>
    <row r="232" spans="30:30">
      <c r="AD232" s="4"/>
    </row>
    <row r="233" spans="30:30">
      <c r="AD233" s="4"/>
    </row>
    <row r="234" spans="30:30">
      <c r="AD234" s="4"/>
    </row>
    <row r="235" spans="30:30">
      <c r="AD235" s="4"/>
    </row>
    <row r="236" spans="30:30">
      <c r="AD236" s="4"/>
    </row>
    <row r="237" spans="30:30">
      <c r="AD237" s="4"/>
    </row>
    <row r="238" spans="30:30">
      <c r="AD238" s="4"/>
    </row>
    <row r="239" spans="30:30">
      <c r="AD239" s="4"/>
    </row>
    <row r="240" spans="30:30">
      <c r="AD240" s="4"/>
    </row>
    <row r="241" spans="30:30">
      <c r="AD241" s="4"/>
    </row>
    <row r="242" spans="30:30">
      <c r="AD242" s="4"/>
    </row>
    <row r="243" spans="30:30">
      <c r="AD243" s="4"/>
    </row>
    <row r="244" spans="30:30">
      <c r="AD244" s="4"/>
    </row>
    <row r="245" spans="30:30">
      <c r="AD245" s="4"/>
    </row>
    <row r="246" spans="30:30">
      <c r="AD246" s="4"/>
    </row>
    <row r="247" spans="30:30">
      <c r="AD247" s="4"/>
    </row>
    <row r="248" spans="30:30">
      <c r="AD248" s="4"/>
    </row>
    <row r="249" spans="30:30">
      <c r="AD249" s="4"/>
    </row>
    <row r="250" spans="30:30">
      <c r="AD250" s="4"/>
    </row>
    <row r="251" spans="30:30">
      <c r="AD251" s="4"/>
    </row>
    <row r="252" spans="30:30">
      <c r="AD252" s="4"/>
    </row>
    <row r="253" spans="30:30">
      <c r="AD253" s="4"/>
    </row>
    <row r="254" spans="30:30">
      <c r="AD254" s="4"/>
    </row>
    <row r="255" spans="30:30">
      <c r="AD255" s="4"/>
    </row>
    <row r="256" spans="30:30">
      <c r="AD256" s="4"/>
    </row>
    <row r="257" spans="30:30">
      <c r="AD257" s="4"/>
    </row>
    <row r="258" spans="30:30">
      <c r="AD258" s="4"/>
    </row>
    <row r="259" spans="30:30">
      <c r="AD259" s="4"/>
    </row>
    <row r="260" spans="30:30">
      <c r="AD260" s="4"/>
    </row>
    <row r="261" spans="30:30">
      <c r="AD261" s="4"/>
    </row>
    <row r="262" spans="30:30">
      <c r="AD262" s="4"/>
    </row>
    <row r="263" spans="30:30">
      <c r="AD263" s="4"/>
    </row>
    <row r="264" spans="30:30">
      <c r="AD264" s="4"/>
    </row>
    <row r="265" spans="30:30">
      <c r="AD265" s="4"/>
    </row>
    <row r="266" spans="30:30">
      <c r="AD266" s="4"/>
    </row>
    <row r="267" spans="30:30">
      <c r="AD267" s="4"/>
    </row>
    <row r="268" spans="30:30">
      <c r="AD268" s="4"/>
    </row>
    <row r="269" spans="30:30">
      <c r="AD269" s="4"/>
    </row>
    <row r="270" spans="30:30">
      <c r="AD270" s="4"/>
    </row>
    <row r="271" spans="30:30">
      <c r="AD271" s="4"/>
    </row>
    <row r="272" spans="30:30">
      <c r="AD272" s="4"/>
    </row>
    <row r="273" spans="30:30">
      <c r="AD273" s="4"/>
    </row>
    <row r="274" spans="30:30">
      <c r="AD274" s="4"/>
    </row>
    <row r="275" spans="30:30">
      <c r="AD275" s="4"/>
    </row>
    <row r="276" spans="30:30">
      <c r="AD276" s="4"/>
    </row>
    <row r="277" spans="30:30">
      <c r="AD277" s="4"/>
    </row>
    <row r="278" spans="30:30">
      <c r="AD278" s="4"/>
    </row>
    <row r="279" spans="30:30">
      <c r="AD279" s="4"/>
    </row>
    <row r="280" spans="30:30">
      <c r="AD280" s="4"/>
    </row>
    <row r="281" spans="30:30">
      <c r="AD281" s="4"/>
    </row>
    <row r="282" spans="30:30">
      <c r="AD282" s="4"/>
    </row>
    <row r="283" spans="30:30">
      <c r="AD283" s="4"/>
    </row>
    <row r="284" spans="30:30">
      <c r="AD284" s="4"/>
    </row>
    <row r="285" spans="30:30">
      <c r="AD285" s="4"/>
    </row>
    <row r="286" spans="30:30">
      <c r="AD286" s="4"/>
    </row>
    <row r="287" spans="30:30">
      <c r="AD287" s="4"/>
    </row>
    <row r="288" spans="30:30">
      <c r="AD288" s="4"/>
    </row>
    <row r="289" spans="30:30">
      <c r="AD289" s="4"/>
    </row>
    <row r="290" spans="30:30">
      <c r="AD290" s="4"/>
    </row>
    <row r="291" spans="30:30">
      <c r="AD291" s="4"/>
    </row>
    <row r="292" spans="30:30">
      <c r="AD292" s="4"/>
    </row>
    <row r="293" spans="30:30">
      <c r="AD293" s="4"/>
    </row>
    <row r="294" spans="30:30">
      <c r="AD294" s="4"/>
    </row>
    <row r="295" spans="30:30">
      <c r="AD295" s="4"/>
    </row>
    <row r="296" spans="30:30">
      <c r="AD296" s="4"/>
    </row>
    <row r="297" spans="30:30">
      <c r="AD297" s="4"/>
    </row>
    <row r="298" spans="30:30">
      <c r="AD298" s="4"/>
    </row>
    <row r="299" spans="30:30">
      <c r="AD299" s="4"/>
    </row>
    <row r="300" spans="30:30">
      <c r="AD300" s="4"/>
    </row>
    <row r="301" spans="30:30">
      <c r="AD301" s="4"/>
    </row>
    <row r="302" spans="30:30">
      <c r="AD302" s="4"/>
    </row>
    <row r="303" spans="30:30">
      <c r="AD303" s="4"/>
    </row>
    <row r="304" spans="30:30">
      <c r="AD304" s="4"/>
    </row>
    <row r="305" spans="30:30">
      <c r="AD305" s="4"/>
    </row>
    <row r="306" spans="30:30">
      <c r="AD306" s="4"/>
    </row>
    <row r="307" spans="30:30">
      <c r="AD307" s="4"/>
    </row>
    <row r="308" spans="30:30">
      <c r="AD308" s="4"/>
    </row>
    <row r="309" spans="30:30">
      <c r="AD309" s="4"/>
    </row>
    <row r="310" spans="30:30">
      <c r="AD310" s="4"/>
    </row>
    <row r="311" spans="30:30">
      <c r="AD311" s="4"/>
    </row>
    <row r="312" spans="30:30">
      <c r="AD312" s="4"/>
    </row>
    <row r="313" spans="30:30">
      <c r="AD313" s="4"/>
    </row>
    <row r="314" spans="30:30">
      <c r="AD314" s="4"/>
    </row>
    <row r="315" spans="30:30">
      <c r="AD315" s="4"/>
    </row>
    <row r="316" spans="30:30">
      <c r="AD316" s="4"/>
    </row>
    <row r="317" spans="30:30">
      <c r="AD317" s="4"/>
    </row>
    <row r="318" spans="30:30">
      <c r="AD318" s="4"/>
    </row>
    <row r="319" spans="30:30">
      <c r="AD319" s="4"/>
    </row>
    <row r="320" spans="30:30">
      <c r="AD320" s="4"/>
    </row>
    <row r="321" spans="30:30">
      <c r="AD321" s="4"/>
    </row>
    <row r="322" spans="30:30">
      <c r="AD322" s="4"/>
    </row>
    <row r="323" spans="30:30">
      <c r="AD323" s="4"/>
    </row>
    <row r="324" spans="30:30">
      <c r="AD324" s="4"/>
    </row>
    <row r="325" spans="30:30">
      <c r="AD325" s="4"/>
    </row>
    <row r="326" spans="30:30">
      <c r="AD326" s="4"/>
    </row>
    <row r="327" spans="30:30">
      <c r="AD327" s="4"/>
    </row>
    <row r="328" spans="30:30">
      <c r="AD328" s="4"/>
    </row>
    <row r="329" spans="30:30">
      <c r="AD329" s="4"/>
    </row>
    <row r="330" spans="30:30">
      <c r="AD330" s="4"/>
    </row>
    <row r="331" spans="30:30">
      <c r="AD331" s="4"/>
    </row>
    <row r="332" spans="30:30">
      <c r="AD332" s="4"/>
    </row>
    <row r="333" spans="30:30">
      <c r="AD333" s="4"/>
    </row>
    <row r="334" spans="30:30">
      <c r="AD334" s="4"/>
    </row>
    <row r="335" spans="30:30">
      <c r="AD335" s="4"/>
    </row>
    <row r="336" spans="30:30">
      <c r="AD336" s="4"/>
    </row>
    <row r="337" spans="30:30">
      <c r="AD337" s="4"/>
    </row>
    <row r="338" spans="30:30">
      <c r="AD338" s="4"/>
    </row>
    <row r="339" spans="30:30">
      <c r="AD339" s="4"/>
    </row>
    <row r="340" spans="30:30">
      <c r="AD340" s="4"/>
    </row>
    <row r="341" spans="30:30">
      <c r="AD341" s="4"/>
    </row>
    <row r="342" spans="30:30">
      <c r="AD342" s="4"/>
    </row>
    <row r="343" spans="30:30">
      <c r="AD343" s="4"/>
    </row>
    <row r="344" spans="30:30">
      <c r="AD344" s="4"/>
    </row>
    <row r="345" spans="30:30">
      <c r="AD345" s="4"/>
    </row>
    <row r="346" spans="30:30">
      <c r="AD346" s="4"/>
    </row>
    <row r="347" spans="30:30">
      <c r="AD347" s="4"/>
    </row>
    <row r="348" spans="30:30">
      <c r="AD348" s="4"/>
    </row>
    <row r="349" spans="30:30">
      <c r="AD349" s="4"/>
    </row>
    <row r="350" spans="30:30">
      <c r="AD350" s="4"/>
    </row>
    <row r="351" spans="30:30">
      <c r="AD351" s="4"/>
    </row>
    <row r="352" spans="30:30">
      <c r="AD352" s="4"/>
    </row>
    <row r="353" spans="30:30">
      <c r="AD353" s="4"/>
    </row>
    <row r="354" spans="30:30">
      <c r="AD354" s="4"/>
    </row>
    <row r="355" spans="30:30">
      <c r="AD355" s="4"/>
    </row>
    <row r="356" spans="30:30">
      <c r="AD356" s="4"/>
    </row>
    <row r="357" spans="30:30">
      <c r="AD357" s="4"/>
    </row>
    <row r="358" spans="30:30">
      <c r="AD358" s="4"/>
    </row>
    <row r="359" spans="30:30">
      <c r="AD359" s="4"/>
    </row>
    <row r="360" spans="30:30">
      <c r="AD360" s="4"/>
    </row>
    <row r="361" spans="30:30">
      <c r="AD361" s="4"/>
    </row>
    <row r="362" spans="30:30">
      <c r="AD362" s="4"/>
    </row>
    <row r="363" spans="30:30">
      <c r="AD363" s="4"/>
    </row>
    <row r="364" spans="30:30">
      <c r="AD364" s="4"/>
    </row>
    <row r="365" spans="30:30">
      <c r="AD365" s="4"/>
    </row>
    <row r="366" spans="30:30">
      <c r="AD366" s="4"/>
    </row>
    <row r="367" spans="30:30">
      <c r="AD367" s="4"/>
    </row>
    <row r="368" spans="30:30">
      <c r="AD368" s="4"/>
    </row>
    <row r="369" spans="30:30">
      <c r="AD369" s="4"/>
    </row>
    <row r="370" spans="30:30">
      <c r="AD370" s="4"/>
    </row>
    <row r="371" spans="30:30">
      <c r="AD371" s="4"/>
    </row>
    <row r="372" spans="30:30">
      <c r="AD372" s="4"/>
    </row>
    <row r="373" spans="30:30">
      <c r="AD373" s="4"/>
    </row>
    <row r="374" spans="30:30">
      <c r="AD374" s="4"/>
    </row>
    <row r="375" spans="30:30">
      <c r="AD375" s="4"/>
    </row>
    <row r="376" spans="30:30">
      <c r="AD376" s="4"/>
    </row>
    <row r="377" spans="30:30">
      <c r="AD377" s="4"/>
    </row>
    <row r="378" spans="30:30">
      <c r="AD378" s="4"/>
    </row>
    <row r="379" spans="30:30">
      <c r="AD379" s="4"/>
    </row>
    <row r="380" spans="30:30">
      <c r="AD380" s="4"/>
    </row>
    <row r="381" spans="30:30">
      <c r="AD381" s="4"/>
    </row>
    <row r="382" spans="30:30">
      <c r="AD382" s="4"/>
    </row>
    <row r="383" spans="30:30">
      <c r="AD383" s="4"/>
    </row>
    <row r="384" spans="30:30">
      <c r="AD384" s="4"/>
    </row>
    <row r="385" spans="30:30">
      <c r="AD385" s="4"/>
    </row>
    <row r="386" spans="30:30">
      <c r="AD386" s="4"/>
    </row>
    <row r="387" spans="30:30">
      <c r="AD387" s="4"/>
    </row>
    <row r="388" spans="30:30">
      <c r="AD388" s="4"/>
    </row>
    <row r="389" spans="30:30">
      <c r="AD389" s="4"/>
    </row>
    <row r="390" spans="30:30">
      <c r="AD390" s="4"/>
    </row>
    <row r="391" spans="30:30">
      <c r="AD391" s="4"/>
    </row>
    <row r="392" spans="30:30">
      <c r="AD392" s="4"/>
    </row>
    <row r="393" spans="30:30">
      <c r="AD393" s="4"/>
    </row>
    <row r="394" spans="30:30">
      <c r="AD394" s="4"/>
    </row>
    <row r="395" spans="30:30">
      <c r="AD395" s="4"/>
    </row>
    <row r="396" spans="30:30">
      <c r="AD396" s="4"/>
    </row>
    <row r="397" spans="30:30">
      <c r="AD397" s="4"/>
    </row>
    <row r="398" spans="30:30">
      <c r="AD398" s="4"/>
    </row>
    <row r="399" spans="30:30">
      <c r="AD399" s="4"/>
    </row>
    <row r="400" spans="30:30">
      <c r="AD400" s="4"/>
    </row>
    <row r="401" spans="30:30">
      <c r="AD401" s="4"/>
    </row>
    <row r="402" spans="30:30">
      <c r="AD402" s="4"/>
    </row>
    <row r="403" spans="30:30">
      <c r="AD403" s="4"/>
    </row>
    <row r="404" spans="30:30">
      <c r="AD404" s="4"/>
    </row>
    <row r="405" spans="30:30">
      <c r="AD405" s="4"/>
    </row>
    <row r="406" spans="30:30">
      <c r="AD406" s="4"/>
    </row>
    <row r="407" spans="30:30">
      <c r="AD407" s="4"/>
    </row>
    <row r="408" spans="30:30">
      <c r="AD408" s="4"/>
    </row>
    <row r="409" spans="30:30">
      <c r="AD409" s="4"/>
    </row>
    <row r="410" spans="30:30">
      <c r="AD410" s="4"/>
    </row>
    <row r="411" spans="30:30">
      <c r="AD411" s="4"/>
    </row>
    <row r="412" spans="30:30">
      <c r="AD412" s="4"/>
    </row>
    <row r="413" spans="30:30">
      <c r="AD413" s="4"/>
    </row>
    <row r="414" spans="30:30">
      <c r="AD414" s="4"/>
    </row>
    <row r="415" spans="30:30">
      <c r="AD415" s="4"/>
    </row>
    <row r="416" spans="30:30">
      <c r="AD416" s="4"/>
    </row>
    <row r="417" spans="30:30">
      <c r="AD417" s="4"/>
    </row>
    <row r="418" spans="30:30">
      <c r="AD418" s="4"/>
    </row>
    <row r="419" spans="30:30">
      <c r="AD419" s="4"/>
    </row>
    <row r="420" spans="30:30">
      <c r="AD420" s="4"/>
    </row>
    <row r="421" spans="30:30">
      <c r="AD421" s="4"/>
    </row>
    <row r="422" spans="30:30">
      <c r="AD422" s="4"/>
    </row>
    <row r="423" spans="30:30">
      <c r="AD423" s="4"/>
    </row>
    <row r="424" spans="30:30">
      <c r="AD424" s="4"/>
    </row>
    <row r="425" spans="30:30">
      <c r="AD425" s="4"/>
    </row>
    <row r="426" spans="30:30">
      <c r="AD426" s="4"/>
    </row>
    <row r="427" spans="30:30">
      <c r="AD427" s="4"/>
    </row>
    <row r="428" spans="30:30">
      <c r="AD428" s="4"/>
    </row>
    <row r="429" spans="30:30">
      <c r="AD429" s="4"/>
    </row>
    <row r="430" spans="30:30">
      <c r="AD430" s="4"/>
    </row>
    <row r="431" spans="30:30">
      <c r="AD431" s="4"/>
    </row>
    <row r="432" spans="30:30">
      <c r="AD432" s="4"/>
    </row>
    <row r="433" spans="30:30">
      <c r="AD433" s="4"/>
    </row>
    <row r="434" spans="30:30">
      <c r="AD434" s="4"/>
    </row>
    <row r="435" spans="30:30">
      <c r="AD435" s="4"/>
    </row>
    <row r="436" spans="30:30">
      <c r="AD436" s="4"/>
    </row>
    <row r="437" spans="30:30">
      <c r="AD437" s="4"/>
    </row>
    <row r="438" spans="30:30">
      <c r="AD438" s="4"/>
    </row>
    <row r="439" spans="30:30">
      <c r="AD439" s="4"/>
    </row>
    <row r="440" spans="30:30">
      <c r="AD440" s="4"/>
    </row>
    <row r="441" spans="30:30">
      <c r="AD441" s="4"/>
    </row>
    <row r="442" spans="30:30">
      <c r="AD442" s="4"/>
    </row>
    <row r="443" spans="30:30">
      <c r="AD443" s="4"/>
    </row>
    <row r="444" spans="30:30">
      <c r="AD444" s="4"/>
    </row>
    <row r="445" spans="30:30">
      <c r="AD445" s="4"/>
    </row>
    <row r="446" spans="30:30">
      <c r="AD446" s="4"/>
    </row>
    <row r="447" spans="30:30">
      <c r="AD447" s="4"/>
    </row>
    <row r="448" spans="30:30">
      <c r="AD448" s="4"/>
    </row>
    <row r="449" spans="30:30">
      <c r="AD449" s="4"/>
    </row>
    <row r="450" spans="30:30">
      <c r="AD450" s="4"/>
    </row>
    <row r="451" spans="30:30">
      <c r="AD451" s="4"/>
    </row>
    <row r="452" spans="30:30">
      <c r="AD452" s="4"/>
    </row>
    <row r="453" spans="30:30">
      <c r="AD453" s="4"/>
    </row>
    <row r="454" spans="30:30">
      <c r="AD454" s="4"/>
    </row>
    <row r="455" spans="30:30">
      <c r="AD455" s="4"/>
    </row>
    <row r="456" spans="30:30">
      <c r="AD456" s="4"/>
    </row>
    <row r="457" spans="30:30">
      <c r="AD457" s="4"/>
    </row>
    <row r="458" spans="30:30">
      <c r="AD458" s="4"/>
    </row>
    <row r="459" spans="30:30">
      <c r="AD459" s="4"/>
    </row>
    <row r="460" spans="30:30">
      <c r="AD460" s="4"/>
    </row>
    <row r="461" spans="30:30">
      <c r="AD461" s="4"/>
    </row>
    <row r="462" spans="30:30">
      <c r="AD462" s="4"/>
    </row>
    <row r="463" spans="30:30">
      <c r="AD463" s="4"/>
    </row>
    <row r="464" spans="30:30">
      <c r="AD464" s="4"/>
    </row>
    <row r="465" spans="30:30">
      <c r="AD465" s="4"/>
    </row>
    <row r="466" spans="30:30">
      <c r="AD466" s="4"/>
    </row>
    <row r="467" spans="30:30">
      <c r="AD467" s="4"/>
    </row>
    <row r="468" spans="30:30">
      <c r="AD468" s="4"/>
    </row>
    <row r="469" spans="30:30">
      <c r="AD469" s="4"/>
    </row>
    <row r="470" spans="30:30">
      <c r="AD470" s="4"/>
    </row>
    <row r="471" spans="30:30">
      <c r="AD471" s="4"/>
    </row>
    <row r="472" spans="30:30">
      <c r="AD472" s="4"/>
    </row>
    <row r="473" spans="30:30">
      <c r="AD473" s="4"/>
    </row>
    <row r="474" spans="30:30">
      <c r="AD474" s="4"/>
    </row>
    <row r="475" spans="30:30">
      <c r="AD475" s="4"/>
    </row>
    <row r="476" spans="30:30">
      <c r="AD476" s="4"/>
    </row>
    <row r="477" spans="30:30">
      <c r="AD477" s="4"/>
    </row>
    <row r="478" spans="30:30">
      <c r="AD478" s="4"/>
    </row>
    <row r="479" spans="30:30">
      <c r="AD479" s="4"/>
    </row>
    <row r="480" spans="30:30">
      <c r="AD480" s="4"/>
    </row>
    <row r="481" spans="30:30">
      <c r="AD481" s="4"/>
    </row>
    <row r="482" spans="30:30">
      <c r="AD482" s="4"/>
    </row>
    <row r="483" spans="30:30">
      <c r="AD483" s="4"/>
    </row>
    <row r="484" spans="30:30">
      <c r="AD484" s="4"/>
    </row>
    <row r="485" spans="30:30">
      <c r="AD485" s="4"/>
    </row>
    <row r="486" spans="30:30">
      <c r="AD486" s="4"/>
    </row>
    <row r="487" spans="30:30">
      <c r="AD487" s="4"/>
    </row>
    <row r="488" spans="30:30">
      <c r="AD488" s="4"/>
    </row>
    <row r="489" spans="30:30">
      <c r="AD489" s="4"/>
    </row>
    <row r="490" spans="30:30">
      <c r="AD490" s="4"/>
    </row>
    <row r="491" spans="30:30">
      <c r="AD491" s="4"/>
    </row>
    <row r="492" spans="30:30">
      <c r="AD492" s="4"/>
    </row>
    <row r="493" spans="30:30">
      <c r="AD493" s="4"/>
    </row>
    <row r="494" spans="30:30">
      <c r="AD494" s="4"/>
    </row>
    <row r="495" spans="30:30">
      <c r="AD495" s="4"/>
    </row>
    <row r="496" spans="30:30">
      <c r="AD496" s="4"/>
    </row>
    <row r="497" spans="30:30">
      <c r="AD497" s="4"/>
    </row>
    <row r="498" spans="30:30">
      <c r="AD498" s="4"/>
    </row>
    <row r="499" spans="30:30">
      <c r="AD499" s="4"/>
    </row>
    <row r="500" spans="30:30">
      <c r="AD500" s="4"/>
    </row>
    <row r="501" spans="30:30">
      <c r="AD501" s="4"/>
    </row>
    <row r="502" spans="30:30">
      <c r="AD502" s="4"/>
    </row>
    <row r="503" spans="30:30">
      <c r="AD503" s="4"/>
    </row>
    <row r="504" spans="30:30">
      <c r="AD504" s="4"/>
    </row>
    <row r="505" spans="30:30">
      <c r="AD505" s="4"/>
    </row>
    <row r="506" spans="30:30">
      <c r="AD506" s="4"/>
    </row>
    <row r="507" spans="30:30">
      <c r="AD507" s="4"/>
    </row>
    <row r="508" spans="30:30">
      <c r="AD508" s="4"/>
    </row>
    <row r="509" spans="30:30">
      <c r="AD509" s="4"/>
    </row>
    <row r="510" spans="30:30">
      <c r="AD510" s="4"/>
    </row>
    <row r="511" spans="30:30">
      <c r="AD511" s="4"/>
    </row>
    <row r="512" spans="30:30">
      <c r="AD512" s="4"/>
    </row>
    <row r="513" spans="30:30">
      <c r="AD513" s="4"/>
    </row>
    <row r="514" spans="30:30">
      <c r="AD514" s="4"/>
    </row>
    <row r="515" spans="30:30">
      <c r="AD515" s="4"/>
    </row>
    <row r="516" spans="30:30">
      <c r="AD516" s="4"/>
    </row>
    <row r="517" spans="30:30">
      <c r="AD517" s="4"/>
    </row>
    <row r="518" spans="30:30">
      <c r="AD518" s="4"/>
    </row>
    <row r="519" spans="30:30">
      <c r="AD519" s="4"/>
    </row>
    <row r="520" spans="30:30">
      <c r="AD520" s="4"/>
    </row>
    <row r="521" spans="30:30">
      <c r="AD521" s="4"/>
    </row>
    <row r="522" spans="30:30">
      <c r="AD522" s="4"/>
    </row>
    <row r="523" spans="30:30">
      <c r="AD523" s="4"/>
    </row>
    <row r="524" spans="30:30">
      <c r="AD524" s="4"/>
    </row>
    <row r="525" spans="30:30">
      <c r="AD525" s="4"/>
    </row>
    <row r="526" spans="30:30">
      <c r="AD526" s="4"/>
    </row>
    <row r="527" spans="30:30">
      <c r="AD527" s="4"/>
    </row>
    <row r="528" spans="30:30">
      <c r="AD528" s="4"/>
    </row>
    <row r="529" spans="30:30">
      <c r="AD529" s="4"/>
    </row>
    <row r="530" spans="30:30">
      <c r="AD530" s="4"/>
    </row>
    <row r="531" spans="30:30">
      <c r="AD531" s="4"/>
    </row>
    <row r="532" spans="30:30">
      <c r="AD532" s="4"/>
    </row>
    <row r="533" spans="30:30">
      <c r="AD533" s="4"/>
    </row>
    <row r="534" spans="30:30">
      <c r="AD534" s="4"/>
    </row>
    <row r="535" spans="30:30">
      <c r="AD535" s="4"/>
    </row>
    <row r="536" spans="30:30">
      <c r="AD536" s="4"/>
    </row>
    <row r="537" spans="30:30">
      <c r="AD537" s="4"/>
    </row>
    <row r="538" spans="30:30">
      <c r="AD538" s="4"/>
    </row>
    <row r="539" spans="30:30">
      <c r="AD539" s="4"/>
    </row>
    <row r="540" spans="30:30">
      <c r="AD540" s="4"/>
    </row>
    <row r="541" spans="30:30">
      <c r="AD541" s="4"/>
    </row>
    <row r="542" spans="30:30">
      <c r="AD542" s="4"/>
    </row>
    <row r="543" spans="30:30">
      <c r="AD543" s="4"/>
    </row>
    <row r="544" spans="30:30">
      <c r="AD544" s="4"/>
    </row>
    <row r="545" spans="30:30">
      <c r="AD545" s="4"/>
    </row>
    <row r="546" spans="30:30">
      <c r="AD546" s="4"/>
    </row>
    <row r="547" spans="30:30">
      <c r="AD547" s="4"/>
    </row>
    <row r="548" spans="30:30">
      <c r="AD548" s="4"/>
    </row>
    <row r="549" spans="30:30">
      <c r="AD549" s="4"/>
    </row>
    <row r="550" spans="30:30">
      <c r="AD550" s="4"/>
    </row>
    <row r="551" spans="30:30">
      <c r="AD551" s="4"/>
    </row>
    <row r="552" spans="30:30">
      <c r="AD552" s="4"/>
    </row>
    <row r="553" spans="30:30">
      <c r="AD553" s="4"/>
    </row>
    <row r="554" spans="30:30">
      <c r="AD554" s="4"/>
    </row>
    <row r="555" spans="30:30">
      <c r="AD555" s="4"/>
    </row>
    <row r="556" spans="30:30">
      <c r="AD556" s="4"/>
    </row>
    <row r="557" spans="30:30">
      <c r="AD557" s="4"/>
    </row>
    <row r="558" spans="30:30">
      <c r="AD558" s="4"/>
    </row>
    <row r="559" spans="30:30">
      <c r="AD559" s="4"/>
    </row>
    <row r="560" spans="30:30">
      <c r="AD560" s="4"/>
    </row>
    <row r="561" spans="30:30">
      <c r="AD561" s="4"/>
    </row>
    <row r="562" spans="30:30">
      <c r="AD562" s="4"/>
    </row>
    <row r="563" spans="30:30">
      <c r="AD563" s="4"/>
    </row>
    <row r="564" spans="30:30">
      <c r="AD564" s="4"/>
    </row>
    <row r="565" spans="30:30">
      <c r="AD565" s="4"/>
    </row>
    <row r="566" spans="30:30">
      <c r="AD566" s="4"/>
    </row>
    <row r="567" spans="30:30">
      <c r="AD567" s="4"/>
    </row>
    <row r="568" spans="30:30">
      <c r="AD568" s="4"/>
    </row>
    <row r="569" spans="30:30">
      <c r="AD569" s="4"/>
    </row>
    <row r="570" spans="30:30">
      <c r="AD570" s="4"/>
    </row>
    <row r="571" spans="30:30">
      <c r="AD571" s="4"/>
    </row>
    <row r="572" spans="30:30">
      <c r="AD572" s="4"/>
    </row>
    <row r="573" spans="30:30">
      <c r="AD573" s="4"/>
    </row>
    <row r="574" spans="30:30">
      <c r="AD574" s="4"/>
    </row>
    <row r="575" spans="30:30">
      <c r="AD575" s="4"/>
    </row>
    <row r="576" spans="30:30">
      <c r="AD576" s="4"/>
    </row>
    <row r="577" spans="30:30">
      <c r="AD577" s="4"/>
    </row>
    <row r="578" spans="30:30">
      <c r="AD578" s="4"/>
    </row>
    <row r="579" spans="30:30">
      <c r="AD579" s="4"/>
    </row>
    <row r="580" spans="30:30">
      <c r="AD580" s="4"/>
    </row>
    <row r="581" spans="30:30">
      <c r="AD581" s="4"/>
    </row>
    <row r="582" spans="30:30">
      <c r="AD582" s="4"/>
    </row>
    <row r="583" spans="30:30">
      <c r="AD583" s="4"/>
    </row>
    <row r="584" spans="30:30">
      <c r="AD584" s="4"/>
    </row>
    <row r="585" spans="30:30">
      <c r="AD585" s="4"/>
    </row>
    <row r="586" spans="30:30">
      <c r="AD586" s="4"/>
    </row>
    <row r="587" spans="30:30">
      <c r="AD587" s="4"/>
    </row>
    <row r="588" spans="30:30">
      <c r="AD588" s="4"/>
    </row>
    <row r="589" spans="30:30">
      <c r="AD589" s="4"/>
    </row>
    <row r="590" spans="30:30">
      <c r="AD590" s="4"/>
    </row>
    <row r="591" spans="30:30">
      <c r="AD591" s="4"/>
    </row>
    <row r="592" spans="30:30">
      <c r="AD592" s="4"/>
    </row>
    <row r="593" spans="30:30">
      <c r="AD593" s="4"/>
    </row>
    <row r="594" spans="30:30">
      <c r="AD594" s="4"/>
    </row>
    <row r="595" spans="30:30">
      <c r="AD595" s="4"/>
    </row>
    <row r="596" spans="30:30">
      <c r="AD596" s="4"/>
    </row>
    <row r="597" spans="30:30">
      <c r="AD597" s="4"/>
    </row>
    <row r="598" spans="30:30">
      <c r="AD598" s="4"/>
    </row>
    <row r="599" spans="30:30">
      <c r="AD599" s="4"/>
    </row>
    <row r="600" spans="30:30">
      <c r="AD600" s="4"/>
    </row>
    <row r="601" spans="30:30">
      <c r="AD601" s="4"/>
    </row>
    <row r="602" spans="30:30">
      <c r="AD602" s="4"/>
    </row>
    <row r="603" spans="30:30">
      <c r="AD603" s="4"/>
    </row>
    <row r="604" spans="30:30">
      <c r="AD604" s="4"/>
    </row>
    <row r="605" spans="30:30">
      <c r="AD605" s="4"/>
    </row>
    <row r="606" spans="30:30">
      <c r="AD606" s="4"/>
    </row>
    <row r="607" spans="30:30">
      <c r="AD607" s="4"/>
    </row>
    <row r="608" spans="30:30">
      <c r="AD608" s="4"/>
    </row>
    <row r="609" spans="30:30">
      <c r="AD609" s="4"/>
    </row>
    <row r="610" spans="30:30">
      <c r="AD610" s="4"/>
    </row>
    <row r="611" spans="30:30">
      <c r="AD611" s="4"/>
    </row>
    <row r="612" spans="30:30">
      <c r="AD612" s="4"/>
    </row>
    <row r="613" spans="30:30">
      <c r="AD613" s="4"/>
    </row>
    <row r="614" spans="30:30">
      <c r="AD614" s="4"/>
    </row>
    <row r="615" spans="30:30">
      <c r="AD615" s="4"/>
    </row>
    <row r="616" spans="30:30">
      <c r="AD616" s="4"/>
    </row>
    <row r="617" spans="30:30">
      <c r="AD617" s="4"/>
    </row>
    <row r="618" spans="30:30">
      <c r="AD618" s="4"/>
    </row>
    <row r="619" spans="30:30">
      <c r="AD619" s="4"/>
    </row>
    <row r="620" spans="30:30">
      <c r="AD620" s="4"/>
    </row>
    <row r="621" spans="30:30">
      <c r="AD621" s="4"/>
    </row>
    <row r="622" spans="30:30">
      <c r="AD622" s="4"/>
    </row>
    <row r="623" spans="30:30">
      <c r="AD623" s="4"/>
    </row>
    <row r="624" spans="30:30">
      <c r="AD624" s="4"/>
    </row>
    <row r="625" spans="30:30">
      <c r="AD625" s="4"/>
    </row>
    <row r="626" spans="30:30">
      <c r="AD626" s="4"/>
    </row>
    <row r="627" spans="30:30">
      <c r="AD627" s="4"/>
    </row>
    <row r="628" spans="30:30">
      <c r="AD628" s="4"/>
    </row>
    <row r="629" spans="30:30">
      <c r="AD629" s="4"/>
    </row>
    <row r="630" spans="30:30">
      <c r="AD630" s="4"/>
    </row>
    <row r="631" spans="30:30">
      <c r="AD631" s="4"/>
    </row>
    <row r="632" spans="30:30">
      <c r="AD632" s="4"/>
    </row>
    <row r="633" spans="30:30">
      <c r="AD633" s="4"/>
    </row>
    <row r="634" spans="30:30">
      <c r="AD634" s="4"/>
    </row>
    <row r="635" spans="30:30">
      <c r="AD635" s="4"/>
    </row>
    <row r="636" spans="30:30">
      <c r="AD636" s="4"/>
    </row>
    <row r="637" spans="30:30">
      <c r="AD637" s="4"/>
    </row>
    <row r="638" spans="30:30">
      <c r="AD638" s="4"/>
    </row>
    <row r="639" spans="30:30">
      <c r="AD639" s="4"/>
    </row>
    <row r="640" spans="30:30">
      <c r="AD640" s="4"/>
    </row>
    <row r="641" spans="30:30">
      <c r="AD641" s="4"/>
    </row>
    <row r="642" spans="30:30">
      <c r="AD642" s="4"/>
    </row>
    <row r="643" spans="30:30">
      <c r="AD643" s="4"/>
    </row>
    <row r="644" spans="30:30">
      <c r="AD644" s="4"/>
    </row>
    <row r="645" spans="30:30">
      <c r="AD645" s="4"/>
    </row>
    <row r="646" spans="30:30">
      <c r="AD646" s="4"/>
    </row>
    <row r="647" spans="30:30">
      <c r="AD647" s="4"/>
    </row>
    <row r="648" spans="30:30">
      <c r="AD648" s="4"/>
    </row>
    <row r="649" spans="30:30">
      <c r="AD649" s="4"/>
    </row>
    <row r="650" spans="30:30">
      <c r="AD650" s="4"/>
    </row>
    <row r="651" spans="30:30">
      <c r="AD651" s="4"/>
    </row>
    <row r="652" spans="30:30">
      <c r="AD652" s="4"/>
    </row>
    <row r="653" spans="30:30">
      <c r="AD653" s="4"/>
    </row>
    <row r="654" spans="30:30">
      <c r="AD654" s="4"/>
    </row>
    <row r="655" spans="30:30">
      <c r="AD655" s="4"/>
    </row>
    <row r="656" spans="30:30">
      <c r="AD656" s="4"/>
    </row>
    <row r="657" spans="30:30">
      <c r="AD657" s="4"/>
    </row>
    <row r="658" spans="30:30">
      <c r="AD658" s="4"/>
    </row>
    <row r="659" spans="30:30">
      <c r="AD659" s="4"/>
    </row>
    <row r="660" spans="30:30">
      <c r="AD660" s="4"/>
    </row>
    <row r="661" spans="30:30">
      <c r="AD661" s="4"/>
    </row>
    <row r="662" spans="30:30">
      <c r="AD662" s="4"/>
    </row>
    <row r="663" spans="30:30">
      <c r="AD663" s="4"/>
    </row>
    <row r="664" spans="30:30">
      <c r="AD664" s="4"/>
    </row>
    <row r="665" spans="30:30">
      <c r="AD665" s="4"/>
    </row>
    <row r="666" spans="30:30">
      <c r="AD666" s="4"/>
    </row>
    <row r="667" spans="30:30">
      <c r="AD667" s="4"/>
    </row>
    <row r="668" spans="30:30">
      <c r="AD668" s="4"/>
    </row>
    <row r="669" spans="30:30">
      <c r="AD669" s="4"/>
    </row>
    <row r="670" spans="30:30">
      <c r="AD670" s="4"/>
    </row>
    <row r="671" spans="30:30">
      <c r="AD671" s="4"/>
    </row>
    <row r="672" spans="30:30">
      <c r="AD672" s="4"/>
    </row>
    <row r="673" spans="30:30">
      <c r="AD673" s="4"/>
    </row>
    <row r="674" spans="30:30">
      <c r="AD674" s="4"/>
    </row>
    <row r="675" spans="30:30">
      <c r="AD675" s="4"/>
    </row>
    <row r="676" spans="30:30">
      <c r="AD676" s="4"/>
    </row>
    <row r="677" spans="30:30">
      <c r="AD677" s="4"/>
    </row>
    <row r="678" spans="30:30">
      <c r="AD678" s="4"/>
    </row>
    <row r="679" spans="30:30">
      <c r="AD679" s="4"/>
    </row>
    <row r="680" spans="30:30">
      <c r="AD680" s="4"/>
    </row>
    <row r="681" spans="30:30">
      <c r="AD681" s="4"/>
    </row>
    <row r="682" spans="30:30">
      <c r="AD682" s="4"/>
    </row>
    <row r="683" spans="30:30">
      <c r="AD683" s="4"/>
    </row>
    <row r="684" spans="30:30">
      <c r="AD684" s="4"/>
    </row>
    <row r="685" spans="30:30">
      <c r="AD685" s="4"/>
    </row>
    <row r="686" spans="30:30">
      <c r="AD686" s="4"/>
    </row>
    <row r="687" spans="30:30">
      <c r="AD687" s="4"/>
    </row>
    <row r="688" spans="30:30">
      <c r="AD688" s="4"/>
    </row>
    <row r="689" spans="30:30">
      <c r="AD689" s="4"/>
    </row>
    <row r="690" spans="30:30">
      <c r="AD690" s="4"/>
    </row>
    <row r="691" spans="30:30">
      <c r="AD691" s="4"/>
    </row>
    <row r="692" spans="30:30">
      <c r="AD692" s="4"/>
    </row>
    <row r="693" spans="30:30">
      <c r="AD693" s="4"/>
    </row>
    <row r="694" spans="30:30">
      <c r="AD694" s="4"/>
    </row>
    <row r="695" spans="30:30">
      <c r="AD695" s="4"/>
    </row>
    <row r="696" spans="30:30">
      <c r="AD696" s="4"/>
    </row>
    <row r="697" spans="30:30">
      <c r="AD697" s="4"/>
    </row>
    <row r="698" spans="30:30">
      <c r="AD698" s="4"/>
    </row>
    <row r="699" spans="30:30">
      <c r="AD699" s="4"/>
    </row>
    <row r="700" spans="30:30">
      <c r="AD700" s="4"/>
    </row>
    <row r="701" spans="30:30">
      <c r="AD701" s="4"/>
    </row>
    <row r="702" spans="30:30">
      <c r="AD702" s="4"/>
    </row>
    <row r="703" spans="30:30">
      <c r="AD703" s="4"/>
    </row>
    <row r="704" spans="30:30">
      <c r="AD704" s="4"/>
    </row>
    <row r="705" spans="30:30">
      <c r="AD705" s="4"/>
    </row>
    <row r="706" spans="30:30">
      <c r="AD706" s="4"/>
    </row>
    <row r="707" spans="30:30">
      <c r="AD707" s="4"/>
    </row>
    <row r="708" spans="30:30">
      <c r="AD708" s="4"/>
    </row>
    <row r="709" spans="30:30">
      <c r="AD709" s="4"/>
    </row>
    <row r="710" spans="30:30">
      <c r="AD710" s="4"/>
    </row>
    <row r="711" spans="30:30">
      <c r="AD711" s="4"/>
    </row>
    <row r="712" spans="30:30">
      <c r="AD712" s="4"/>
    </row>
    <row r="713" spans="30:30">
      <c r="AD713" s="4"/>
    </row>
    <row r="714" spans="30:30">
      <c r="AD714" s="4"/>
    </row>
    <row r="715" spans="30:30">
      <c r="AD715" s="4"/>
    </row>
    <row r="716" spans="30:30">
      <c r="AD716" s="4"/>
    </row>
    <row r="717" spans="30:30">
      <c r="AD717" s="4"/>
    </row>
    <row r="718" spans="30:30">
      <c r="AD718" s="4"/>
    </row>
    <row r="719" spans="30:30">
      <c r="AD719" s="4"/>
    </row>
    <row r="720" spans="30:30">
      <c r="AD720" s="4"/>
    </row>
    <row r="721" spans="30:30">
      <c r="AD721" s="4"/>
    </row>
    <row r="722" spans="30:30">
      <c r="AD722" s="4"/>
    </row>
    <row r="723" spans="30:30">
      <c r="AD723" s="4"/>
    </row>
    <row r="724" spans="30:30">
      <c r="AD724" s="4"/>
    </row>
    <row r="725" spans="30:30">
      <c r="AD725" s="4"/>
    </row>
    <row r="726" spans="30:30">
      <c r="AD726" s="4"/>
    </row>
    <row r="727" spans="30:30">
      <c r="AD727" s="4"/>
    </row>
    <row r="728" spans="30:30">
      <c r="AD728" s="4"/>
    </row>
    <row r="729" spans="30:30">
      <c r="AD729" s="4"/>
    </row>
    <row r="730" spans="30:30">
      <c r="AD730" s="4"/>
    </row>
    <row r="731" spans="30:30">
      <c r="AD731" s="4"/>
    </row>
    <row r="732" spans="30:30">
      <c r="AD732" s="4"/>
    </row>
    <row r="733" spans="30:30">
      <c r="AD733" s="4"/>
    </row>
    <row r="734" spans="30:30">
      <c r="AD734" s="4"/>
    </row>
    <row r="735" spans="30:30">
      <c r="AD735" s="4"/>
    </row>
    <row r="736" spans="30:30">
      <c r="AD736" s="4"/>
    </row>
    <row r="737" spans="30:30">
      <c r="AD737" s="4"/>
    </row>
    <row r="738" spans="30:30">
      <c r="AD738" s="4"/>
    </row>
    <row r="739" spans="30:30">
      <c r="AD739" s="4"/>
    </row>
    <row r="740" spans="30:30">
      <c r="AD740" s="4"/>
    </row>
    <row r="741" spans="30:30">
      <c r="AD741" s="4"/>
    </row>
    <row r="742" spans="30:30">
      <c r="AD742" s="4"/>
    </row>
    <row r="743" spans="30:30">
      <c r="AD743" s="4"/>
    </row>
    <row r="744" spans="30:30">
      <c r="AD744" s="4"/>
    </row>
    <row r="745" spans="30:30">
      <c r="AD745" s="4"/>
    </row>
    <row r="746" spans="30:30">
      <c r="AD746" s="4"/>
    </row>
    <row r="747" spans="30:30">
      <c r="AD747" s="4"/>
    </row>
    <row r="748" spans="30:30">
      <c r="AD748" s="4"/>
    </row>
    <row r="749" spans="30:30">
      <c r="AD749" s="4"/>
    </row>
    <row r="750" spans="30:30">
      <c r="AD750" s="4"/>
    </row>
    <row r="751" spans="30:30">
      <c r="AD751" s="4"/>
    </row>
    <row r="752" spans="30:30">
      <c r="AD752" s="4"/>
    </row>
    <row r="753" spans="30:30">
      <c r="AD753" s="4"/>
    </row>
    <row r="754" spans="30:30">
      <c r="AD754" s="4"/>
    </row>
    <row r="755" spans="30:30">
      <c r="AD755" s="4"/>
    </row>
    <row r="756" spans="30:30">
      <c r="AD756" s="4"/>
    </row>
    <row r="757" spans="30:30">
      <c r="AD757" s="4"/>
    </row>
    <row r="758" spans="30:30">
      <c r="AD758" s="4"/>
    </row>
    <row r="759" spans="30:30">
      <c r="AD759" s="4"/>
    </row>
    <row r="760" spans="30:30">
      <c r="AD760" s="4"/>
    </row>
    <row r="761" spans="30:30">
      <c r="AD761" s="4"/>
    </row>
    <row r="762" spans="30:30">
      <c r="AD762" s="4"/>
    </row>
    <row r="763" spans="30:30">
      <c r="AD763" s="4"/>
    </row>
    <row r="764" spans="30:30">
      <c r="AD764" s="4"/>
    </row>
    <row r="765" spans="30:30">
      <c r="AD765" s="4"/>
    </row>
    <row r="766" spans="30:30">
      <c r="AD766" s="4"/>
    </row>
    <row r="767" spans="30:30">
      <c r="AD767" s="4"/>
    </row>
    <row r="768" spans="30:30">
      <c r="AD768" s="4"/>
    </row>
    <row r="769" spans="30:30">
      <c r="AD769" s="4"/>
    </row>
    <row r="770" spans="30:30">
      <c r="AD770" s="4"/>
    </row>
    <row r="771" spans="30:30">
      <c r="AD771" s="4"/>
    </row>
    <row r="772" spans="30:30">
      <c r="AD772" s="4"/>
    </row>
    <row r="773" spans="30:30">
      <c r="AD773" s="4"/>
    </row>
    <row r="774" spans="30:30">
      <c r="AD774" s="4"/>
    </row>
    <row r="775" spans="30:30">
      <c r="AD775" s="4"/>
    </row>
    <row r="776" spans="30:30">
      <c r="AD776" s="4"/>
    </row>
    <row r="777" spans="30:30">
      <c r="AD777" s="4"/>
    </row>
    <row r="778" spans="30:30">
      <c r="AD778" s="4"/>
    </row>
    <row r="779" spans="30:30">
      <c r="AD779" s="4"/>
    </row>
    <row r="780" spans="30:30">
      <c r="AD780" s="4"/>
    </row>
    <row r="781" spans="30:30">
      <c r="AD781" s="4"/>
    </row>
    <row r="782" spans="30:30">
      <c r="AD782" s="4"/>
    </row>
    <row r="783" spans="30:30">
      <c r="AD783" s="4"/>
    </row>
    <row r="784" spans="30:30">
      <c r="AD784" s="4"/>
    </row>
    <row r="785" spans="30:30">
      <c r="AD785" s="4"/>
    </row>
    <row r="786" spans="30:30">
      <c r="AD786" s="4"/>
    </row>
    <row r="787" spans="30:30">
      <c r="AD787" s="4"/>
    </row>
    <row r="788" spans="30:30">
      <c r="AD788" s="4"/>
    </row>
    <row r="789" spans="30:30">
      <c r="AD789" s="4"/>
    </row>
    <row r="790" spans="30:30">
      <c r="AD790" s="4"/>
    </row>
    <row r="791" spans="30:30">
      <c r="AD791" s="4"/>
    </row>
    <row r="792" spans="30:30">
      <c r="AD792" s="4"/>
    </row>
    <row r="793" spans="30:30">
      <c r="AD793" s="4"/>
    </row>
    <row r="794" spans="30:30">
      <c r="AD794" s="4"/>
    </row>
    <row r="795" spans="30:30">
      <c r="AD795" s="4"/>
    </row>
    <row r="796" spans="30:30">
      <c r="AD796" s="4"/>
    </row>
    <row r="797" spans="30:30">
      <c r="AD797" s="4"/>
    </row>
    <row r="798" spans="30:30">
      <c r="AD798" s="4"/>
    </row>
    <row r="799" spans="30:30">
      <c r="AD799" s="4"/>
    </row>
    <row r="800" spans="30:30">
      <c r="AD800" s="4"/>
    </row>
    <row r="801" spans="30:30">
      <c r="AD801" s="4"/>
    </row>
    <row r="802" spans="30:30">
      <c r="AD802" s="4"/>
    </row>
    <row r="803" spans="30:30">
      <c r="AD803" s="4"/>
    </row>
    <row r="804" spans="30:30">
      <c r="AD804" s="4"/>
    </row>
    <row r="805" spans="30:30">
      <c r="AD805" s="4"/>
    </row>
    <row r="806" spans="30:30">
      <c r="AD806" s="4"/>
    </row>
    <row r="807" spans="30:30">
      <c r="AD807" s="4"/>
    </row>
    <row r="808" spans="30:30">
      <c r="AD808" s="4"/>
    </row>
    <row r="809" spans="30:30">
      <c r="AD809" s="4"/>
    </row>
    <row r="810" spans="30:30">
      <c r="AD810" s="4"/>
    </row>
    <row r="811" spans="30:30">
      <c r="AD811" s="4"/>
    </row>
    <row r="812" spans="30:30">
      <c r="AD812" s="4"/>
    </row>
    <row r="813" spans="30:30">
      <c r="AD813" s="4"/>
    </row>
    <row r="814" spans="30:30">
      <c r="AD814" s="4"/>
    </row>
    <row r="815" spans="30:30">
      <c r="AD815" s="4"/>
    </row>
    <row r="816" spans="30:30">
      <c r="AD816" s="4"/>
    </row>
    <row r="817" spans="30:30">
      <c r="AD817" s="4"/>
    </row>
    <row r="818" spans="30:30">
      <c r="AD818" s="4"/>
    </row>
    <row r="819" spans="30:30">
      <c r="AD819" s="4"/>
    </row>
    <row r="820" spans="30:30">
      <c r="AD820" s="4"/>
    </row>
    <row r="821" spans="30:30">
      <c r="AD821" s="4"/>
    </row>
    <row r="822" spans="30:30">
      <c r="AD822" s="4"/>
    </row>
    <row r="823" spans="30:30">
      <c r="AD823" s="4"/>
    </row>
    <row r="824" spans="30:30">
      <c r="AD824" s="4"/>
    </row>
    <row r="825" spans="30:30">
      <c r="AD825" s="4"/>
    </row>
    <row r="826" spans="30:30">
      <c r="AD826" s="4"/>
    </row>
    <row r="827" spans="30:30">
      <c r="AD827" s="4"/>
    </row>
    <row r="828" spans="30:30">
      <c r="AD828" s="4"/>
    </row>
    <row r="829" spans="30:30">
      <c r="AD829" s="4"/>
    </row>
    <row r="830" spans="30:30">
      <c r="AD830" s="4"/>
    </row>
    <row r="831" spans="30:30">
      <c r="AD831" s="4"/>
    </row>
    <row r="832" spans="30:30">
      <c r="AD832" s="4"/>
    </row>
    <row r="833" spans="30:30">
      <c r="AD833" s="4"/>
    </row>
    <row r="834" spans="30:30">
      <c r="AD834" s="4"/>
    </row>
    <row r="835" spans="30:30">
      <c r="AD835" s="4"/>
    </row>
    <row r="836" spans="30:30">
      <c r="AD836" s="4"/>
    </row>
    <row r="837" spans="30:30">
      <c r="AD837" s="4"/>
    </row>
    <row r="838" spans="30:30">
      <c r="AD838" s="4"/>
    </row>
    <row r="839" spans="30:30">
      <c r="AD839" s="4"/>
    </row>
    <row r="840" spans="30:30">
      <c r="AD840" s="4"/>
    </row>
    <row r="841" spans="30:30">
      <c r="AD841" s="4"/>
    </row>
    <row r="842" spans="30:30">
      <c r="AD842" s="4"/>
    </row>
    <row r="843" spans="30:30">
      <c r="AD843" s="4"/>
    </row>
    <row r="844" spans="30:30">
      <c r="AD844" s="4"/>
    </row>
    <row r="845" spans="30:30">
      <c r="AD845" s="4"/>
    </row>
    <row r="846" spans="30:30">
      <c r="AD846" s="4"/>
    </row>
    <row r="847" spans="30:30">
      <c r="AD847" s="4"/>
    </row>
    <row r="848" spans="30:30">
      <c r="AD848" s="4"/>
    </row>
    <row r="849" spans="30:30">
      <c r="AD849" s="4"/>
    </row>
    <row r="850" spans="30:30">
      <c r="AD850" s="4"/>
    </row>
    <row r="851" spans="30:30">
      <c r="AD851" s="4"/>
    </row>
    <row r="852" spans="30:30">
      <c r="AD852" s="4"/>
    </row>
    <row r="853" spans="30:30">
      <c r="AD853" s="4"/>
    </row>
    <row r="854" spans="30:30">
      <c r="AD854" s="4"/>
    </row>
    <row r="855" spans="30:30">
      <c r="AD855" s="4"/>
    </row>
    <row r="856" spans="30:30">
      <c r="AD856" s="4"/>
    </row>
    <row r="857" spans="30:30">
      <c r="AD857" s="4"/>
    </row>
    <row r="858" spans="30:30">
      <c r="AD858" s="4"/>
    </row>
    <row r="859" spans="30:30">
      <c r="AD859" s="4"/>
    </row>
    <row r="860" spans="30:30">
      <c r="AD860" s="4"/>
    </row>
    <row r="861" spans="30:30">
      <c r="AD861" s="4"/>
    </row>
    <row r="862" spans="30:30">
      <c r="AD862" s="4"/>
    </row>
    <row r="863" spans="30:30">
      <c r="AD863" s="4"/>
    </row>
    <row r="864" spans="30:30">
      <c r="AD864" s="4"/>
    </row>
    <row r="865" spans="30:30">
      <c r="AD865" s="4"/>
    </row>
    <row r="866" spans="30:30">
      <c r="AD866" s="4"/>
    </row>
    <row r="867" spans="30:30">
      <c r="AD867" s="4"/>
    </row>
    <row r="868" spans="30:30">
      <c r="AD868" s="4"/>
    </row>
    <row r="869" spans="30:30">
      <c r="AD869" s="4"/>
    </row>
    <row r="870" spans="30:30">
      <c r="AD870" s="4"/>
    </row>
    <row r="871" spans="30:30">
      <c r="AD871" s="4"/>
    </row>
    <row r="872" spans="30:30">
      <c r="AD872" s="4"/>
    </row>
    <row r="873" spans="30:30">
      <c r="AD873" s="4"/>
    </row>
    <row r="874" spans="30:30">
      <c r="AD874" s="4"/>
    </row>
    <row r="875" spans="30:30">
      <c r="AD875" s="4"/>
    </row>
    <row r="876" spans="30:30">
      <c r="AD876" s="4"/>
    </row>
    <row r="877" spans="30:30">
      <c r="AD877" s="4"/>
    </row>
    <row r="878" spans="30:30">
      <c r="AD878" s="4"/>
    </row>
    <row r="879" spans="30:30">
      <c r="AD879" s="4"/>
    </row>
    <row r="880" spans="30:30">
      <c r="AD880" s="4"/>
    </row>
    <row r="881" spans="30:30">
      <c r="AD881" s="4"/>
    </row>
    <row r="882" spans="30:30">
      <c r="AD882" s="4"/>
    </row>
    <row r="883" spans="30:30">
      <c r="AD883" s="4"/>
    </row>
    <row r="884" spans="30:30">
      <c r="AD884" s="4"/>
    </row>
    <row r="885" spans="30:30">
      <c r="AD885" s="4"/>
    </row>
    <row r="886" spans="30:30">
      <c r="AD886" s="4"/>
    </row>
    <row r="887" spans="30:30">
      <c r="AD887" s="4"/>
    </row>
    <row r="888" spans="30:30">
      <c r="AD888" s="4"/>
    </row>
    <row r="889" spans="30:30">
      <c r="AD889" s="4"/>
    </row>
    <row r="890" spans="30:30">
      <c r="AD890" s="4"/>
    </row>
    <row r="891" spans="30:30">
      <c r="AD891" s="4"/>
    </row>
    <row r="892" spans="30:30">
      <c r="AD892" s="4"/>
    </row>
    <row r="893" spans="30:30">
      <c r="AD893" s="4"/>
    </row>
    <row r="894" spans="30:30">
      <c r="AD894" s="4"/>
    </row>
    <row r="895" spans="30:30">
      <c r="AD895" s="4"/>
    </row>
    <row r="896" spans="30:30">
      <c r="AD896" s="4"/>
    </row>
    <row r="897" spans="30:30">
      <c r="AD897" s="4"/>
    </row>
    <row r="898" spans="30:30">
      <c r="AD898" s="4"/>
    </row>
    <row r="899" spans="30:30">
      <c r="AD899" s="4"/>
    </row>
    <row r="900" spans="30:30">
      <c r="AD900" s="4"/>
    </row>
    <row r="901" spans="30:30">
      <c r="AD901" s="4"/>
    </row>
    <row r="902" spans="30:30">
      <c r="AD902" s="4"/>
    </row>
    <row r="903" spans="30:30">
      <c r="AD903" s="4"/>
    </row>
    <row r="904" spans="30:30">
      <c r="AD904" s="4"/>
    </row>
    <row r="905" spans="30:30">
      <c r="AD905" s="4"/>
    </row>
    <row r="906" spans="30:30">
      <c r="AD906" s="4"/>
    </row>
    <row r="907" spans="30:30">
      <c r="AD907" s="4"/>
    </row>
    <row r="908" spans="30:30">
      <c r="AD908" s="4"/>
    </row>
    <row r="909" spans="30:30">
      <c r="AD909" s="4"/>
    </row>
    <row r="910" spans="30:30">
      <c r="AD910" s="4"/>
    </row>
    <row r="911" spans="30:30">
      <c r="AD911" s="4"/>
    </row>
    <row r="912" spans="30:30">
      <c r="AD912" s="4"/>
    </row>
    <row r="913" spans="30:30">
      <c r="AD913" s="4"/>
    </row>
    <row r="914" spans="30:30">
      <c r="AD914" s="4"/>
    </row>
    <row r="915" spans="30:30">
      <c r="AD915" s="4"/>
    </row>
    <row r="916" spans="30:30">
      <c r="AD916" s="4"/>
    </row>
    <row r="917" spans="30:30">
      <c r="AD917" s="4"/>
    </row>
    <row r="918" spans="30:30">
      <c r="AD918" s="4"/>
    </row>
    <row r="919" spans="30:30">
      <c r="AD919" s="4"/>
    </row>
    <row r="920" spans="30:30">
      <c r="AD920" s="4"/>
    </row>
    <row r="921" spans="30:30">
      <c r="AD921" s="4"/>
    </row>
    <row r="922" spans="30:30">
      <c r="AD922" s="4"/>
    </row>
    <row r="923" spans="30:30">
      <c r="AD923" s="4"/>
    </row>
    <row r="924" spans="30:30">
      <c r="AD924" s="4"/>
    </row>
    <row r="925" spans="30:30">
      <c r="AD925" s="4"/>
    </row>
    <row r="926" spans="30:30">
      <c r="AD926" s="4"/>
    </row>
    <row r="927" spans="30:30">
      <c r="AD927" s="4"/>
    </row>
    <row r="928" spans="30:30">
      <c r="AD928" s="4"/>
    </row>
    <row r="929" spans="30:30">
      <c r="AD929" s="4"/>
    </row>
    <row r="930" spans="30:30">
      <c r="AD930" s="4"/>
    </row>
    <row r="931" spans="30:30">
      <c r="AD931" s="4"/>
    </row>
    <row r="932" spans="30:30">
      <c r="AD932" s="4"/>
    </row>
    <row r="933" spans="30:30">
      <c r="AD933" s="4"/>
    </row>
    <row r="934" spans="30:30">
      <c r="AD934" s="4"/>
    </row>
    <row r="935" spans="30:30">
      <c r="AD935" s="4"/>
    </row>
    <row r="936" spans="30:30">
      <c r="AD936" s="4"/>
    </row>
    <row r="937" spans="30:30">
      <c r="AD937" s="4"/>
    </row>
    <row r="938" spans="30:30">
      <c r="AD938" s="4"/>
    </row>
    <row r="939" spans="30:30">
      <c r="AD939" s="4"/>
    </row>
    <row r="940" spans="30:30">
      <c r="AD940" s="4"/>
    </row>
    <row r="941" spans="30:30">
      <c r="AD941" s="4"/>
    </row>
    <row r="942" spans="30:30">
      <c r="AD942" s="4"/>
    </row>
    <row r="943" spans="30:30">
      <c r="AD943" s="4"/>
    </row>
    <row r="944" spans="30:30">
      <c r="AD944" s="4"/>
    </row>
    <row r="945" spans="30:30">
      <c r="AD945" s="4"/>
    </row>
    <row r="946" spans="30:30">
      <c r="AD946" s="4"/>
    </row>
    <row r="947" spans="30:30">
      <c r="AD947" s="4"/>
    </row>
    <row r="948" spans="30:30">
      <c r="AD948" s="4"/>
    </row>
    <row r="949" spans="30:30">
      <c r="AD949" s="4"/>
    </row>
    <row r="950" spans="30:30">
      <c r="AD950" s="4"/>
    </row>
    <row r="951" spans="30:30">
      <c r="AD951" s="4"/>
    </row>
    <row r="952" spans="30:30">
      <c r="AD952" s="4"/>
    </row>
    <row r="953" spans="30:30">
      <c r="AD953" s="4"/>
    </row>
    <row r="954" spans="30:30">
      <c r="AD954" s="4"/>
    </row>
    <row r="955" spans="30:30">
      <c r="AD955" s="4"/>
    </row>
    <row r="956" spans="30:30">
      <c r="AD956" s="4"/>
    </row>
    <row r="957" spans="30:30">
      <c r="AD957" s="4"/>
    </row>
    <row r="958" spans="30:30">
      <c r="AD958" s="4"/>
    </row>
    <row r="959" spans="30:30">
      <c r="AD959" s="4"/>
    </row>
    <row r="960" spans="30:30">
      <c r="AD960" s="4"/>
    </row>
    <row r="961" spans="30:30">
      <c r="AD961" s="4"/>
    </row>
    <row r="962" spans="30:30">
      <c r="AD962" s="4"/>
    </row>
    <row r="963" spans="30:30">
      <c r="AD963" s="4"/>
    </row>
    <row r="964" spans="30:30">
      <c r="AD964" s="4"/>
    </row>
    <row r="965" spans="30:30">
      <c r="AD965" s="4"/>
    </row>
    <row r="966" spans="30:30">
      <c r="AD966" s="4"/>
    </row>
    <row r="967" spans="30:30">
      <c r="AD967" s="4"/>
    </row>
    <row r="968" spans="30:30">
      <c r="AD968" s="4"/>
    </row>
    <row r="969" spans="30:30">
      <c r="AD969" s="4"/>
    </row>
    <row r="970" spans="30:30">
      <c r="AD970" s="4"/>
    </row>
    <row r="971" spans="30:30">
      <c r="AD971" s="4"/>
    </row>
    <row r="972" spans="30:30">
      <c r="AD972" s="4"/>
    </row>
    <row r="973" spans="30:30">
      <c r="AD973" s="4"/>
    </row>
    <row r="974" spans="30:30">
      <c r="AD974" s="4"/>
    </row>
    <row r="975" spans="30:30">
      <c r="AD975" s="4"/>
    </row>
    <row r="976" spans="30:30">
      <c r="AD976" s="4"/>
    </row>
    <row r="977" spans="30:30">
      <c r="AD977" s="4"/>
    </row>
    <row r="978" spans="30:30">
      <c r="AD978" s="4"/>
    </row>
    <row r="979" spans="30:30">
      <c r="AD979" s="4"/>
    </row>
    <row r="980" spans="30:30">
      <c r="AD980" s="4"/>
    </row>
    <row r="981" spans="30:30">
      <c r="AD981" s="4"/>
    </row>
    <row r="982" spans="30:30">
      <c r="AD982" s="4"/>
    </row>
    <row r="983" spans="30:30">
      <c r="AD983" s="4"/>
    </row>
    <row r="984" spans="30:30">
      <c r="AD984" s="4"/>
    </row>
    <row r="985" spans="30:30">
      <c r="AD985" s="4"/>
    </row>
    <row r="986" spans="30:30">
      <c r="AD986" s="4"/>
    </row>
    <row r="987" spans="30:30">
      <c r="AD987" s="4"/>
    </row>
    <row r="988" spans="30:30">
      <c r="AD988" s="4"/>
    </row>
    <row r="989" spans="30:30">
      <c r="AD989" s="4"/>
    </row>
    <row r="990" spans="30:30">
      <c r="AD990" s="4"/>
    </row>
    <row r="991" spans="30:30">
      <c r="AD991" s="4"/>
    </row>
    <row r="992" spans="30:30">
      <c r="AD992" s="4"/>
    </row>
    <row r="993" spans="30:30">
      <c r="AD993" s="4"/>
    </row>
    <row r="994" spans="30:30">
      <c r="AD994" s="4"/>
    </row>
    <row r="995" spans="30:30">
      <c r="AD995" s="4"/>
    </row>
    <row r="996" spans="30:30">
      <c r="AD996" s="4"/>
    </row>
    <row r="997" spans="30:30">
      <c r="AD997" s="4"/>
    </row>
    <row r="998" spans="30:30">
      <c r="AD998" s="4"/>
    </row>
    <row r="999" spans="30:30">
      <c r="AD999" s="4"/>
    </row>
    <row r="1000" spans="30:30">
      <c r="AD1000" s="4"/>
    </row>
    <row r="1001" spans="30:30">
      <c r="AD1001" s="4"/>
    </row>
    <row r="1002" spans="30:30">
      <c r="AD1002" s="4"/>
    </row>
    <row r="1003" spans="30:30">
      <c r="AD1003" s="4"/>
    </row>
    <row r="1004" spans="30:30">
      <c r="AD1004" s="4"/>
    </row>
    <row r="1005" spans="30:30">
      <c r="AD1005" s="4"/>
    </row>
    <row r="1006" spans="30:30">
      <c r="AD1006" s="4"/>
    </row>
    <row r="1007" spans="30:30">
      <c r="AD1007" s="4"/>
    </row>
    <row r="1008" spans="30:30">
      <c r="AD1008" s="4"/>
    </row>
    <row r="1009" spans="30:30">
      <c r="AD1009" s="4"/>
    </row>
    <row r="1010" spans="30:30">
      <c r="AD1010" s="4"/>
    </row>
    <row r="1011" spans="30:30">
      <c r="AD1011" s="4"/>
    </row>
    <row r="1012" spans="30:30">
      <c r="AD1012" s="4"/>
    </row>
    <row r="1013" spans="30:30">
      <c r="AD1013" s="4"/>
    </row>
    <row r="1014" spans="30:30">
      <c r="AD1014" s="4"/>
    </row>
    <row r="1015" spans="30:30">
      <c r="AD1015" s="4"/>
    </row>
    <row r="1016" spans="30:30">
      <c r="AD1016" s="4"/>
    </row>
    <row r="1017" spans="30:30">
      <c r="AD1017" s="4"/>
    </row>
    <row r="1018" spans="30:30">
      <c r="AD1018" s="4"/>
    </row>
    <row r="1019" spans="30:30">
      <c r="AD1019" s="4"/>
    </row>
    <row r="1020" spans="30:30">
      <c r="AD1020" s="4"/>
    </row>
    <row r="1021" spans="30:30">
      <c r="AD1021" s="4"/>
    </row>
    <row r="1022" spans="30:30">
      <c r="AD1022" s="4"/>
    </row>
    <row r="1023" spans="30:30">
      <c r="AD1023" s="4"/>
    </row>
    <row r="1024" spans="30:30">
      <c r="AD1024" s="4"/>
    </row>
    <row r="1025" spans="30:30">
      <c r="AD1025" s="4"/>
    </row>
    <row r="1026" spans="30:30">
      <c r="AD1026" s="4"/>
    </row>
    <row r="1027" spans="30:30">
      <c r="AD1027" s="4"/>
    </row>
    <row r="1028" spans="30:30">
      <c r="AD1028" s="4"/>
    </row>
    <row r="1029" spans="30:30">
      <c r="AD1029" s="4"/>
    </row>
    <row r="1030" spans="30:30">
      <c r="AD1030" s="4"/>
    </row>
    <row r="1031" spans="30:30">
      <c r="AD1031" s="4"/>
    </row>
    <row r="1032" spans="30:30">
      <c r="AD1032" s="4"/>
    </row>
    <row r="1033" spans="30:30">
      <c r="AD1033" s="4"/>
    </row>
    <row r="1034" spans="30:30">
      <c r="AD1034" s="4"/>
    </row>
    <row r="1035" spans="30:30">
      <c r="AD1035" s="4"/>
    </row>
    <row r="1036" spans="30:30">
      <c r="AD1036" s="4"/>
    </row>
    <row r="1037" spans="30:30">
      <c r="AD1037" s="4"/>
    </row>
    <row r="1038" spans="30:30">
      <c r="AD1038" s="4"/>
    </row>
    <row r="1039" spans="30:30">
      <c r="AD1039" s="4"/>
    </row>
    <row r="1040" spans="30:30">
      <c r="AD1040" s="4"/>
    </row>
    <row r="1041" spans="30:30">
      <c r="AD1041" s="4"/>
    </row>
    <row r="1042" spans="30:30">
      <c r="AD1042" s="4"/>
    </row>
    <row r="1043" spans="30:30">
      <c r="AD1043" s="4"/>
    </row>
    <row r="1044" spans="30:30">
      <c r="AD1044" s="4"/>
    </row>
    <row r="1045" spans="30:30">
      <c r="AD1045" s="4"/>
    </row>
    <row r="1046" spans="30:30">
      <c r="AD1046" s="4"/>
    </row>
    <row r="1047" spans="30:30">
      <c r="AD1047" s="4"/>
    </row>
    <row r="1048" spans="30:30">
      <c r="AD1048" s="4"/>
    </row>
    <row r="1049" spans="30:30">
      <c r="AD1049" s="4"/>
    </row>
    <row r="1050" spans="30:30">
      <c r="AD1050" s="4"/>
    </row>
    <row r="1051" spans="30:30">
      <c r="AD1051" s="4"/>
    </row>
    <row r="1052" spans="30:30">
      <c r="AD1052" s="4"/>
    </row>
    <row r="1053" spans="30:30">
      <c r="AD1053" s="4"/>
    </row>
    <row r="1054" spans="30:30">
      <c r="AD1054" s="4"/>
    </row>
    <row r="1055" spans="30:30">
      <c r="AD1055" s="4"/>
    </row>
    <row r="1056" spans="30:30">
      <c r="AD1056" s="4"/>
    </row>
    <row r="1057" spans="30:30">
      <c r="AD1057" s="4"/>
    </row>
    <row r="1058" spans="30:30">
      <c r="AD1058" s="4"/>
    </row>
    <row r="1059" spans="30:30">
      <c r="AD1059" s="4"/>
    </row>
    <row r="1060" spans="30:30">
      <c r="AD1060" s="4"/>
    </row>
    <row r="1061" spans="30:30">
      <c r="AD1061" s="4"/>
    </row>
    <row r="1062" spans="30:30">
      <c r="AD1062" s="4"/>
    </row>
    <row r="1063" spans="30:30">
      <c r="AD1063" s="4"/>
    </row>
    <row r="1064" spans="30:30">
      <c r="AD1064" s="4"/>
    </row>
    <row r="1065" spans="30:30">
      <c r="AD1065" s="4"/>
    </row>
    <row r="1066" spans="30:30">
      <c r="AD1066" s="4"/>
    </row>
    <row r="1067" spans="30:30">
      <c r="AD1067" s="4"/>
    </row>
    <row r="1068" spans="30:30">
      <c r="AD1068" s="4"/>
    </row>
    <row r="1069" spans="30:30">
      <c r="AD1069" s="4"/>
    </row>
    <row r="1070" spans="30:30">
      <c r="AD1070" s="4"/>
    </row>
    <row r="1071" spans="30:30">
      <c r="AD1071" s="4"/>
    </row>
    <row r="1072" spans="30:30">
      <c r="AD1072" s="4"/>
    </row>
    <row r="1073" spans="30:30">
      <c r="AD1073" s="4"/>
    </row>
    <row r="1074" spans="30:30">
      <c r="AD1074" s="4"/>
    </row>
    <row r="1075" spans="30:30">
      <c r="AD1075" s="4"/>
    </row>
    <row r="1076" spans="30:30">
      <c r="AD1076" s="4"/>
    </row>
    <row r="1077" spans="30:30">
      <c r="AD1077" s="4"/>
    </row>
    <row r="1078" spans="30:30">
      <c r="AD1078" s="4"/>
    </row>
    <row r="1079" spans="30:30">
      <c r="AD1079" s="4"/>
    </row>
    <row r="1080" spans="30:30">
      <c r="AD1080" s="4"/>
    </row>
    <row r="1081" spans="30:30">
      <c r="AD1081" s="4"/>
    </row>
    <row r="1082" spans="30:30">
      <c r="AD1082" s="4"/>
    </row>
    <row r="1083" spans="30:30">
      <c r="AD1083" s="4"/>
    </row>
    <row r="1084" spans="30:30">
      <c r="AD1084" s="4"/>
    </row>
    <row r="1085" spans="30:30">
      <c r="AD1085" s="4"/>
    </row>
    <row r="1086" spans="30:30">
      <c r="AD1086" s="4"/>
    </row>
    <row r="1087" spans="30:30">
      <c r="AD1087" s="4"/>
    </row>
    <row r="1088" spans="30:30">
      <c r="AD1088" s="4"/>
    </row>
  </sheetData>
  <autoFilter ref="A5:A87" xr:uid="{00000000-0009-0000-0000-000008000000}"/>
  <pageMargins left="0.70866141732283505" right="0.70866141732283505" top="0.74803149606299202" bottom="0.74803149606299202" header="0.31496062992126" footer="0.31496062992126"/>
  <pageSetup paperSize="9" scale="44" fitToHeight="2" orientation="portrait" r:id="rId1"/>
  <headerFooter>
    <oddHeader>&amp;C&amp;F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EAD5"/>
  </sheetPr>
  <dimension ref="A1:AB127"/>
  <sheetViews>
    <sheetView workbookViewId="0"/>
  </sheetViews>
  <sheetFormatPr baseColWidth="10" defaultColWidth="9.1640625" defaultRowHeight="18.75" customHeight="1"/>
  <cols>
    <col min="1" max="1" width="2.5" style="4" customWidth="1"/>
    <col min="2" max="2" width="49.83203125" style="4" customWidth="1"/>
    <col min="3" max="7" width="11" style="109" customWidth="1"/>
    <col min="8" max="28" width="11" style="4" customWidth="1"/>
    <col min="29" max="16384" width="9.1640625" style="4"/>
  </cols>
  <sheetData>
    <row r="1" spans="1:28" ht="12">
      <c r="A1" s="109"/>
      <c r="B1" s="109"/>
    </row>
    <row r="2" spans="1:28" ht="12">
      <c r="B2" s="84"/>
    </row>
    <row r="3" spans="1:28" ht="15" thickBot="1">
      <c r="A3" s="5"/>
      <c r="B3" s="81" t="s">
        <v>179</v>
      </c>
      <c r="C3" s="82"/>
      <c r="D3" s="82"/>
      <c r="E3" s="82"/>
      <c r="F3" s="82"/>
      <c r="G3" s="8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2">
      <c r="B4" s="84"/>
    </row>
    <row r="5" spans="1:28" ht="13" thickBot="1">
      <c r="B5" s="85" t="s">
        <v>180</v>
      </c>
      <c r="C5" s="122">
        <f>+'BS"0"'!D5</f>
        <v>43100</v>
      </c>
      <c r="D5" s="122">
        <f>+'BS"0"'!E5</f>
        <v>43465</v>
      </c>
      <c r="E5" s="122">
        <f>+'BS"0"'!F5</f>
        <v>43830</v>
      </c>
      <c r="F5" s="122">
        <f>+'BS"0"'!G5</f>
        <v>44196</v>
      </c>
      <c r="G5" s="157">
        <f>+'BS"0"'!H5</f>
        <v>44561</v>
      </c>
      <c r="H5" s="87">
        <f>+'BS"0"'!I5</f>
        <v>44926</v>
      </c>
      <c r="I5" s="87">
        <f>+'BS"0"'!J5</f>
        <v>45291</v>
      </c>
      <c r="J5" s="87">
        <f>+'BS"0"'!K5</f>
        <v>45657</v>
      </c>
      <c r="K5" s="87">
        <f>+'BS"0"'!L5</f>
        <v>46022</v>
      </c>
      <c r="L5" s="87">
        <f>+'BS"0"'!M5</f>
        <v>46387</v>
      </c>
      <c r="M5" s="87">
        <f>+'BS"0"'!N5</f>
        <v>46752</v>
      </c>
      <c r="N5" s="87">
        <f>+'BS"0"'!O5</f>
        <v>47118</v>
      </c>
      <c r="O5" s="87">
        <f>+'BS"0"'!P5</f>
        <v>47483</v>
      </c>
      <c r="P5" s="87">
        <f>+'BS"0"'!Q5</f>
        <v>47848</v>
      </c>
      <c r="Q5" s="87">
        <f>+'BS"0"'!R5</f>
        <v>48213</v>
      </c>
      <c r="R5" s="87">
        <f>+'BS"0"'!S5</f>
        <v>48579</v>
      </c>
      <c r="S5" s="87">
        <f>+'BS"0"'!T5</f>
        <v>48944</v>
      </c>
      <c r="T5" s="87">
        <f>+'BS"0"'!U5</f>
        <v>49309</v>
      </c>
      <c r="U5" s="87">
        <f>+'BS"0"'!V5</f>
        <v>49674</v>
      </c>
      <c r="V5" s="87">
        <f>+'BS"0"'!W5</f>
        <v>50040</v>
      </c>
      <c r="W5" s="87">
        <f>+'BS"0"'!X5</f>
        <v>50405</v>
      </c>
      <c r="X5" s="87">
        <f>+'BS"0"'!Y5</f>
        <v>50770</v>
      </c>
      <c r="Y5" s="87">
        <f>+'BS"0"'!Z5</f>
        <v>51135</v>
      </c>
      <c r="Z5" s="87">
        <f>+'BS"0"'!AA5</f>
        <v>51501</v>
      </c>
      <c r="AA5" s="87">
        <f>+'BS"0"'!AB5</f>
        <v>51866</v>
      </c>
      <c r="AB5" s="87">
        <f>+'BS"0"'!AC5</f>
        <v>52231</v>
      </c>
    </row>
    <row r="6" spans="1:28" ht="12">
      <c r="B6" s="123" t="s">
        <v>181</v>
      </c>
      <c r="C6" s="124">
        <f>'BS"0"'!C41</f>
        <v>1103209.6299999999</v>
      </c>
      <c r="D6" s="124">
        <f>'BS"0"'!D41</f>
        <v>1026010.44</v>
      </c>
      <c r="E6" s="124">
        <f>'BS"0"'!E41</f>
        <v>2648084.48</v>
      </c>
      <c r="F6" s="124">
        <f>'BS"0"'!F41</f>
        <v>10179491.35</v>
      </c>
      <c r="G6" s="158">
        <f>'BS"0"'!G41</f>
        <v>11017552.380000001</v>
      </c>
      <c r="H6" s="125">
        <f>'BS"0"'!H41</f>
        <v>28459962.109999999</v>
      </c>
      <c r="I6" s="125">
        <f>'BS"0"'!I41</f>
        <v>28459962.109999999</v>
      </c>
      <c r="J6" s="125">
        <f>'BS"0"'!J41</f>
        <v>28459962.109999999</v>
      </c>
      <c r="K6" s="125">
        <f>'BS"0"'!K41</f>
        <v>28459962.109999999</v>
      </c>
      <c r="L6" s="125">
        <f>'BS"0"'!L41</f>
        <v>28459962.109999999</v>
      </c>
      <c r="M6" s="125">
        <f>'BS"0"'!M41</f>
        <v>28459962.109999999</v>
      </c>
      <c r="N6" s="125">
        <f>'BS"0"'!N41</f>
        <v>28459962.109999999</v>
      </c>
      <c r="O6" s="125">
        <f>'BS"0"'!O41</f>
        <v>28459962.109999999</v>
      </c>
      <c r="P6" s="125">
        <f>'BS"0"'!P41</f>
        <v>28459962.109999999</v>
      </c>
      <c r="Q6" s="125">
        <f>'BS"0"'!Q41</f>
        <v>28459962.109999999</v>
      </c>
      <c r="R6" s="125">
        <f>'BS"0"'!R41</f>
        <v>28459962.109999999</v>
      </c>
      <c r="S6" s="125">
        <f>'BS"0"'!S41</f>
        <v>28459962.109999999</v>
      </c>
      <c r="T6" s="125">
        <f>'BS"0"'!T41</f>
        <v>28459962.109999999</v>
      </c>
      <c r="U6" s="125">
        <f>'BS"0"'!U41</f>
        <v>28459962.109999999</v>
      </c>
      <c r="V6" s="125">
        <f>'BS"0"'!V41</f>
        <v>28459962.109999999</v>
      </c>
      <c r="W6" s="125">
        <f>'BS"0"'!W41</f>
        <v>-50055363.920666188</v>
      </c>
      <c r="X6" s="125">
        <f>'BS"0"'!X41</f>
        <v>-129274455.99992822</v>
      </c>
      <c r="Y6" s="125">
        <f>'BS"0"'!Y41</f>
        <v>-209211743.90168524</v>
      </c>
      <c r="Z6" s="125">
        <f>'BS"0"'!Z41</f>
        <v>-289881956.96025091</v>
      </c>
      <c r="AA6" s="125">
        <f>'BS"0"'!AA41</f>
        <v>-371300130.33568525</v>
      </c>
      <c r="AB6" s="125">
        <f>'BS"0"'!AB41</f>
        <v>-453481611.41128695</v>
      </c>
    </row>
    <row r="7" spans="1:28" ht="13">
      <c r="B7" s="126" t="s">
        <v>182</v>
      </c>
      <c r="C7" s="101">
        <f>'PL"0"'!D55</f>
        <v>-17324591.070000004</v>
      </c>
      <c r="D7" s="101">
        <f>'PL"0"'!E55</f>
        <v>2386280.3899999973</v>
      </c>
      <c r="E7" s="101">
        <f>'PL"0"'!F55</f>
        <v>-275878.95999998442</v>
      </c>
      <c r="F7" s="101">
        <f>'PL"0"'!G55</f>
        <v>-25078723.750000004</v>
      </c>
      <c r="G7" s="153">
        <f>'BS"0"'!H59</f>
        <v>-19407468.259999931</v>
      </c>
      <c r="H7" s="102">
        <f>'PL"0"'!I55</f>
        <v>-50654467.114827156</v>
      </c>
      <c r="I7" s="102">
        <f>'PL"0"'!J55</f>
        <v>-52374046.241634384</v>
      </c>
      <c r="J7" s="102">
        <f>'PL"0"'!K55</f>
        <v>-54901469.432360604</v>
      </c>
      <c r="K7" s="102">
        <f>'PL"0"'!L55</f>
        <v>-58251787.298964448</v>
      </c>
      <c r="L7" s="102">
        <f>'PL"0"'!M55</f>
        <v>-61653072.812749512</v>
      </c>
      <c r="M7" s="102">
        <f>'PL"0"'!N55</f>
        <v>-64804899.790278077</v>
      </c>
      <c r="N7" s="102">
        <f>'PL"0"'!O55</f>
        <v>-67892743.050507411</v>
      </c>
      <c r="O7" s="102">
        <f>'PL"0"'!P55</f>
        <v>-71025107.133106351</v>
      </c>
      <c r="P7" s="102">
        <f>'PL"0"'!Q55</f>
        <v>-72397471.214230597</v>
      </c>
      <c r="Q7" s="102">
        <f>'PL"0"'!R55</f>
        <v>-71991962.241689771</v>
      </c>
      <c r="R7" s="102">
        <f>'PL"0"'!S55</f>
        <v>-73611333.334734738</v>
      </c>
      <c r="S7" s="102">
        <f>'PL"0"'!T55</f>
        <v>-74115477.865642637</v>
      </c>
      <c r="T7" s="102">
        <f>'PL"0"'!U55</f>
        <v>-74931473.54142271</v>
      </c>
      <c r="U7" s="102">
        <f>'PL"0"'!V55</f>
        <v>-75855702.646941185</v>
      </c>
      <c r="V7" s="102">
        <f>'PL"0"'!W55</f>
        <v>-76927638.532693684</v>
      </c>
      <c r="W7" s="102">
        <f>'PL"0"'!X55</f>
        <v>-78021366.581706643</v>
      </c>
      <c r="X7" s="102">
        <f>'PL"0"'!Y55</f>
        <v>-78513349.636997581</v>
      </c>
      <c r="Y7" s="102">
        <f>'PL"0"'!Z55</f>
        <v>-78722782.350738138</v>
      </c>
      <c r="Z7" s="102">
        <f>'PL"0"'!AA55</f>
        <v>-79884604.615274519</v>
      </c>
      <c r="AA7" s="102">
        <f>'PL"0"'!AB55</f>
        <v>-81070062.198139429</v>
      </c>
      <c r="AB7" s="102">
        <f>'PL"0"'!AC55</f>
        <v>-82279639.881139025</v>
      </c>
    </row>
    <row r="8" spans="1:28" ht="12">
      <c r="B8" s="127" t="s">
        <v>183</v>
      </c>
      <c r="C8" s="128">
        <f t="shared" ref="C8:E8" si="0">SUM(C9:C13)</f>
        <v>1191299.96</v>
      </c>
      <c r="D8" s="128">
        <f t="shared" si="0"/>
        <v>5035204.17</v>
      </c>
      <c r="E8" s="128">
        <f t="shared" si="0"/>
        <v>3655196.65</v>
      </c>
      <c r="F8" s="128">
        <f t="shared" ref="F8" si="1">SUM(F9:F13)</f>
        <v>20986746.999999996</v>
      </c>
      <c r="G8" s="159">
        <f t="shared" ref="G8:L8" si="2">SUM(G9:G13)</f>
        <v>13896113.980000002</v>
      </c>
      <c r="H8" s="129">
        <f t="shared" si="2"/>
        <v>4963823.4608666692</v>
      </c>
      <c r="I8" s="129">
        <f t="shared" si="2"/>
        <v>6273443.3955158601</v>
      </c>
      <c r="J8" s="129">
        <f t="shared" si="2"/>
        <v>8651661.9661973268</v>
      </c>
      <c r="K8" s="129">
        <f t="shared" si="2"/>
        <v>11032053.315836931</v>
      </c>
      <c r="L8" s="129">
        <f t="shared" si="2"/>
        <v>13415079.182880107</v>
      </c>
      <c r="M8" s="129">
        <f t="shared" ref="M8:Q8" si="3">SUM(M9:M13)</f>
        <v>15809669.313511899</v>
      </c>
      <c r="N8" s="129">
        <f t="shared" si="3"/>
        <v>18130863.766846295</v>
      </c>
      <c r="O8" s="129">
        <f t="shared" si="3"/>
        <v>20390140.273309156</v>
      </c>
      <c r="P8" s="129">
        <f t="shared" si="3"/>
        <v>20750248.190171134</v>
      </c>
      <c r="Q8" s="129">
        <f t="shared" si="3"/>
        <v>19316439.666970886</v>
      </c>
      <c r="R8" s="129">
        <f t="shared" ref="R8:U8" si="4">SUM(R9:R13)</f>
        <v>19882931.700887788</v>
      </c>
      <c r="S8" s="129">
        <f t="shared" si="4"/>
        <v>20495348.429013196</v>
      </c>
      <c r="T8" s="129">
        <f t="shared" si="4"/>
        <v>21147779.840741299</v>
      </c>
      <c r="U8" s="129">
        <f t="shared" si="4"/>
        <v>21906557.942173224</v>
      </c>
      <c r="V8" s="129">
        <f t="shared" ref="V8:AB8" si="5">SUM(V9:V13)</f>
        <v>22763851.479432419</v>
      </c>
      <c r="W8" s="129">
        <f t="shared" si="5"/>
        <v>23638290.887436796</v>
      </c>
      <c r="X8" s="129">
        <f t="shared" si="5"/>
        <v>23906235.143601272</v>
      </c>
      <c r="Y8" s="129">
        <f t="shared" si="5"/>
        <v>23886772.683689017</v>
      </c>
      <c r="Z8" s="129">
        <f t="shared" si="5"/>
        <v>24814734.778978523</v>
      </c>
      <c r="AA8" s="129">
        <f t="shared" si="5"/>
        <v>25761256.116173822</v>
      </c>
      <c r="AB8" s="129">
        <f t="shared" si="5"/>
        <v>26726707.880113032</v>
      </c>
    </row>
    <row r="9" spans="1:28" ht="13">
      <c r="B9" s="130" t="s">
        <v>26</v>
      </c>
      <c r="C9" s="131">
        <f>'PL"0"'!D23</f>
        <v>3137294.2</v>
      </c>
      <c r="D9" s="131">
        <f>'PL"0"'!E23</f>
        <v>3230372.16</v>
      </c>
      <c r="E9" s="131">
        <f>'PL"0"'!F23</f>
        <v>3423404.12</v>
      </c>
      <c r="F9" s="131">
        <f>'PL"0"'!G23</f>
        <v>3970695.57</v>
      </c>
      <c r="G9" s="160">
        <f>'PL"0"'!H23</f>
        <v>4445128.2300000004</v>
      </c>
      <c r="H9" s="132">
        <f>'PL"0"'!I23</f>
        <v>4846695.1041666688</v>
      </c>
      <c r="I9" s="132">
        <f>'PL"0"'!J23</f>
        <v>6156315.0388158597</v>
      </c>
      <c r="J9" s="132">
        <f>'PL"0"'!K23</f>
        <v>8534533.6094973274</v>
      </c>
      <c r="K9" s="132">
        <f>'PL"0"'!L23</f>
        <v>10914924.959136931</v>
      </c>
      <c r="L9" s="132">
        <f>'PL"0"'!M23</f>
        <v>13297950.826180108</v>
      </c>
      <c r="M9" s="132">
        <f>'PL"0"'!N23</f>
        <v>15692540.956811899</v>
      </c>
      <c r="N9" s="132">
        <f>'PL"0"'!O23</f>
        <v>18013735.410146296</v>
      </c>
      <c r="O9" s="132">
        <f>'PL"0"'!P23</f>
        <v>20273011.916609157</v>
      </c>
      <c r="P9" s="132">
        <f>'PL"0"'!Q23</f>
        <v>20633119.833471134</v>
      </c>
      <c r="Q9" s="132">
        <f>'PL"0"'!R23</f>
        <v>19199311.310270887</v>
      </c>
      <c r="R9" s="132">
        <f>'PL"0"'!S23</f>
        <v>19765803.344187789</v>
      </c>
      <c r="S9" s="132">
        <f>'PL"0"'!T23</f>
        <v>20378220.072313197</v>
      </c>
      <c r="T9" s="132">
        <f>'PL"0"'!U23</f>
        <v>21030651.4840413</v>
      </c>
      <c r="U9" s="132">
        <f>'PL"0"'!V23</f>
        <v>21789429.585473225</v>
      </c>
      <c r="V9" s="132">
        <f>'PL"0"'!W23</f>
        <v>22646723.12273242</v>
      </c>
      <c r="W9" s="132">
        <f>'PL"0"'!X23</f>
        <v>23521162.530736797</v>
      </c>
      <c r="X9" s="132">
        <f>'PL"0"'!Y23</f>
        <v>23789106.786901273</v>
      </c>
      <c r="Y9" s="132">
        <f>'PL"0"'!Z23</f>
        <v>23769644.326989017</v>
      </c>
      <c r="Z9" s="132">
        <f>'PL"0"'!AA23</f>
        <v>24697606.422278523</v>
      </c>
      <c r="AA9" s="132">
        <f>'PL"0"'!AB23</f>
        <v>25644127.759473823</v>
      </c>
      <c r="AB9" s="132">
        <f>'PL"0"'!AC23</f>
        <v>26609579.523413032</v>
      </c>
    </row>
    <row r="10" spans="1:28" ht="11.25" customHeight="1">
      <c r="B10" s="130" t="s">
        <v>184</v>
      </c>
      <c r="C10" s="98">
        <f>'BS"0"'!D61-'BS"0"'!C61</f>
        <v>-2046758.1800000002</v>
      </c>
      <c r="D10" s="98">
        <f>'BS"0"'!E61-'BS"0"'!D61</f>
        <v>1699394.6600000001</v>
      </c>
      <c r="E10" s="98">
        <f>'BS"0"'!F61-'BS"0"'!E61</f>
        <v>411700.62999999989</v>
      </c>
      <c r="F10" s="98">
        <f>'BS"0"'!G61-'BS"0"'!F61</f>
        <v>16906589.339999996</v>
      </c>
      <c r="G10" s="152">
        <f>'BS"0"'!H61-'BS"0"'!G61</f>
        <v>9336400.5600000024</v>
      </c>
      <c r="H10" s="92">
        <f>'BS"0"'!I61-'BS"0"'!H61</f>
        <v>0</v>
      </c>
      <c r="I10" s="92">
        <f>'BS"0"'!J61-'BS"0"'!I61</f>
        <v>0</v>
      </c>
      <c r="J10" s="92">
        <f>'BS"0"'!K61-'BS"0"'!J61</f>
        <v>0</v>
      </c>
      <c r="K10" s="92">
        <f>'BS"0"'!L61-'BS"0"'!K61</f>
        <v>0</v>
      </c>
      <c r="L10" s="92">
        <f>'BS"0"'!M61-'BS"0"'!L61</f>
        <v>0</v>
      </c>
      <c r="M10" s="92">
        <f>'BS"0"'!N61-'BS"0"'!M61</f>
        <v>0</v>
      </c>
      <c r="N10" s="92">
        <f>'BS"0"'!O61-'BS"0"'!N61</f>
        <v>0</v>
      </c>
      <c r="O10" s="92">
        <f>'BS"0"'!P61-'BS"0"'!O61</f>
        <v>0</v>
      </c>
      <c r="P10" s="92">
        <f>'BS"0"'!Q61-'BS"0"'!P61</f>
        <v>0</v>
      </c>
      <c r="Q10" s="92">
        <f>'BS"0"'!R61-'BS"0"'!Q61</f>
        <v>0</v>
      </c>
      <c r="R10" s="92">
        <f>'BS"0"'!S61-'BS"0"'!R61</f>
        <v>0</v>
      </c>
      <c r="S10" s="92">
        <f>'BS"0"'!T61-'BS"0"'!S61</f>
        <v>0</v>
      </c>
      <c r="T10" s="92">
        <f>'BS"0"'!U61-'BS"0"'!T61</f>
        <v>0</v>
      </c>
      <c r="U10" s="92">
        <f>'BS"0"'!V61-'BS"0"'!U61</f>
        <v>0</v>
      </c>
      <c r="V10" s="92">
        <f>'BS"0"'!W61-'BS"0"'!V61</f>
        <v>0</v>
      </c>
      <c r="W10" s="92">
        <f>'BS"0"'!X61-'BS"0"'!W61</f>
        <v>0</v>
      </c>
      <c r="X10" s="92">
        <f>'BS"0"'!Y61-'BS"0"'!X61</f>
        <v>0</v>
      </c>
      <c r="Y10" s="92">
        <f>'BS"0"'!Z61-'BS"0"'!Y61</f>
        <v>0</v>
      </c>
      <c r="Z10" s="92">
        <f>'BS"0"'!AA61-'BS"0"'!Z61</f>
        <v>0</v>
      </c>
      <c r="AA10" s="92">
        <f>'BS"0"'!AB61-'BS"0"'!AA61</f>
        <v>0</v>
      </c>
      <c r="AB10" s="92">
        <f>'BS"0"'!AC61-'BS"0"'!AB61</f>
        <v>0</v>
      </c>
    </row>
    <row r="11" spans="1:28" ht="13">
      <c r="B11" s="130" t="s">
        <v>185</v>
      </c>
      <c r="C11" s="98">
        <f>'PL"0"'!D27-'PL"0"'!D24</f>
        <v>-2993.8</v>
      </c>
      <c r="D11" s="98">
        <f>'PL"0"'!E27-'PL"0"'!E24</f>
        <v>0</v>
      </c>
      <c r="E11" s="98">
        <f>'PL"0"'!F27-'PL"0"'!F24</f>
        <v>-289400</v>
      </c>
      <c r="F11" s="98">
        <f>'PL"0"'!G27-'PL"0"'!G24</f>
        <v>-4621.63</v>
      </c>
      <c r="G11" s="152">
        <f>'PL"0"'!H27-'PL"0"'!H24</f>
        <v>0</v>
      </c>
      <c r="H11" s="92">
        <f>'PL"0"'!I27-'PL"0"'!I24</f>
        <v>0</v>
      </c>
      <c r="I11" s="92">
        <f>'PL"0"'!J27-'PL"0"'!J24</f>
        <v>0</v>
      </c>
      <c r="J11" s="92">
        <f>'PL"0"'!K27-'PL"0"'!K24</f>
        <v>0</v>
      </c>
      <c r="K11" s="92">
        <f>'PL"0"'!L27-'PL"0"'!L24</f>
        <v>0</v>
      </c>
      <c r="L11" s="92">
        <f>'PL"0"'!M27-'PL"0"'!M24</f>
        <v>0</v>
      </c>
      <c r="M11" s="92">
        <f>'PL"0"'!N27-'PL"0"'!N24</f>
        <v>0</v>
      </c>
      <c r="N11" s="92">
        <f>'PL"0"'!O27-'PL"0"'!O24</f>
        <v>0</v>
      </c>
      <c r="O11" s="92">
        <f>'PL"0"'!P27-'PL"0"'!P24</f>
        <v>0</v>
      </c>
      <c r="P11" s="92">
        <f>'PL"0"'!Q27-'PL"0"'!Q24</f>
        <v>0</v>
      </c>
      <c r="Q11" s="92">
        <f>'PL"0"'!R27-'PL"0"'!R24</f>
        <v>0</v>
      </c>
      <c r="R11" s="92">
        <f>'PL"0"'!S27-'PL"0"'!S24</f>
        <v>0</v>
      </c>
      <c r="S11" s="92">
        <f>'PL"0"'!T27-'PL"0"'!T24</f>
        <v>0</v>
      </c>
      <c r="T11" s="92">
        <f>'PL"0"'!U27-'PL"0"'!U24</f>
        <v>0</v>
      </c>
      <c r="U11" s="92">
        <f>'PL"0"'!V27-'PL"0"'!V24</f>
        <v>0</v>
      </c>
      <c r="V11" s="92">
        <f>'PL"0"'!W27-'PL"0"'!W24</f>
        <v>0</v>
      </c>
      <c r="W11" s="92">
        <f>'PL"0"'!X27-'PL"0"'!X24</f>
        <v>0</v>
      </c>
      <c r="X11" s="92">
        <f>'PL"0"'!Y27-'PL"0"'!Y24</f>
        <v>0</v>
      </c>
      <c r="Y11" s="92">
        <f>'PL"0"'!Z27-'PL"0"'!Z24</f>
        <v>0</v>
      </c>
      <c r="Z11" s="92">
        <f>'PL"0"'!AA27-'PL"0"'!AA24</f>
        <v>0</v>
      </c>
      <c r="AA11" s="92">
        <f>'PL"0"'!AB27-'PL"0"'!AB24</f>
        <v>0</v>
      </c>
      <c r="AB11" s="92">
        <f>'PL"0"'!AC27-'PL"0"'!AC24</f>
        <v>0</v>
      </c>
    </row>
    <row r="12" spans="1:28" ht="13">
      <c r="B12" s="130" t="s">
        <v>186</v>
      </c>
      <c r="C12" s="98">
        <f>-'PL"0"'!D38</f>
        <v>0</v>
      </c>
      <c r="D12" s="98">
        <f>-'PL"0"'!E38</f>
        <v>0</v>
      </c>
      <c r="E12" s="98">
        <f>-'PL"0"'!F38</f>
        <v>0</v>
      </c>
      <c r="F12" s="98">
        <f>-'PL"0"'!G38</f>
        <v>0</v>
      </c>
      <c r="G12" s="152">
        <f>-'PL"0"'!H38</f>
        <v>0</v>
      </c>
      <c r="H12" s="92">
        <f>-'PL"0"'!I38</f>
        <v>0</v>
      </c>
      <c r="I12" s="92">
        <f>-'PL"0"'!J38</f>
        <v>0</v>
      </c>
      <c r="J12" s="92">
        <f>-'PL"0"'!K38</f>
        <v>0</v>
      </c>
      <c r="K12" s="92">
        <f>-'PL"0"'!L38</f>
        <v>0</v>
      </c>
      <c r="L12" s="92">
        <f>-'PL"0"'!M38</f>
        <v>0</v>
      </c>
      <c r="M12" s="92">
        <f>-'PL"0"'!N38</f>
        <v>0</v>
      </c>
      <c r="N12" s="92">
        <f>-'PL"0"'!O38</f>
        <v>0</v>
      </c>
      <c r="O12" s="92">
        <f>-'PL"0"'!P38</f>
        <v>0</v>
      </c>
      <c r="P12" s="92">
        <f>-'PL"0"'!Q38</f>
        <v>0</v>
      </c>
      <c r="Q12" s="92">
        <f>-'PL"0"'!R38</f>
        <v>0</v>
      </c>
      <c r="R12" s="92">
        <f>-'PL"0"'!S38</f>
        <v>0</v>
      </c>
      <c r="S12" s="92">
        <f>-'PL"0"'!T38</f>
        <v>0</v>
      </c>
      <c r="T12" s="92">
        <f>-'PL"0"'!U38</f>
        <v>0</v>
      </c>
      <c r="U12" s="92">
        <f>-'PL"0"'!V38</f>
        <v>0</v>
      </c>
      <c r="V12" s="92">
        <f>-'PL"0"'!W38</f>
        <v>0</v>
      </c>
      <c r="W12" s="92">
        <f>-'PL"0"'!X38</f>
        <v>0</v>
      </c>
      <c r="X12" s="92">
        <f>-'PL"0"'!Y38</f>
        <v>0</v>
      </c>
      <c r="Y12" s="92">
        <f>-'PL"0"'!Z38</f>
        <v>0</v>
      </c>
      <c r="Z12" s="92">
        <f>-'PL"0"'!AA38</f>
        <v>0</v>
      </c>
      <c r="AA12" s="92">
        <f>-'PL"0"'!AB38</f>
        <v>0</v>
      </c>
      <c r="AB12" s="92">
        <f>-'PL"0"'!AC38</f>
        <v>0</v>
      </c>
    </row>
    <row r="13" spans="1:28" ht="13">
      <c r="B13" s="130" t="s">
        <v>187</v>
      </c>
      <c r="C13" s="98">
        <f>'PL"0"'!D40-'PL"0"'!D39+'PL"0"'!D42-'PL"0"'!D41</f>
        <v>103757.74</v>
      </c>
      <c r="D13" s="98">
        <f>'PL"0"'!E40-'PL"0"'!E39+'PL"0"'!E42-'PL"0"'!E41</f>
        <v>105437.35</v>
      </c>
      <c r="E13" s="98">
        <f>'PL"0"'!F40-'PL"0"'!F39+'PL"0"'!F42-'PL"0"'!F41</f>
        <v>109491.90000000001</v>
      </c>
      <c r="F13" s="98">
        <f>'PL"0"'!G40-'PL"0"'!G39+'PL"0"'!G42-'PL"0"'!G41</f>
        <v>114083.72</v>
      </c>
      <c r="G13" s="152">
        <f>'PL"0"'!H40-'PL"0"'!H39+'PL"0"'!H42-'PL"0"'!H41</f>
        <v>114585.19</v>
      </c>
      <c r="H13" s="92">
        <f>'PL"0"'!I40-'PL"0"'!I39+'PL"0"'!I42-'PL"0"'!I41</f>
        <v>117128.3567</v>
      </c>
      <c r="I13" s="92">
        <f>'PL"0"'!J40-'PL"0"'!J39+'PL"0"'!J42-'PL"0"'!J41</f>
        <v>117128.3567</v>
      </c>
      <c r="J13" s="92">
        <f>'PL"0"'!K40-'PL"0"'!K39+'PL"0"'!K42-'PL"0"'!K41</f>
        <v>117128.3567</v>
      </c>
      <c r="K13" s="92">
        <f>'PL"0"'!L40-'PL"0"'!L39+'PL"0"'!L42-'PL"0"'!L41</f>
        <v>117128.3567</v>
      </c>
      <c r="L13" s="92">
        <f>'PL"0"'!M40-'PL"0"'!M39+'PL"0"'!M42-'PL"0"'!M41</f>
        <v>117128.3567</v>
      </c>
      <c r="M13" s="92">
        <f>'PL"0"'!N40-'PL"0"'!N39+'PL"0"'!N42-'PL"0"'!N41</f>
        <v>117128.3567</v>
      </c>
      <c r="N13" s="92">
        <f>'PL"0"'!O40-'PL"0"'!O39+'PL"0"'!O42-'PL"0"'!O41</f>
        <v>117128.3567</v>
      </c>
      <c r="O13" s="92">
        <f>'PL"0"'!P40-'PL"0"'!P39+'PL"0"'!P42-'PL"0"'!P41</f>
        <v>117128.3567</v>
      </c>
      <c r="P13" s="92">
        <f>'PL"0"'!Q40-'PL"0"'!Q39+'PL"0"'!Q42-'PL"0"'!Q41</f>
        <v>117128.3567</v>
      </c>
      <c r="Q13" s="92">
        <f>'PL"0"'!R40-'PL"0"'!R39+'PL"0"'!R42-'PL"0"'!R41</f>
        <v>117128.3567</v>
      </c>
      <c r="R13" s="92">
        <f>'PL"0"'!S40-'PL"0"'!S39+'PL"0"'!S42-'PL"0"'!S41</f>
        <v>117128.3567</v>
      </c>
      <c r="S13" s="92">
        <f>'PL"0"'!T40-'PL"0"'!T39+'PL"0"'!T42-'PL"0"'!T41</f>
        <v>117128.3567</v>
      </c>
      <c r="T13" s="92">
        <f>'PL"0"'!U40-'PL"0"'!U39+'PL"0"'!U42-'PL"0"'!U41</f>
        <v>117128.3567</v>
      </c>
      <c r="U13" s="92">
        <f>'PL"0"'!V40-'PL"0"'!V39+'PL"0"'!V42-'PL"0"'!V41</f>
        <v>117128.3567</v>
      </c>
      <c r="V13" s="92">
        <f>'PL"0"'!W40-'PL"0"'!W39+'PL"0"'!W42-'PL"0"'!W41</f>
        <v>117128.3567</v>
      </c>
      <c r="W13" s="92">
        <f>'PL"0"'!X40-'PL"0"'!X39+'PL"0"'!X42-'PL"0"'!X41</f>
        <v>117128.3567</v>
      </c>
      <c r="X13" s="92">
        <f>'PL"0"'!Y40-'PL"0"'!Y39+'PL"0"'!Y42-'PL"0"'!Y41</f>
        <v>117128.3567</v>
      </c>
      <c r="Y13" s="92">
        <f>'PL"0"'!Z40-'PL"0"'!Z39+'PL"0"'!Z42-'PL"0"'!Z41</f>
        <v>117128.3567</v>
      </c>
      <c r="Z13" s="92">
        <f>'PL"0"'!AA40-'PL"0"'!AA39+'PL"0"'!AA42-'PL"0"'!AA41</f>
        <v>117128.3567</v>
      </c>
      <c r="AA13" s="92">
        <f>'PL"0"'!AB40-'PL"0"'!AB39+'PL"0"'!AB42-'PL"0"'!AB41</f>
        <v>117128.3567</v>
      </c>
      <c r="AB13" s="92">
        <f>'PL"0"'!AC40-'PL"0"'!AC39+'PL"0"'!AC42-'PL"0"'!AC41</f>
        <v>117128.3567</v>
      </c>
    </row>
    <row r="14" spans="1:28" ht="12">
      <c r="B14" s="127" t="s">
        <v>188</v>
      </c>
      <c r="C14" s="128">
        <f t="shared" ref="C14:E14" si="6">SUM(C15:C17)</f>
        <v>18429530.939999986</v>
      </c>
      <c r="D14" s="128">
        <f t="shared" si="6"/>
        <v>-4687985.8799999896</v>
      </c>
      <c r="E14" s="128">
        <f t="shared" si="6"/>
        <v>-14426099.500000004</v>
      </c>
      <c r="F14" s="128">
        <f t="shared" ref="F14" si="7">SUM(F15:F17)</f>
        <v>7037602.4399999967</v>
      </c>
      <c r="G14" s="159">
        <f t="shared" ref="G14:L14" si="8">SUM(G15:G17)</f>
        <v>13735636.419999992</v>
      </c>
      <c r="H14" s="129">
        <f t="shared" si="8"/>
        <v>2104396.8255800623</v>
      </c>
      <c r="I14" s="129">
        <f t="shared" si="8"/>
        <v>-158768.28509279992</v>
      </c>
      <c r="J14" s="129">
        <f t="shared" si="8"/>
        <v>200247.98636203911</v>
      </c>
      <c r="K14" s="129">
        <f t="shared" si="8"/>
        <v>612122.75319261476</v>
      </c>
      <c r="L14" s="129">
        <f t="shared" si="8"/>
        <v>876973.15232714824</v>
      </c>
      <c r="M14" s="129">
        <f t="shared" ref="M14:Q14" si="9">SUM(M15:M17)</f>
        <v>-1528699.6711140927</v>
      </c>
      <c r="N14" s="129">
        <f t="shared" si="9"/>
        <v>-1214328.7108651306</v>
      </c>
      <c r="O14" s="129">
        <f t="shared" si="9"/>
        <v>-303048.89918269683</v>
      </c>
      <c r="P14" s="129">
        <f t="shared" si="9"/>
        <v>603938.74728487153</v>
      </c>
      <c r="Q14" s="129">
        <f t="shared" si="9"/>
        <v>581294.71492746845</v>
      </c>
      <c r="R14" s="129">
        <f t="shared" ref="R14:U14" si="10">SUM(R15:R17)</f>
        <v>609852.14252392203</v>
      </c>
      <c r="S14" s="129">
        <f t="shared" si="10"/>
        <v>14435.552067160606</v>
      </c>
      <c r="T14" s="129">
        <f t="shared" si="10"/>
        <v>105849.43755177129</v>
      </c>
      <c r="U14" s="129">
        <f t="shared" si="10"/>
        <v>73692.377588161267</v>
      </c>
      <c r="V14" s="129">
        <f t="shared" ref="V14:AB14" si="11">SUM(V15:V17)</f>
        <v>200381.80768191256</v>
      </c>
      <c r="W14" s="129">
        <f t="shared" si="11"/>
        <v>204600.24866234325</v>
      </c>
      <c r="X14" s="129">
        <f t="shared" si="11"/>
        <v>208912.99083305243</v>
      </c>
      <c r="Y14" s="129">
        <f t="shared" si="11"/>
        <v>213322.16852709837</v>
      </c>
      <c r="Z14" s="129">
        <f t="shared" si="11"/>
        <v>217829.96497189067</v>
      </c>
      <c r="AA14" s="129">
        <f t="shared" si="11"/>
        <v>222438.61342245247</v>
      </c>
      <c r="AB14" s="129">
        <f t="shared" si="11"/>
        <v>227150.39832079597</v>
      </c>
    </row>
    <row r="15" spans="1:28" ht="13">
      <c r="B15" s="130" t="s">
        <v>189</v>
      </c>
      <c r="C15" s="98">
        <f>'BS"0"'!C28-'BS"0"'!D28+'BS"0"'!C31-'BS"0"'!D31+'BS"0"'!C32-'BS"0"'!D32+'BS"0"'!C34-'BS"0"'!D34+'BS"0"'!C37-'BS"0"'!D37+'BS"0"'!C38-'BS"0"'!D38+'BS"0"'!C39-'BS"0"'!D39+'BS"0"'!C40-'BS"0"'!D40+'BS"0"'!C42-'BS"0"'!D42</f>
        <v>-2051725.6800000023</v>
      </c>
      <c r="D15" s="98">
        <f>'BS"0"'!D28-'BS"0"'!E28+'BS"0"'!D31-'BS"0"'!E31+'BS"0"'!D32-'BS"0"'!E32+'BS"0"'!D34-'BS"0"'!E34+'BS"0"'!D37-'BS"0"'!E37+'BS"0"'!D38-'BS"0"'!E38+'BS"0"'!D39-'BS"0"'!E39+'BS"0"'!D40-'BS"0"'!E40+'BS"0"'!D42-'BS"0"'!E42</f>
        <v>937684.16000000143</v>
      </c>
      <c r="E15" s="98">
        <f>'BS"0"'!E28-'BS"0"'!F28+'BS"0"'!E31-'BS"0"'!F31+'BS"0"'!E32-'BS"0"'!F32+'BS"0"'!E34-'BS"0"'!F34+'BS"0"'!E37-'BS"0"'!F37+'BS"0"'!E38-'BS"0"'!F38+'BS"0"'!E39-'BS"0"'!F39+'BS"0"'!E40-'BS"0"'!F40+'BS"0"'!E42-'BS"0"'!F42</f>
        <v>1191663.3000000017</v>
      </c>
      <c r="F15" s="98">
        <f>'BS"0"'!F28-'BS"0"'!G28+'BS"0"'!F31-'BS"0"'!G31+'BS"0"'!F32-'BS"0"'!G32+'BS"0"'!F34-'BS"0"'!G34+'BS"0"'!F37-'BS"0"'!G37+'BS"0"'!F38-'BS"0"'!G38+'BS"0"'!F39-'BS"0"'!G39+'BS"0"'!F40-'BS"0"'!G40+'BS"0"'!F42-'BS"0"'!G42</f>
        <v>-1938869.2300000007</v>
      </c>
      <c r="G15" s="152">
        <f>'BS"0"'!G28-'BS"0"'!H28+'BS"0"'!G31-'BS"0"'!H31+'BS"0"'!G32-'BS"0"'!H32+'BS"0"'!G34-'BS"0"'!H34+'BS"0"'!G37-'BS"0"'!H37+'BS"0"'!G38-'BS"0"'!H38+'BS"0"'!G39-'BS"0"'!H39+'BS"0"'!G40-'BS"0"'!H40+'BS"0"'!G42-'BS"0"'!H42</f>
        <v>-7138432.8099999987</v>
      </c>
      <c r="H15" s="92">
        <f>'BS"0"'!H28-'BS"0"'!I28+'BS"0"'!H31-'BS"0"'!I31+'BS"0"'!H32-'BS"0"'!I32+'BS"0"'!H34-'BS"0"'!I34+'BS"0"'!H37-'BS"0"'!I37+'BS"0"'!H38-'BS"0"'!I38+'BS"0"'!H39-'BS"0"'!I39+'BS"0"'!H40-'BS"0"'!I40+'BS"0"'!H42-'BS"0"'!I42</f>
        <v>-1116496.7980714291</v>
      </c>
      <c r="I15" s="92">
        <f>'BS"0"'!I28-'BS"0"'!J28+'BS"0"'!I31-'BS"0"'!J31+'BS"0"'!I32-'BS"0"'!J32+'BS"0"'!I34-'BS"0"'!J34+'BS"0"'!I37-'BS"0"'!J37+'BS"0"'!I38-'BS"0"'!J38+'BS"0"'!I39-'BS"0"'!J39+'BS"0"'!I40-'BS"0"'!J40+'BS"0"'!I42-'BS"0"'!J42</f>
        <v>220415.80911681056</v>
      </c>
      <c r="J15" s="92">
        <f>'BS"0"'!J28-'BS"0"'!K28+'BS"0"'!J31-'BS"0"'!K31+'BS"0"'!J32-'BS"0"'!K32+'BS"0"'!J34-'BS"0"'!K34+'BS"0"'!J37-'BS"0"'!K37+'BS"0"'!J38-'BS"0"'!K38+'BS"0"'!J39-'BS"0"'!K39+'BS"0"'!J40-'BS"0"'!K40+'BS"0"'!J42-'BS"0"'!K42</f>
        <v>-21049.989755816758</v>
      </c>
      <c r="K15" s="92">
        <f>'BS"0"'!K28-'BS"0"'!L28+'BS"0"'!K31-'BS"0"'!L31+'BS"0"'!K32-'BS"0"'!L32+'BS"0"'!K34-'BS"0"'!L34+'BS"0"'!K37-'BS"0"'!L37+'BS"0"'!K38-'BS"0"'!L38+'BS"0"'!K39-'BS"0"'!L39+'BS"0"'!K40-'BS"0"'!L40+'BS"0"'!K42-'BS"0"'!L42</f>
        <v>-25523.334598314017</v>
      </c>
      <c r="L15" s="92">
        <f>'BS"0"'!L28-'BS"0"'!M28+'BS"0"'!L31-'BS"0"'!M31+'BS"0"'!L32-'BS"0"'!M32+'BS"0"'!L34-'BS"0"'!M34+'BS"0"'!L37-'BS"0"'!M37+'BS"0"'!L38-'BS"0"'!M38+'BS"0"'!L39-'BS"0"'!M39+'BS"0"'!L40-'BS"0"'!M40+'BS"0"'!L42-'BS"0"'!M42</f>
        <v>-112035.15625103563</v>
      </c>
      <c r="M15" s="92">
        <f>'BS"0"'!M28-'BS"0"'!N28+'BS"0"'!M31-'BS"0"'!N31+'BS"0"'!M32-'BS"0"'!N32+'BS"0"'!M34-'BS"0"'!N34+'BS"0"'!M37-'BS"0"'!N37+'BS"0"'!M38-'BS"0"'!N38+'BS"0"'!M39-'BS"0"'!N39+'BS"0"'!M40-'BS"0"'!N40+'BS"0"'!M42-'BS"0"'!N42</f>
        <v>711060.94315074384</v>
      </c>
      <c r="N15" s="92">
        <f>'BS"0"'!N28-'BS"0"'!O28+'BS"0"'!N31-'BS"0"'!O31+'BS"0"'!N32-'BS"0"'!O32+'BS"0"'!N34-'BS"0"'!O34+'BS"0"'!N37-'BS"0"'!O37+'BS"0"'!N38-'BS"0"'!O38+'BS"0"'!N39-'BS"0"'!O39+'BS"0"'!N40-'BS"0"'!O40+'BS"0"'!N42-'BS"0"'!O42</f>
        <v>599864.12445019186</v>
      </c>
      <c r="O15" s="92">
        <f>'BS"0"'!O28-'BS"0"'!P28+'BS"0"'!O31-'BS"0"'!P31+'BS"0"'!O32-'BS"0"'!P32+'BS"0"'!O34-'BS"0"'!P34+'BS"0"'!O37-'BS"0"'!P37+'BS"0"'!O38-'BS"0"'!P38+'BS"0"'!O39-'BS"0"'!P39+'BS"0"'!O40-'BS"0"'!P40+'BS"0"'!O42-'BS"0"'!P42</f>
        <v>290266.00053185225</v>
      </c>
      <c r="P15" s="92">
        <f>'BS"0"'!P28-'BS"0"'!Q28+'BS"0"'!P31-'BS"0"'!Q31+'BS"0"'!P32-'BS"0"'!Q32+'BS"0"'!P34-'BS"0"'!Q34+'BS"0"'!P37-'BS"0"'!Q37+'BS"0"'!P38-'BS"0"'!Q38+'BS"0"'!P39-'BS"0"'!Q39+'BS"0"'!P40-'BS"0"'!Q40+'BS"0"'!P42-'BS"0"'!Q42</f>
        <v>-12018.090325180441</v>
      </c>
      <c r="Q15" s="92">
        <f>'BS"0"'!Q28-'BS"0"'!R28+'BS"0"'!Q31-'BS"0"'!R31+'BS"0"'!Q32-'BS"0"'!R32+'BS"0"'!Q34-'BS"0"'!R34+'BS"0"'!Q37-'BS"0"'!R37+'BS"0"'!Q38-'BS"0"'!R38+'BS"0"'!Q39-'BS"0"'!R39+'BS"0"'!Q40-'BS"0"'!R40+'BS"0"'!Q42-'BS"0"'!R42</f>
        <v>-361.68821824714541</v>
      </c>
      <c r="R15" s="92">
        <f>'BS"0"'!R28-'BS"0"'!S28+'BS"0"'!R31-'BS"0"'!S31+'BS"0"'!R32-'BS"0"'!S32+'BS"0"'!R34-'BS"0"'!S34+'BS"0"'!R37-'BS"0"'!S37+'BS"0"'!R38-'BS"0"'!S38+'BS"0"'!R39-'BS"0"'!S39+'BS"0"'!R40-'BS"0"'!S40+'BS"0"'!R42-'BS"0"'!S42</f>
        <v>-5671.8152356222272</v>
      </c>
      <c r="S15" s="92">
        <f>'BS"0"'!S28-'BS"0"'!T28+'BS"0"'!S31-'BS"0"'!T31+'BS"0"'!S32-'BS"0"'!T32+'BS"0"'!S34-'BS"0"'!T34+'BS"0"'!S37-'BS"0"'!T37+'BS"0"'!S38-'BS"0"'!T38+'BS"0"'!S39-'BS"0"'!T39+'BS"0"'!S40-'BS"0"'!T40+'BS"0"'!S42-'BS"0"'!T42</f>
        <v>2856.5412349440157</v>
      </c>
      <c r="T15" s="92">
        <f>'BS"0"'!T28-'BS"0"'!U28+'BS"0"'!T31-'BS"0"'!U31+'BS"0"'!T32-'BS"0"'!U32+'BS"0"'!T34-'BS"0"'!U34+'BS"0"'!T37-'BS"0"'!U37+'BS"0"'!T38-'BS"0"'!U38+'BS"0"'!T39-'BS"0"'!U39+'BS"0"'!T40-'BS"0"'!U40+'BS"0"'!T42-'BS"0"'!U42</f>
        <v>19007.490212339908</v>
      </c>
      <c r="U15" s="92">
        <f>'BS"0"'!U28-'BS"0"'!V28+'BS"0"'!U31-'BS"0"'!V31+'BS"0"'!U32-'BS"0"'!V32+'BS"0"'!U34-'BS"0"'!V34+'BS"0"'!U37-'BS"0"'!V37+'BS"0"'!U38-'BS"0"'!V38+'BS"0"'!U39-'BS"0"'!V39+'BS"0"'!U40-'BS"0"'!V40+'BS"0"'!U42-'BS"0"'!V42</f>
        <v>31641.969790667295</v>
      </c>
      <c r="V15" s="92">
        <f>'BS"0"'!V28-'BS"0"'!W28+'BS"0"'!V31-'BS"0"'!W31+'BS"0"'!V32-'BS"0"'!W32+'BS"0"'!V34-'BS"0"'!W34+'BS"0"'!V37-'BS"0"'!W37+'BS"0"'!V38-'BS"0"'!W38+'BS"0"'!V39-'BS"0"'!W39+'BS"0"'!V40-'BS"0"'!W40+'BS"0"'!V42-'BS"0"'!W42</f>
        <v>-2419.0076711848378</v>
      </c>
      <c r="W15" s="92">
        <f>'BS"0"'!W28-'BS"0"'!X28+'BS"0"'!W31-'BS"0"'!X31+'BS"0"'!W32-'BS"0"'!X32+'BS"0"'!W34-'BS"0"'!X34+'BS"0"'!W37-'BS"0"'!X37+'BS"0"'!W38-'BS"0"'!X38+'BS"0"'!W39-'BS"0"'!X39+'BS"0"'!W40-'BS"0"'!X40+'BS"0"'!W42-'BS"0"'!X42</f>
        <v>-2419.0076711811125</v>
      </c>
      <c r="X15" s="92">
        <f>'BS"0"'!X28-'BS"0"'!Y28+'BS"0"'!X31-'BS"0"'!Y31+'BS"0"'!X32-'BS"0"'!Y32+'BS"0"'!X34-'BS"0"'!Y34+'BS"0"'!X37-'BS"0"'!Y37+'BS"0"'!X38-'BS"0"'!Y38+'BS"0"'!X39-'BS"0"'!Y39+'BS"0"'!X40-'BS"0"'!Y40+'BS"0"'!X42-'BS"0"'!Y42</f>
        <v>-2419.0076711848378</v>
      </c>
      <c r="Y15" s="92">
        <f>'BS"0"'!Y28-'BS"0"'!Z28+'BS"0"'!Y31-'BS"0"'!Z31+'BS"0"'!Y32-'BS"0"'!Z32+'BS"0"'!Y34-'BS"0"'!Z34+'BS"0"'!Y37-'BS"0"'!Z37+'BS"0"'!Y38-'BS"0"'!Z38+'BS"0"'!Y39-'BS"0"'!Z39+'BS"0"'!Y40-'BS"0"'!Z40+'BS"0"'!Y42-'BS"0"'!Z42</f>
        <v>-2419.0076711848378</v>
      </c>
      <c r="Z15" s="92">
        <f>'BS"0"'!Z28-'BS"0"'!AA28+'BS"0"'!Z31-'BS"0"'!AA31+'BS"0"'!Z32-'BS"0"'!AA32+'BS"0"'!Z34-'BS"0"'!AA34+'BS"0"'!Z37-'BS"0"'!AA37+'BS"0"'!Z38-'BS"0"'!AA38+'BS"0"'!Z39-'BS"0"'!AA39+'BS"0"'!Z40-'BS"0"'!AA40+'BS"0"'!Z42-'BS"0"'!AA42</f>
        <v>-2419.0076711811125</v>
      </c>
      <c r="AA15" s="92">
        <f>'BS"0"'!AA28-'BS"0"'!AB28+'BS"0"'!AA31-'BS"0"'!AB31+'BS"0"'!AA32-'BS"0"'!AB32+'BS"0"'!AA34-'BS"0"'!AB34+'BS"0"'!AA37-'BS"0"'!AB37+'BS"0"'!AA38-'BS"0"'!AB38+'BS"0"'!AA39-'BS"0"'!AB39+'BS"0"'!AA40-'BS"0"'!AB40+'BS"0"'!AA42-'BS"0"'!AB42</f>
        <v>-2419.0076711811125</v>
      </c>
      <c r="AB15" s="92">
        <f>'BS"0"'!AB28-'BS"0"'!AC28+'BS"0"'!AB31-'BS"0"'!AC31+'BS"0"'!AB32-'BS"0"'!AC32+'BS"0"'!AB34-'BS"0"'!AC34+'BS"0"'!AB37-'BS"0"'!AC37+'BS"0"'!AB38-'BS"0"'!AC38+'BS"0"'!AB39-'BS"0"'!AC39+'BS"0"'!AB40-'BS"0"'!AC40+'BS"0"'!AB42-'BS"0"'!AC42</f>
        <v>-2419.0076711848378</v>
      </c>
    </row>
    <row r="16" spans="1:28" ht="13">
      <c r="B16" s="130" t="s">
        <v>190</v>
      </c>
      <c r="C16" s="98">
        <f>+'BS"0"'!D72-'BS"0"'!C72+'BS"0"'!D75-'BS"0"'!C75+'BS"0"'!D76-'BS"0"'!C76+'BS"0"'!D77-'BS"0"'!C77+'BS"0"'!D83-'BS"0"'!C83</f>
        <v>20241662.919999991</v>
      </c>
      <c r="D16" s="98">
        <f>+'BS"0"'!E72-'BS"0"'!D72+'BS"0"'!E75-'BS"0"'!D75+'BS"0"'!E76-'BS"0"'!D76+'BS"0"'!E77-'BS"0"'!D77+'BS"0"'!E83-'BS"0"'!D83</f>
        <v>-5369798.5199999902</v>
      </c>
      <c r="E16" s="98">
        <f>+'BS"0"'!F72-'BS"0"'!E72+'BS"0"'!F75-'BS"0"'!E75+'BS"0"'!F76-'BS"0"'!E76+'BS"0"'!F77-'BS"0"'!E77+'BS"0"'!F83-'BS"0"'!E83</f>
        <v>-14965978.340000005</v>
      </c>
      <c r="F16" s="98">
        <f>+'BS"0"'!G72-'BS"0"'!F72+'BS"0"'!G75-'BS"0"'!F75+'BS"0"'!G76-'BS"0"'!F76+'BS"0"'!G77-'BS"0"'!F77+'BS"0"'!G83-'BS"0"'!F83</f>
        <v>10868143.129999997</v>
      </c>
      <c r="G16" s="152">
        <f>+'BS"0"'!H72-'BS"0"'!G72+'BS"0"'!H75-'BS"0"'!G75+'BS"0"'!H76-'BS"0"'!G76+'BS"0"'!H77-'BS"0"'!G77+'BS"0"'!H83-'BS"0"'!G83</f>
        <v>23214126.219999991</v>
      </c>
      <c r="H16" s="92">
        <f>+'BS"0"'!I72-'BS"0"'!H72+'BS"0"'!I75-'BS"0"'!H75+'BS"0"'!I76-'BS"0"'!H76+'BS"0"'!I77-'BS"0"'!H77+'BS"0"'!I83-'BS"0"'!H83</f>
        <v>3558159.2466702238</v>
      </c>
      <c r="I16" s="92">
        <f>+'BS"0"'!J72-'BS"0"'!I72+'BS"0"'!J75-'BS"0"'!I75+'BS"0"'!J76-'BS"0"'!I76+'BS"0"'!J77-'BS"0"'!I77+'BS"0"'!J83-'BS"0"'!I83</f>
        <v>-442480.93880230188</v>
      </c>
      <c r="J16" s="92">
        <f>+'BS"0"'!K72-'BS"0"'!J72+'BS"0"'!K75-'BS"0"'!J75+'BS"0"'!K76-'BS"0"'!J76+'BS"0"'!K77-'BS"0"'!J77+'BS"0"'!K83-'BS"0"'!J83</f>
        <v>227342.90517984331</v>
      </c>
      <c r="K16" s="92">
        <f>+'BS"0"'!L72-'BS"0"'!K72+'BS"0"'!L75-'BS"0"'!K75+'BS"0"'!L76-'BS"0"'!K76+'BS"0"'!L77-'BS"0"'!K77+'BS"0"'!L83-'BS"0"'!K83</f>
        <v>644975.62803593278</v>
      </c>
      <c r="L16" s="92">
        <f>+'BS"0"'!M72-'BS"0"'!L72+'BS"0"'!M75-'BS"0"'!L75+'BS"0"'!M76-'BS"0"'!L76+'BS"0"'!M77-'BS"0"'!L77+'BS"0"'!M83-'BS"0"'!L83</f>
        <v>1021181.4630472511</v>
      </c>
      <c r="M16" s="92">
        <f>+'BS"0"'!N72-'BS"0"'!M72+'BS"0"'!N75-'BS"0"'!M75+'BS"0"'!N76-'BS"0"'!M76+'BS"0"'!N77-'BS"0"'!M77+'BS"0"'!N83-'BS"0"'!M83</f>
        <v>-2443956.1036668345</v>
      </c>
      <c r="N16" s="92">
        <f>+'BS"0"'!O72-'BS"0"'!N72+'BS"0"'!O75-'BS"0"'!N75+'BS"0"'!O76-'BS"0"'!N76+'BS"0"'!O77-'BS"0"'!N77+'BS"0"'!O83-'BS"0"'!N83</f>
        <v>-1986455.9157821685</v>
      </c>
      <c r="O16" s="92">
        <f>+'BS"0"'!P72-'BS"0"'!O72+'BS"0"'!P75-'BS"0"'!O75+'BS"0"'!P76-'BS"0"'!O76+'BS"0"'!P77-'BS"0"'!O77+'BS"0"'!P83-'BS"0"'!O83</f>
        <v>-676670.63540259004</v>
      </c>
      <c r="P16" s="92">
        <f>+'BS"0"'!Q72-'BS"0"'!P72+'BS"0"'!Q75-'BS"0"'!P75+'BS"0"'!Q76-'BS"0"'!P76+'BS"0"'!Q77-'BS"0"'!P77+'BS"0"'!Q83-'BS"0"'!P83</f>
        <v>619408.07460916787</v>
      </c>
      <c r="Q16" s="92">
        <f>+'BS"0"'!R72-'BS"0"'!Q72+'BS"0"'!R75-'BS"0"'!Q75+'BS"0"'!R76-'BS"0"'!Q76+'BS"0"'!R77-'BS"0"'!Q77+'BS"0"'!R83-'BS"0"'!Q83</f>
        <v>581760.26921155304</v>
      </c>
      <c r="R16" s="92">
        <f>+'BS"0"'!S72-'BS"0"'!R72+'BS"0"'!S75-'BS"0"'!R75+'BS"0"'!S76-'BS"0"'!R76+'BS"0"'!S77-'BS"0"'!R77+'BS"0"'!S83-'BS"0"'!R83</f>
        <v>617152.7338848412</v>
      </c>
      <c r="S16" s="92">
        <f>+'BS"0"'!T72-'BS"0"'!S72+'BS"0"'!T75-'BS"0"'!S75+'BS"0"'!T76-'BS"0"'!S76+'BS"0"'!T77-'BS"0"'!S77+'BS"0"'!T83-'BS"0"'!S83</f>
        <v>10758.697410300374</v>
      </c>
      <c r="T16" s="92">
        <f>+'BS"0"'!U72-'BS"0"'!T72+'BS"0"'!U75-'BS"0"'!T75+'BS"0"'!U76-'BS"0"'!T76+'BS"0"'!U77-'BS"0"'!T77+'BS"0"'!U83-'BS"0"'!T83</f>
        <v>81383.563211321831</v>
      </c>
      <c r="U16" s="92">
        <f>+'BS"0"'!V72-'BS"0"'!U72+'BS"0"'!V75-'BS"0"'!U75+'BS"0"'!V76-'BS"0"'!U76+'BS"0"'!V77-'BS"0"'!U77+'BS"0"'!V83-'BS"0"'!U83</f>
        <v>32963.77806584537</v>
      </c>
      <c r="V16" s="92">
        <f>+'BS"0"'!W72-'BS"0"'!V72+'BS"0"'!W75-'BS"0"'!V75+'BS"0"'!W76-'BS"0"'!V76+'BS"0"'!W77-'BS"0"'!V77+'BS"0"'!W83-'BS"0"'!V83</f>
        <v>203495.48218867928</v>
      </c>
      <c r="W16" s="92">
        <f>+'BS"0"'!X72-'BS"0"'!W72+'BS"0"'!X75-'BS"0"'!W75+'BS"0"'!X76-'BS"0"'!W76+'BS"0"'!X77-'BS"0"'!W77+'BS"0"'!X83-'BS"0"'!W83</f>
        <v>207713.92316910625</v>
      </c>
      <c r="X16" s="92">
        <f>+'BS"0"'!Y72-'BS"0"'!X72+'BS"0"'!Y75-'BS"0"'!X75+'BS"0"'!Y76-'BS"0"'!X76+'BS"0"'!Y77-'BS"0"'!X77+'BS"0"'!Y83-'BS"0"'!X83</f>
        <v>212026.66533982009</v>
      </c>
      <c r="Y16" s="92">
        <f>+'BS"0"'!Z72-'BS"0"'!Y72+'BS"0"'!Z75-'BS"0"'!Y75+'BS"0"'!Z76-'BS"0"'!Y76+'BS"0"'!Z77-'BS"0"'!Y77+'BS"0"'!Z83-'BS"0"'!Y83</f>
        <v>216435.84303386509</v>
      </c>
      <c r="Z16" s="92">
        <f>+'BS"0"'!AA72-'BS"0"'!Z72+'BS"0"'!AA75-'BS"0"'!Z75+'BS"0"'!AA76-'BS"0"'!Z76+'BS"0"'!AA77-'BS"0"'!Z77+'BS"0"'!AA83-'BS"0"'!Z83</f>
        <v>220943.63947865367</v>
      </c>
      <c r="AA16" s="92">
        <f>+'BS"0"'!AB72-'BS"0"'!AA72+'BS"0"'!AB75-'BS"0"'!AA75+'BS"0"'!AB76-'BS"0"'!AA76+'BS"0"'!AB77-'BS"0"'!AA77+'BS"0"'!AB83-'BS"0"'!AA83</f>
        <v>225552.28792921454</v>
      </c>
      <c r="AB16" s="92">
        <f>+'BS"0"'!AC72-'BS"0"'!AB72+'BS"0"'!AC75-'BS"0"'!AB75+'BS"0"'!AC76-'BS"0"'!AB76+'BS"0"'!AC77-'BS"0"'!AB77+'BS"0"'!AC83-'BS"0"'!AB83</f>
        <v>230264.07282756269</v>
      </c>
    </row>
    <row r="17" spans="2:28" ht="13">
      <c r="B17" s="130" t="s">
        <v>191</v>
      </c>
      <c r="C17" s="98">
        <f>'BS"0"'!C23-'BS"0"'!D23</f>
        <v>239593.69999999995</v>
      </c>
      <c r="D17" s="98">
        <f>'BS"0"'!D23-'BS"0"'!E23</f>
        <v>-255871.52000000002</v>
      </c>
      <c r="E17" s="98">
        <f>'BS"0"'!E23-'BS"0"'!F23</f>
        <v>-651784.46</v>
      </c>
      <c r="F17" s="98">
        <f>'BS"0"'!F23-'BS"0"'!G23</f>
        <v>-1891671.46</v>
      </c>
      <c r="G17" s="152">
        <f>'BS"0"'!G23-'BS"0"'!H23</f>
        <v>-2340056.9900000007</v>
      </c>
      <c r="H17" s="92">
        <f>'BS"0"'!H23-'BS"0"'!I23</f>
        <v>-337265.62301873229</v>
      </c>
      <c r="I17" s="92">
        <f>'BS"0"'!I23-'BS"0"'!J23</f>
        <v>63296.844592691399</v>
      </c>
      <c r="J17" s="92">
        <f>'BS"0"'!J23-'BS"0"'!K23</f>
        <v>-6044.9290619874373</v>
      </c>
      <c r="K17" s="92">
        <f>'BS"0"'!K23-'BS"0"'!L23</f>
        <v>-7329.5402450039983</v>
      </c>
      <c r="L17" s="92">
        <f>'BS"0"'!L23-'BS"0"'!M23</f>
        <v>-32173.154469067231</v>
      </c>
      <c r="M17" s="92">
        <f>'BS"0"'!M23-'BS"0"'!N23</f>
        <v>204195.489401998</v>
      </c>
      <c r="N17" s="92">
        <f>'BS"0"'!N23-'BS"0"'!O23</f>
        <v>172263.080466846</v>
      </c>
      <c r="O17" s="92">
        <f>'BS"0"'!O23-'BS"0"'!P23</f>
        <v>83355.735688040964</v>
      </c>
      <c r="P17" s="92">
        <f>'BS"0"'!P23-'BS"0"'!Q23</f>
        <v>-3451.2369991159067</v>
      </c>
      <c r="Q17" s="92">
        <f>'BS"0"'!Q23-'BS"0"'!R23</f>
        <v>-103.86606583744287</v>
      </c>
      <c r="R17" s="92">
        <f>'BS"0"'!R23-'BS"0"'!S23</f>
        <v>-1628.7761252969503</v>
      </c>
      <c r="S17" s="92">
        <f>'BS"0"'!S23-'BS"0"'!T23</f>
        <v>820.31342191621661</v>
      </c>
      <c r="T17" s="92">
        <f>'BS"0"'!T23-'BS"0"'!U23</f>
        <v>5458.384128109552</v>
      </c>
      <c r="U17" s="92">
        <f>'BS"0"'!U23-'BS"0"'!V23</f>
        <v>9086.6297316486016</v>
      </c>
      <c r="V17" s="92">
        <f>'BS"0"'!V23-'BS"0"'!W23</f>
        <v>-694.66683558188379</v>
      </c>
      <c r="W17" s="92">
        <f>'BS"0"'!W23-'BS"0"'!X23</f>
        <v>-694.66683558188379</v>
      </c>
      <c r="X17" s="92">
        <f>'BS"0"'!X23-'BS"0"'!Y23</f>
        <v>-694.66683558281511</v>
      </c>
      <c r="Y17" s="92">
        <f>'BS"0"'!Y23-'BS"0"'!Z23</f>
        <v>-694.66683558188379</v>
      </c>
      <c r="Z17" s="92">
        <f>'BS"0"'!Z23-'BS"0"'!AA23</f>
        <v>-694.66683558188379</v>
      </c>
      <c r="AA17" s="92">
        <f>'BS"0"'!AA23-'BS"0"'!AB23</f>
        <v>-694.66683558095247</v>
      </c>
      <c r="AB17" s="92">
        <f>'BS"0"'!AB23-'BS"0"'!AC23</f>
        <v>-694.66683558188379</v>
      </c>
    </row>
    <row r="18" spans="2:28" ht="12">
      <c r="B18" s="127" t="s">
        <v>192</v>
      </c>
      <c r="C18" s="128">
        <f t="shared" ref="C18:E18" si="12">+SUM(C19:C22)</f>
        <v>-111978.68000000001</v>
      </c>
      <c r="D18" s="128">
        <f t="shared" si="12"/>
        <v>-113580.06000000001</v>
      </c>
      <c r="E18" s="128">
        <f t="shared" si="12"/>
        <v>-175276.25</v>
      </c>
      <c r="F18" s="128">
        <f t="shared" ref="F18" si="13">+SUM(F19:F22)</f>
        <v>-115661.05</v>
      </c>
      <c r="G18" s="159">
        <f t="shared" ref="G18:L18" si="14">+SUM(G19:G22)</f>
        <v>-167938.71</v>
      </c>
      <c r="H18" s="129">
        <f t="shared" si="14"/>
        <v>-117128.3567</v>
      </c>
      <c r="I18" s="129">
        <f t="shared" si="14"/>
        <v>-117128.3567</v>
      </c>
      <c r="J18" s="129">
        <f t="shared" si="14"/>
        <v>-117128.3567</v>
      </c>
      <c r="K18" s="129">
        <f t="shared" si="14"/>
        <v>-117128.3567</v>
      </c>
      <c r="L18" s="129">
        <f t="shared" si="14"/>
        <v>-117128.3567</v>
      </c>
      <c r="M18" s="129">
        <f t="shared" ref="M18:Q18" si="15">+SUM(M19:M22)</f>
        <v>-117128.3567</v>
      </c>
      <c r="N18" s="129">
        <f t="shared" si="15"/>
        <v>-117128.3567</v>
      </c>
      <c r="O18" s="129">
        <f t="shared" si="15"/>
        <v>-117128.3567</v>
      </c>
      <c r="P18" s="129">
        <f t="shared" si="15"/>
        <v>-117128.3567</v>
      </c>
      <c r="Q18" s="129">
        <f t="shared" si="15"/>
        <v>-117128.3567</v>
      </c>
      <c r="R18" s="129">
        <f t="shared" ref="R18:U18" si="16">+SUM(R19:R22)</f>
        <v>-117128.3567</v>
      </c>
      <c r="S18" s="129">
        <f t="shared" si="16"/>
        <v>-117128.3567</v>
      </c>
      <c r="T18" s="129">
        <f t="shared" si="16"/>
        <v>-117128.3567</v>
      </c>
      <c r="U18" s="129">
        <f t="shared" si="16"/>
        <v>-117128.3567</v>
      </c>
      <c r="V18" s="129">
        <f t="shared" ref="V18:AB18" si="17">+SUM(V19:V22)</f>
        <v>-117128.3567</v>
      </c>
      <c r="W18" s="129">
        <f t="shared" si="17"/>
        <v>-117128.3567</v>
      </c>
      <c r="X18" s="129">
        <f t="shared" si="17"/>
        <v>-117128.3567</v>
      </c>
      <c r="Y18" s="129">
        <f t="shared" si="17"/>
        <v>-117128.3567</v>
      </c>
      <c r="Z18" s="129">
        <f t="shared" si="17"/>
        <v>-117128.3567</v>
      </c>
      <c r="AA18" s="129">
        <f t="shared" si="17"/>
        <v>-117128.3567</v>
      </c>
      <c r="AB18" s="129">
        <f t="shared" si="17"/>
        <v>-117128.3567</v>
      </c>
    </row>
    <row r="19" spans="2:28" ht="13">
      <c r="B19" s="130" t="s">
        <v>193</v>
      </c>
      <c r="C19" s="98">
        <f>-'PL"0"'!D40-'PL"0"'!D42</f>
        <v>-104119.42</v>
      </c>
      <c r="D19" s="98">
        <f>-'PL"0"'!E40-'PL"0"'!E42</f>
        <v>-105916.24</v>
      </c>
      <c r="E19" s="98">
        <f>-'PL"0"'!F40-'PL"0"'!F42</f>
        <v>-109929.74</v>
      </c>
      <c r="F19" s="98">
        <f>-'PL"0"'!G40-'PL"0"'!G42</f>
        <v>-114814.56</v>
      </c>
      <c r="G19" s="152">
        <f>-'PL"0"'!H40-'PL"0"'!H42</f>
        <v>-116020.66</v>
      </c>
      <c r="H19" s="92">
        <f>-'PL"0"'!I40-'PL"0"'!I42</f>
        <v>-117128.3567</v>
      </c>
      <c r="I19" s="92">
        <f>-'PL"0"'!J40-'PL"0"'!J42</f>
        <v>-117128.3567</v>
      </c>
      <c r="J19" s="92">
        <f>-'PL"0"'!K40-'PL"0"'!K42</f>
        <v>-117128.3567</v>
      </c>
      <c r="K19" s="92">
        <f>-'PL"0"'!L40-'PL"0"'!L42</f>
        <v>-117128.3567</v>
      </c>
      <c r="L19" s="92">
        <f>-'PL"0"'!M40-'PL"0"'!M42</f>
        <v>-117128.3567</v>
      </c>
      <c r="M19" s="92">
        <f>-'PL"0"'!N40-'PL"0"'!N42</f>
        <v>-117128.3567</v>
      </c>
      <c r="N19" s="92">
        <f>-'PL"0"'!O40-'PL"0"'!O42</f>
        <v>-117128.3567</v>
      </c>
      <c r="O19" s="92">
        <f>-'PL"0"'!P40-'PL"0"'!P42</f>
        <v>-117128.3567</v>
      </c>
      <c r="P19" s="92">
        <f>-'PL"0"'!Q40-'PL"0"'!Q42</f>
        <v>-117128.3567</v>
      </c>
      <c r="Q19" s="92">
        <f>-'PL"0"'!R40-'PL"0"'!R42</f>
        <v>-117128.3567</v>
      </c>
      <c r="R19" s="92">
        <f>-'PL"0"'!S40-'PL"0"'!S42</f>
        <v>-117128.3567</v>
      </c>
      <c r="S19" s="92">
        <f>-'PL"0"'!T40-'PL"0"'!T42</f>
        <v>-117128.3567</v>
      </c>
      <c r="T19" s="92">
        <f>-'PL"0"'!U40-'PL"0"'!U42</f>
        <v>-117128.3567</v>
      </c>
      <c r="U19" s="92">
        <f>-'PL"0"'!V40-'PL"0"'!V42</f>
        <v>-117128.3567</v>
      </c>
      <c r="V19" s="92">
        <f>-'PL"0"'!W40-'PL"0"'!W42</f>
        <v>-117128.3567</v>
      </c>
      <c r="W19" s="92">
        <f>-'PL"0"'!X40-'PL"0"'!X42</f>
        <v>-117128.3567</v>
      </c>
      <c r="X19" s="92">
        <f>-'PL"0"'!Y40-'PL"0"'!Y42</f>
        <v>-117128.3567</v>
      </c>
      <c r="Y19" s="92">
        <f>-'PL"0"'!Z40-'PL"0"'!Z42</f>
        <v>-117128.3567</v>
      </c>
      <c r="Z19" s="92">
        <f>-'PL"0"'!AA40-'PL"0"'!AA42</f>
        <v>-117128.3567</v>
      </c>
      <c r="AA19" s="92">
        <f>-'PL"0"'!AB40-'PL"0"'!AB42</f>
        <v>-117128.3567</v>
      </c>
      <c r="AB19" s="92">
        <f>-'PL"0"'!AC40-'PL"0"'!AC42</f>
        <v>-117128.3567</v>
      </c>
    </row>
    <row r="20" spans="2:28" ht="13">
      <c r="B20" s="130" t="s">
        <v>194</v>
      </c>
      <c r="C20" s="98">
        <f>'PL"0"'!D39+'PL"0"'!D41</f>
        <v>361.68</v>
      </c>
      <c r="D20" s="98">
        <f>'PL"0"'!E39+'PL"0"'!E41</f>
        <v>478.89</v>
      </c>
      <c r="E20" s="98">
        <f>'PL"0"'!F39+'PL"0"'!F41</f>
        <v>437.84</v>
      </c>
      <c r="F20" s="98">
        <f>'PL"0"'!G39+'PL"0"'!G41</f>
        <v>730.83999999999992</v>
      </c>
      <c r="G20" s="152">
        <f>'PL"0"'!H39+'PL"0"'!H41</f>
        <v>1435.4699999999998</v>
      </c>
      <c r="H20" s="92">
        <f>'PL"0"'!I39+'PL"0"'!I41</f>
        <v>0</v>
      </c>
      <c r="I20" s="92">
        <f>'PL"0"'!J39+'PL"0"'!J41</f>
        <v>0</v>
      </c>
      <c r="J20" s="92">
        <f>'PL"0"'!K39+'PL"0"'!K41</f>
        <v>0</v>
      </c>
      <c r="K20" s="92">
        <f>'PL"0"'!L39+'PL"0"'!L41</f>
        <v>0</v>
      </c>
      <c r="L20" s="92">
        <f>'PL"0"'!M39+'PL"0"'!M41</f>
        <v>0</v>
      </c>
      <c r="M20" s="92">
        <f>'PL"0"'!N39+'PL"0"'!N41</f>
        <v>0</v>
      </c>
      <c r="N20" s="92">
        <f>'PL"0"'!O39+'PL"0"'!O41</f>
        <v>0</v>
      </c>
      <c r="O20" s="92">
        <f>'PL"0"'!P39+'PL"0"'!P41</f>
        <v>0</v>
      </c>
      <c r="P20" s="92">
        <f>'PL"0"'!Q39+'PL"0"'!Q41</f>
        <v>0</v>
      </c>
      <c r="Q20" s="92">
        <f>'PL"0"'!R39+'PL"0"'!R41</f>
        <v>0</v>
      </c>
      <c r="R20" s="92">
        <f>'PL"0"'!S39+'PL"0"'!S41</f>
        <v>0</v>
      </c>
      <c r="S20" s="92">
        <f>'PL"0"'!T39+'PL"0"'!T41</f>
        <v>0</v>
      </c>
      <c r="T20" s="92">
        <f>'PL"0"'!U39+'PL"0"'!U41</f>
        <v>0</v>
      </c>
      <c r="U20" s="92">
        <f>'PL"0"'!V39+'PL"0"'!V41</f>
        <v>0</v>
      </c>
      <c r="V20" s="92">
        <f>'PL"0"'!W39+'PL"0"'!W41</f>
        <v>0</v>
      </c>
      <c r="W20" s="92">
        <f>'PL"0"'!X39+'PL"0"'!X41</f>
        <v>0</v>
      </c>
      <c r="X20" s="92">
        <f>'PL"0"'!Y39+'PL"0"'!Y41</f>
        <v>0</v>
      </c>
      <c r="Y20" s="92">
        <f>'PL"0"'!Z39+'PL"0"'!Z41</f>
        <v>0</v>
      </c>
      <c r="Z20" s="92">
        <f>'PL"0"'!AA39+'PL"0"'!AA41</f>
        <v>0</v>
      </c>
      <c r="AA20" s="92">
        <f>'PL"0"'!AB39+'PL"0"'!AB41</f>
        <v>0</v>
      </c>
      <c r="AB20" s="92">
        <f>'PL"0"'!AC39+'PL"0"'!AC41</f>
        <v>0</v>
      </c>
    </row>
    <row r="21" spans="2:28" ht="13">
      <c r="B21" s="130" t="s">
        <v>195</v>
      </c>
      <c r="C21" s="98">
        <f>-'PL"0"'!D44-'PL"0"'!D50</f>
        <v>-8220.94</v>
      </c>
      <c r="D21" s="98">
        <f>-'PL"0"'!E44-'PL"0"'!E50</f>
        <v>-8142.71</v>
      </c>
      <c r="E21" s="98">
        <f>-'PL"0"'!F44-'PL"0"'!F50</f>
        <v>-65784.350000000006</v>
      </c>
      <c r="F21" s="98">
        <f>-'PL"0"'!G44-'PL"0"'!G50</f>
        <v>-1577.33</v>
      </c>
      <c r="G21" s="152">
        <f>-'PL"0"'!H44-'PL"0"'!H50</f>
        <v>-53353.52</v>
      </c>
      <c r="H21" s="92">
        <f>-'PL"0"'!I44-'PL"0"'!I50</f>
        <v>0</v>
      </c>
      <c r="I21" s="92">
        <f>-'PL"0"'!J44-'PL"0"'!J50</f>
        <v>0</v>
      </c>
      <c r="J21" s="92">
        <f>-'PL"0"'!K44-'PL"0"'!K50</f>
        <v>0</v>
      </c>
      <c r="K21" s="92">
        <f>-'PL"0"'!L44-'PL"0"'!L50</f>
        <v>0</v>
      </c>
      <c r="L21" s="92">
        <f>-'PL"0"'!M44-'PL"0"'!M50</f>
        <v>0</v>
      </c>
      <c r="M21" s="92">
        <f>-'PL"0"'!N44-'PL"0"'!N50</f>
        <v>0</v>
      </c>
      <c r="N21" s="92">
        <f>-'PL"0"'!O44-'PL"0"'!O50</f>
        <v>0</v>
      </c>
      <c r="O21" s="92">
        <f>-'PL"0"'!P44-'PL"0"'!P50</f>
        <v>0</v>
      </c>
      <c r="P21" s="92">
        <f>-'PL"0"'!Q44-'PL"0"'!Q50</f>
        <v>0</v>
      </c>
      <c r="Q21" s="92">
        <f>-'PL"0"'!R44-'PL"0"'!R50</f>
        <v>0</v>
      </c>
      <c r="R21" s="92">
        <f>-'PL"0"'!S44-'PL"0"'!S50</f>
        <v>0</v>
      </c>
      <c r="S21" s="92">
        <f>-'PL"0"'!T44-'PL"0"'!T50</f>
        <v>0</v>
      </c>
      <c r="T21" s="92">
        <f>-'PL"0"'!U44-'PL"0"'!U50</f>
        <v>0</v>
      </c>
      <c r="U21" s="92">
        <f>-'PL"0"'!V44-'PL"0"'!V50</f>
        <v>0</v>
      </c>
      <c r="V21" s="92">
        <f>-'PL"0"'!W44-'PL"0"'!W50</f>
        <v>0</v>
      </c>
      <c r="W21" s="92">
        <f>-'PL"0"'!X44-'PL"0"'!X50</f>
        <v>0</v>
      </c>
      <c r="X21" s="92">
        <f>-'PL"0"'!Y44-'PL"0"'!Y50</f>
        <v>0</v>
      </c>
      <c r="Y21" s="92">
        <f>-'PL"0"'!Z44-'PL"0"'!Z50</f>
        <v>0</v>
      </c>
      <c r="Z21" s="92">
        <f>-'PL"0"'!AA44-'PL"0"'!AA50</f>
        <v>0</v>
      </c>
      <c r="AA21" s="92">
        <f>-'PL"0"'!AB44-'PL"0"'!AB50</f>
        <v>0</v>
      </c>
      <c r="AB21" s="92">
        <f>-'PL"0"'!AC44-'PL"0"'!AC50</f>
        <v>0</v>
      </c>
    </row>
    <row r="22" spans="2:28" ht="13">
      <c r="B22" s="130" t="s">
        <v>161</v>
      </c>
      <c r="C22" s="98">
        <f>+'PL"0"'!D38</f>
        <v>0</v>
      </c>
      <c r="D22" s="98">
        <f>+'PL"0"'!E38</f>
        <v>0</v>
      </c>
      <c r="E22" s="98">
        <f>+'PL"0"'!F38</f>
        <v>0</v>
      </c>
      <c r="F22" s="98">
        <f>+'PL"0"'!G38</f>
        <v>0</v>
      </c>
      <c r="G22" s="152">
        <f>+'PL"0"'!H38</f>
        <v>0</v>
      </c>
      <c r="H22" s="92">
        <f>+'PL"0"'!I38</f>
        <v>0</v>
      </c>
      <c r="I22" s="92">
        <f>+'PL"0"'!J38</f>
        <v>0</v>
      </c>
      <c r="J22" s="92">
        <f>+'PL"0"'!K38</f>
        <v>0</v>
      </c>
      <c r="K22" s="92">
        <f>+'PL"0"'!L38</f>
        <v>0</v>
      </c>
      <c r="L22" s="92">
        <f>+'PL"0"'!M38</f>
        <v>0</v>
      </c>
      <c r="M22" s="92">
        <f>+'PL"0"'!N38</f>
        <v>0</v>
      </c>
      <c r="N22" s="92">
        <f>+'PL"0"'!O38</f>
        <v>0</v>
      </c>
      <c r="O22" s="92">
        <f>+'PL"0"'!P38</f>
        <v>0</v>
      </c>
      <c r="P22" s="92">
        <f>+'PL"0"'!Q38</f>
        <v>0</v>
      </c>
      <c r="Q22" s="92">
        <f>+'PL"0"'!R38</f>
        <v>0</v>
      </c>
      <c r="R22" s="92">
        <f>+'PL"0"'!S38</f>
        <v>0</v>
      </c>
      <c r="S22" s="92">
        <f>+'PL"0"'!T38</f>
        <v>0</v>
      </c>
      <c r="T22" s="92">
        <f>+'PL"0"'!U38</f>
        <v>0</v>
      </c>
      <c r="U22" s="92">
        <f>+'PL"0"'!V38</f>
        <v>0</v>
      </c>
      <c r="V22" s="92">
        <f>+'PL"0"'!W38</f>
        <v>0</v>
      </c>
      <c r="W22" s="92">
        <f>+'PL"0"'!X38</f>
        <v>0</v>
      </c>
      <c r="X22" s="92">
        <f>+'PL"0"'!Y38</f>
        <v>0</v>
      </c>
      <c r="Y22" s="92">
        <f>+'PL"0"'!Z38</f>
        <v>0</v>
      </c>
      <c r="Z22" s="92">
        <f>+'PL"0"'!AA38</f>
        <v>0</v>
      </c>
      <c r="AA22" s="92">
        <f>+'PL"0"'!AB38</f>
        <v>0</v>
      </c>
      <c r="AB22" s="92">
        <f>+'PL"0"'!AC38</f>
        <v>0</v>
      </c>
    </row>
    <row r="23" spans="2:28" ht="12">
      <c r="B23" s="127" t="s">
        <v>196</v>
      </c>
      <c r="C23" s="128">
        <f t="shared" ref="C23:E23" si="18">C24+C25+C26</f>
        <v>-2876880.7400000035</v>
      </c>
      <c r="D23" s="128">
        <f t="shared" si="18"/>
        <v>-2372750.089999998</v>
      </c>
      <c r="E23" s="128">
        <f t="shared" si="18"/>
        <v>275781.8300000038</v>
      </c>
      <c r="F23" s="128">
        <f t="shared" ref="F23" si="19">F24+F25+F26</f>
        <v>-4676094.5099999979</v>
      </c>
      <c r="G23" s="159">
        <f t="shared" ref="G23:L23" si="20">G24+G25+G26</f>
        <v>3962804.1499999752</v>
      </c>
      <c r="H23" s="129">
        <f t="shared" si="20"/>
        <v>-12088799.396761749</v>
      </c>
      <c r="I23" s="129">
        <f t="shared" si="20"/>
        <v>-21952786.806290466</v>
      </c>
      <c r="J23" s="129">
        <f t="shared" si="20"/>
        <v>-21972843.227442522</v>
      </c>
      <c r="K23" s="129">
        <f t="shared" si="20"/>
        <v>-21997161.849629313</v>
      </c>
      <c r="L23" s="129">
        <f t="shared" si="20"/>
        <v>-22103908.898139633</v>
      </c>
      <c r="M23" s="129">
        <f t="shared" ref="M23:Q23" si="21">M24+M25+M26</f>
        <v>-21426410.338471331</v>
      </c>
      <c r="N23" s="129">
        <f t="shared" si="21"/>
        <v>-20854860.059657201</v>
      </c>
      <c r="O23" s="129">
        <f t="shared" si="21"/>
        <v>-21271957.260850329</v>
      </c>
      <c r="P23" s="129">
        <f t="shared" si="21"/>
        <v>-21697396.406067342</v>
      </c>
      <c r="Q23" s="129">
        <f t="shared" si="21"/>
        <v>-22131344.334188696</v>
      </c>
      <c r="R23" s="129">
        <f t="shared" ref="R23:U23" si="22">R24+R25+R26</f>
        <v>-22573971.220872484</v>
      </c>
      <c r="S23" s="129">
        <f t="shared" si="22"/>
        <v>-23025450.645289905</v>
      </c>
      <c r="T23" s="129">
        <f t="shared" si="22"/>
        <v>-23485959.6581957</v>
      </c>
      <c r="U23" s="129">
        <f t="shared" si="22"/>
        <v>-23955678.851359621</v>
      </c>
      <c r="V23" s="129">
        <f t="shared" ref="V23:AB23" si="23">V24+V25+V26</f>
        <v>-24434792.428386826</v>
      </c>
      <c r="W23" s="129">
        <f t="shared" si="23"/>
        <v>-24923488.276954584</v>
      </c>
      <c r="X23" s="129">
        <f t="shared" si="23"/>
        <v>-25421958.042493619</v>
      </c>
      <c r="Y23" s="129">
        <f t="shared" si="23"/>
        <v>-25930397.203343533</v>
      </c>
      <c r="Z23" s="129">
        <f t="shared" si="23"/>
        <v>-26449005.147410363</v>
      </c>
      <c r="AA23" s="129">
        <f t="shared" si="23"/>
        <v>-26977985.250358604</v>
      </c>
      <c r="AB23" s="129">
        <f t="shared" si="23"/>
        <v>-27517544.955365777</v>
      </c>
    </row>
    <row r="24" spans="2:28" ht="13">
      <c r="B24" s="130" t="s">
        <v>197</v>
      </c>
      <c r="C24" s="98">
        <f>'BS"0"'!C7-'BS"0"'!D7-'PL"0"'!D23</f>
        <v>-1075747.2300000014</v>
      </c>
      <c r="D24" s="98">
        <f>'BS"0"'!D7-'BS"0"'!E7-'PL"0"'!E23</f>
        <v>-1617001.0599999987</v>
      </c>
      <c r="E24" s="98">
        <f>'BS"0"'!E7-'BS"0"'!F7-'PL"0"'!F23</f>
        <v>-9193587.8300000019</v>
      </c>
      <c r="F24" s="98">
        <f>'BS"0"'!F7-'BS"0"'!G7-'PL"0"'!G23</f>
        <v>-8168920.8399999961</v>
      </c>
      <c r="G24" s="152">
        <f>'BS"0"'!G7-'BS"0"'!H7-'PL"0"'!H23</f>
        <v>-3317821.060000021</v>
      </c>
      <c r="H24" s="92">
        <f>'BS"0"'!H7-'BS"0"'!I7-'PL"0"'!I23</f>
        <v>-12088799.396761749</v>
      </c>
      <c r="I24" s="92">
        <f>'BS"0"'!I7-'BS"0"'!J7-'PL"0"'!J23</f>
        <v>-21952786.806290466</v>
      </c>
      <c r="J24" s="92">
        <f>'BS"0"'!J7-'BS"0"'!K7-'PL"0"'!K23</f>
        <v>-21972843.227442522</v>
      </c>
      <c r="K24" s="92">
        <f>'BS"0"'!K7-'BS"0"'!L7-'PL"0"'!L23</f>
        <v>-21997161.849629313</v>
      </c>
      <c r="L24" s="92">
        <f>'BS"0"'!L7-'BS"0"'!M7-'PL"0"'!M23</f>
        <v>-22103908.898139633</v>
      </c>
      <c r="M24" s="92">
        <f>'BS"0"'!M7-'BS"0"'!N7-'PL"0"'!N23</f>
        <v>-21426410.338471331</v>
      </c>
      <c r="N24" s="92">
        <f>'BS"0"'!N7-'BS"0"'!O7-'PL"0"'!O23</f>
        <v>-20854860.059657201</v>
      </c>
      <c r="O24" s="92">
        <f>'BS"0"'!O7-'BS"0"'!P7-'PL"0"'!P23</f>
        <v>-21271957.260850329</v>
      </c>
      <c r="P24" s="92">
        <f>'BS"0"'!P7-'BS"0"'!Q7-'PL"0"'!Q23</f>
        <v>-21697396.406067342</v>
      </c>
      <c r="Q24" s="92">
        <f>'BS"0"'!Q7-'BS"0"'!R7-'PL"0"'!R23</f>
        <v>-22131344.334188696</v>
      </c>
      <c r="R24" s="92">
        <f>'BS"0"'!R7-'BS"0"'!S7-'PL"0"'!S23</f>
        <v>-22573971.220872484</v>
      </c>
      <c r="S24" s="92">
        <f>'BS"0"'!S7-'BS"0"'!T7-'PL"0"'!T23</f>
        <v>-23025450.645289905</v>
      </c>
      <c r="T24" s="92">
        <f>'BS"0"'!T7-'BS"0"'!U7-'PL"0"'!U23</f>
        <v>-23485959.6581957</v>
      </c>
      <c r="U24" s="92">
        <f>'BS"0"'!U7-'BS"0"'!V7-'PL"0"'!V23</f>
        <v>-23955678.851359621</v>
      </c>
      <c r="V24" s="92">
        <f>'BS"0"'!V7-'BS"0"'!W7-'PL"0"'!W23</f>
        <v>-24434792.428386826</v>
      </c>
      <c r="W24" s="92">
        <f>'BS"0"'!W7-'BS"0"'!X7-'PL"0"'!X23</f>
        <v>-24923488.276954584</v>
      </c>
      <c r="X24" s="92">
        <f>'BS"0"'!X7-'BS"0"'!Y7-'PL"0"'!Y23</f>
        <v>-25421958.042493619</v>
      </c>
      <c r="Y24" s="92">
        <f>'BS"0"'!Y7-'BS"0"'!Z7-'PL"0"'!Z23</f>
        <v>-25930397.203343533</v>
      </c>
      <c r="Z24" s="92">
        <f>'BS"0"'!Z7-'BS"0"'!AA7-'PL"0"'!AA23</f>
        <v>-26449005.147410363</v>
      </c>
      <c r="AA24" s="92">
        <f>'BS"0"'!AA7-'BS"0"'!AB7-'PL"0"'!AB23</f>
        <v>-26977985.250358604</v>
      </c>
      <c r="AB24" s="92">
        <f>'BS"0"'!AB7-'BS"0"'!AC7-'PL"0"'!AC23</f>
        <v>-27517544.955365777</v>
      </c>
    </row>
    <row r="25" spans="2:28" ht="13">
      <c r="B25" s="130" t="s">
        <v>198</v>
      </c>
      <c r="C25" s="98">
        <f>'PL"0"'!D24-'PL"0"'!D27</f>
        <v>2993.8</v>
      </c>
      <c r="D25" s="98">
        <f>'PL"0"'!E24-'PL"0"'!E27</f>
        <v>0</v>
      </c>
      <c r="E25" s="98">
        <f>'PL"0"'!F24-'PL"0"'!F27</f>
        <v>289400</v>
      </c>
      <c r="F25" s="98">
        <f>'PL"0"'!G24-'PL"0"'!G27</f>
        <v>4621.63</v>
      </c>
      <c r="G25" s="152">
        <f>'PL"0"'!H24-'PL"0"'!H27</f>
        <v>0</v>
      </c>
      <c r="H25" s="92">
        <f>'PL"0"'!I24-'PL"0"'!I27</f>
        <v>0</v>
      </c>
      <c r="I25" s="92">
        <f>'PL"0"'!J24-'PL"0"'!J27</f>
        <v>0</v>
      </c>
      <c r="J25" s="92">
        <f>'PL"0"'!K24-'PL"0"'!K27</f>
        <v>0</v>
      </c>
      <c r="K25" s="92">
        <f>'PL"0"'!L24-'PL"0"'!L27</f>
        <v>0</v>
      </c>
      <c r="L25" s="92">
        <f>'PL"0"'!M24-'PL"0"'!M27</f>
        <v>0</v>
      </c>
      <c r="M25" s="92">
        <f>'PL"0"'!N24-'PL"0"'!N27</f>
        <v>0</v>
      </c>
      <c r="N25" s="92">
        <f>'PL"0"'!O24-'PL"0"'!O27</f>
        <v>0</v>
      </c>
      <c r="O25" s="92">
        <f>'PL"0"'!P24-'PL"0"'!P27</f>
        <v>0</v>
      </c>
      <c r="P25" s="92">
        <f>'PL"0"'!Q24-'PL"0"'!Q27</f>
        <v>0</v>
      </c>
      <c r="Q25" s="92">
        <f>'PL"0"'!R24-'PL"0"'!R27</f>
        <v>0</v>
      </c>
      <c r="R25" s="92">
        <f>'PL"0"'!S24-'PL"0"'!S27</f>
        <v>0</v>
      </c>
      <c r="S25" s="92">
        <f>'PL"0"'!T24-'PL"0"'!T27</f>
        <v>0</v>
      </c>
      <c r="T25" s="92">
        <f>'PL"0"'!U24-'PL"0"'!U27</f>
        <v>0</v>
      </c>
      <c r="U25" s="92">
        <f>'PL"0"'!V24-'PL"0"'!V27</f>
        <v>0</v>
      </c>
      <c r="V25" s="92">
        <f>'PL"0"'!W24-'PL"0"'!W27</f>
        <v>0</v>
      </c>
      <c r="W25" s="92">
        <f>'PL"0"'!X24-'PL"0"'!X27</f>
        <v>0</v>
      </c>
      <c r="X25" s="92">
        <f>'PL"0"'!Y24-'PL"0"'!Y27</f>
        <v>0</v>
      </c>
      <c r="Y25" s="92">
        <f>'PL"0"'!Z24-'PL"0"'!Z27</f>
        <v>0</v>
      </c>
      <c r="Z25" s="92">
        <f>'PL"0"'!AA24-'PL"0"'!AA27</f>
        <v>0</v>
      </c>
      <c r="AA25" s="92">
        <f>'PL"0"'!AB24-'PL"0"'!AB27</f>
        <v>0</v>
      </c>
      <c r="AB25" s="92">
        <f>'PL"0"'!AC24-'PL"0"'!AC27</f>
        <v>0</v>
      </c>
    </row>
    <row r="26" spans="2:28" ht="13">
      <c r="B26" s="130" t="s">
        <v>199</v>
      </c>
      <c r="C26" s="98">
        <f>'BS"0"'!C29-'BS"0"'!D29+'BS"0"'!C30-'BS"0"'!D30+'BS"0"'!C35-'BS"0"'!D35+'BS"0"'!C36-'BS"0"'!D36+'BS"0"'!D67-'BS"0"'!C67+'BS"0"'!D68-'BS"0"'!C68+'BS"0"'!D73-'BS"0"'!C73+'BS"0"'!D74-'BS"0"'!C74</f>
        <v>-1804127.3100000022</v>
      </c>
      <c r="D26" s="98">
        <f>'BS"0"'!D29-'BS"0"'!E29+'BS"0"'!D30-'BS"0"'!E30+'BS"0"'!D35-'BS"0"'!E35+'BS"0"'!D36-'BS"0"'!E36+'BS"0"'!E67-'BS"0"'!D67+'BS"0"'!E68-'BS"0"'!D68+'BS"0"'!E73-'BS"0"'!D73+'BS"0"'!E74-'BS"0"'!D74</f>
        <v>-755749.02999999956</v>
      </c>
      <c r="E26" s="98">
        <f>'BS"0"'!E29-'BS"0"'!F29+'BS"0"'!E30-'BS"0"'!F30+'BS"0"'!E35-'BS"0"'!F35+'BS"0"'!E36-'BS"0"'!F36+'BS"0"'!F67-'BS"0"'!E67+'BS"0"'!F68-'BS"0"'!E68+'BS"0"'!F73-'BS"0"'!E73+'BS"0"'!F74-'BS"0"'!E74</f>
        <v>9179969.6600000057</v>
      </c>
      <c r="F26" s="98">
        <f>'BS"0"'!F29-'BS"0"'!G29+'BS"0"'!F30-'BS"0"'!G30+'BS"0"'!F35-'BS"0"'!G35+'BS"0"'!F36-'BS"0"'!G36+'BS"0"'!G67-'BS"0"'!F67+'BS"0"'!G68-'BS"0"'!F68+'BS"0"'!G73-'BS"0"'!F73+'BS"0"'!G74-'BS"0"'!F74</f>
        <v>3488204.6999999983</v>
      </c>
      <c r="G26" s="152">
        <f>'BS"0"'!G29-'BS"0"'!H29+'BS"0"'!G30-'BS"0"'!H30+'BS"0"'!G35-'BS"0"'!H35+'BS"0"'!G36-'BS"0"'!H36+'BS"0"'!H67-'BS"0"'!G67+'BS"0"'!H68-'BS"0"'!G68+'BS"0"'!H73-'BS"0"'!G73+'BS"0"'!H74-'BS"0"'!G74</f>
        <v>7280625.2099999962</v>
      </c>
      <c r="H26" s="92">
        <f>'BS"0"'!H29-'BS"0"'!I29+'BS"0"'!H30-'BS"0"'!I30+'BS"0"'!H35-'BS"0"'!I35+'BS"0"'!H36-'BS"0"'!I36+'BS"0"'!I67-'BS"0"'!H67+'BS"0"'!I68-'BS"0"'!H68+'BS"0"'!I73-'BS"0"'!H73+'BS"0"'!I74-'BS"0"'!H74</f>
        <v>0</v>
      </c>
      <c r="I26" s="92">
        <f>'BS"0"'!I29-'BS"0"'!J29+'BS"0"'!I30-'BS"0"'!J30+'BS"0"'!I35-'BS"0"'!J35+'BS"0"'!I36-'BS"0"'!J36+'BS"0"'!J67-'BS"0"'!I67+'BS"0"'!J68-'BS"0"'!I68+'BS"0"'!J73-'BS"0"'!I73+'BS"0"'!J74-'BS"0"'!I74</f>
        <v>0</v>
      </c>
      <c r="J26" s="92">
        <f>'BS"0"'!J29-'BS"0"'!K29+'BS"0"'!J30-'BS"0"'!K30+'BS"0"'!J35-'BS"0"'!K35+'BS"0"'!J36-'BS"0"'!K36+'BS"0"'!K67-'BS"0"'!J67+'BS"0"'!K68-'BS"0"'!J68+'BS"0"'!K73-'BS"0"'!J73+'BS"0"'!K74-'BS"0"'!J74</f>
        <v>0</v>
      </c>
      <c r="K26" s="92">
        <f>'BS"0"'!K29-'BS"0"'!L29+'BS"0"'!K30-'BS"0"'!L30+'BS"0"'!K35-'BS"0"'!L35+'BS"0"'!K36-'BS"0"'!L36+'BS"0"'!L67-'BS"0"'!K67+'BS"0"'!L68-'BS"0"'!K68+'BS"0"'!L73-'BS"0"'!K73+'BS"0"'!L74-'BS"0"'!K74</f>
        <v>0</v>
      </c>
      <c r="L26" s="92">
        <f>'BS"0"'!L29-'BS"0"'!M29+'BS"0"'!L30-'BS"0"'!M30+'BS"0"'!L35-'BS"0"'!M35+'BS"0"'!L36-'BS"0"'!M36+'BS"0"'!M67-'BS"0"'!L67+'BS"0"'!M68-'BS"0"'!L68+'BS"0"'!M73-'BS"0"'!L73+'BS"0"'!M74-'BS"0"'!L74</f>
        <v>0</v>
      </c>
      <c r="M26" s="92">
        <f>'BS"0"'!M29-'BS"0"'!N29+'BS"0"'!M30-'BS"0"'!N30+'BS"0"'!M35-'BS"0"'!N35+'BS"0"'!M36-'BS"0"'!N36+'BS"0"'!N67-'BS"0"'!M67+'BS"0"'!N68-'BS"0"'!M68+'BS"0"'!N73-'BS"0"'!M73+'BS"0"'!N74-'BS"0"'!M74</f>
        <v>0</v>
      </c>
      <c r="N26" s="92">
        <f>'BS"0"'!N29-'BS"0"'!O29+'BS"0"'!N30-'BS"0"'!O30+'BS"0"'!N35-'BS"0"'!O35+'BS"0"'!N36-'BS"0"'!O36+'BS"0"'!O67-'BS"0"'!N67+'BS"0"'!O68-'BS"0"'!N68+'BS"0"'!O73-'BS"0"'!N73+'BS"0"'!O74-'BS"0"'!N74</f>
        <v>0</v>
      </c>
      <c r="O26" s="92">
        <f>'BS"0"'!O29-'BS"0"'!P29+'BS"0"'!O30-'BS"0"'!P30+'BS"0"'!O35-'BS"0"'!P35+'BS"0"'!O36-'BS"0"'!P36+'BS"0"'!P67-'BS"0"'!O67+'BS"0"'!P68-'BS"0"'!O68+'BS"0"'!P73-'BS"0"'!O73+'BS"0"'!P74-'BS"0"'!O74</f>
        <v>0</v>
      </c>
      <c r="P26" s="92">
        <f>'BS"0"'!P29-'BS"0"'!Q29+'BS"0"'!P30-'BS"0"'!Q30+'BS"0"'!P35-'BS"0"'!Q35+'BS"0"'!P36-'BS"0"'!Q36+'BS"0"'!Q67-'BS"0"'!P67+'BS"0"'!Q68-'BS"0"'!P68+'BS"0"'!Q73-'BS"0"'!P73+'BS"0"'!Q74-'BS"0"'!P74</f>
        <v>0</v>
      </c>
      <c r="Q26" s="92">
        <f>'BS"0"'!Q29-'BS"0"'!R29+'BS"0"'!Q30-'BS"0"'!R30+'BS"0"'!Q35-'BS"0"'!R35+'BS"0"'!Q36-'BS"0"'!R36+'BS"0"'!R67-'BS"0"'!Q67+'BS"0"'!R68-'BS"0"'!Q68+'BS"0"'!R73-'BS"0"'!Q73+'BS"0"'!R74-'BS"0"'!Q74</f>
        <v>0</v>
      </c>
      <c r="R26" s="92">
        <f>'BS"0"'!R29-'BS"0"'!S29+'BS"0"'!R30-'BS"0"'!S30+'BS"0"'!R35-'BS"0"'!S35+'BS"0"'!R36-'BS"0"'!S36+'BS"0"'!S67-'BS"0"'!R67+'BS"0"'!S68-'BS"0"'!R68+'BS"0"'!S73-'BS"0"'!R73+'BS"0"'!S74-'BS"0"'!R74</f>
        <v>0</v>
      </c>
      <c r="S26" s="92">
        <f>'BS"0"'!S29-'BS"0"'!T29+'BS"0"'!S30-'BS"0"'!T30+'BS"0"'!S35-'BS"0"'!T35+'BS"0"'!S36-'BS"0"'!T36+'BS"0"'!T67-'BS"0"'!S67+'BS"0"'!T68-'BS"0"'!S68+'BS"0"'!T73-'BS"0"'!S73+'BS"0"'!T74-'BS"0"'!S74</f>
        <v>0</v>
      </c>
      <c r="T26" s="92">
        <f>'BS"0"'!T29-'BS"0"'!U29+'BS"0"'!T30-'BS"0"'!U30+'BS"0"'!T35-'BS"0"'!U35+'BS"0"'!T36-'BS"0"'!U36+'BS"0"'!U67-'BS"0"'!T67+'BS"0"'!U68-'BS"0"'!T68+'BS"0"'!U73-'BS"0"'!T73+'BS"0"'!U74-'BS"0"'!T74</f>
        <v>0</v>
      </c>
      <c r="U26" s="92">
        <f>'BS"0"'!U29-'BS"0"'!V29+'BS"0"'!U30-'BS"0"'!V30+'BS"0"'!U35-'BS"0"'!V35+'BS"0"'!U36-'BS"0"'!V36+'BS"0"'!V67-'BS"0"'!U67+'BS"0"'!V68-'BS"0"'!U68+'BS"0"'!V73-'BS"0"'!U73+'BS"0"'!V74-'BS"0"'!U74</f>
        <v>0</v>
      </c>
      <c r="V26" s="92">
        <f>'BS"0"'!V29-'BS"0"'!W29+'BS"0"'!V30-'BS"0"'!W30+'BS"0"'!V35-'BS"0"'!W35+'BS"0"'!V36-'BS"0"'!W36+'BS"0"'!W67-'BS"0"'!V67+'BS"0"'!W68-'BS"0"'!V68+'BS"0"'!W73-'BS"0"'!V73+'BS"0"'!W74-'BS"0"'!V74</f>
        <v>0</v>
      </c>
      <c r="W26" s="92">
        <f>'BS"0"'!W29-'BS"0"'!X29+'BS"0"'!W30-'BS"0"'!X30+'BS"0"'!W35-'BS"0"'!X35+'BS"0"'!W36-'BS"0"'!X36+'BS"0"'!X67-'BS"0"'!W67+'BS"0"'!X68-'BS"0"'!W68+'BS"0"'!X73-'BS"0"'!W73+'BS"0"'!X74-'BS"0"'!W74</f>
        <v>0</v>
      </c>
      <c r="X26" s="92">
        <f>'BS"0"'!X29-'BS"0"'!Y29+'BS"0"'!X30-'BS"0"'!Y30+'BS"0"'!X35-'BS"0"'!Y35+'BS"0"'!X36-'BS"0"'!Y36+'BS"0"'!Y67-'BS"0"'!X67+'BS"0"'!Y68-'BS"0"'!X68+'BS"0"'!Y73-'BS"0"'!X73+'BS"0"'!Y74-'BS"0"'!X74</f>
        <v>0</v>
      </c>
      <c r="Y26" s="92">
        <f>'BS"0"'!Y29-'BS"0"'!Z29+'BS"0"'!Y30-'BS"0"'!Z30+'BS"0"'!Y35-'BS"0"'!Z35+'BS"0"'!Y36-'BS"0"'!Z36+'BS"0"'!Z67-'BS"0"'!Y67+'BS"0"'!Z68-'BS"0"'!Y68+'BS"0"'!Z73-'BS"0"'!Y73+'BS"0"'!Z74-'BS"0"'!Y74</f>
        <v>0</v>
      </c>
      <c r="Z26" s="92">
        <f>'BS"0"'!Z29-'BS"0"'!AA29+'BS"0"'!Z30-'BS"0"'!AA30+'BS"0"'!Z35-'BS"0"'!AA35+'BS"0"'!Z36-'BS"0"'!AA36+'BS"0"'!AA67-'BS"0"'!Z67+'BS"0"'!AA68-'BS"0"'!Z68+'BS"0"'!AA73-'BS"0"'!Z73+'BS"0"'!AA74-'BS"0"'!Z74</f>
        <v>0</v>
      </c>
      <c r="AA26" s="92">
        <f>'BS"0"'!AA29-'BS"0"'!AB29+'BS"0"'!AA30-'BS"0"'!AB30+'BS"0"'!AA35-'BS"0"'!AB35+'BS"0"'!AA36-'BS"0"'!AB36+'BS"0"'!AB67-'BS"0"'!AA67+'BS"0"'!AB68-'BS"0"'!AA68+'BS"0"'!AB73-'BS"0"'!AA73+'BS"0"'!AB74-'BS"0"'!AA74</f>
        <v>0</v>
      </c>
      <c r="AB26" s="92">
        <f>'BS"0"'!AB29-'BS"0"'!AC29+'BS"0"'!AB30-'BS"0"'!AC30+'BS"0"'!AB35-'BS"0"'!AC35+'BS"0"'!AB36-'BS"0"'!AC36+'BS"0"'!AC67-'BS"0"'!AB67+'BS"0"'!AC68-'BS"0"'!AB68+'BS"0"'!AC73-'BS"0"'!AB73+'BS"0"'!AC74-'BS"0"'!AB74</f>
        <v>0</v>
      </c>
    </row>
    <row r="27" spans="2:28" ht="12">
      <c r="B27" s="133" t="s">
        <v>200</v>
      </c>
      <c r="C27" s="101">
        <f>'BS"0"'!D66-'BS"0"'!C66+'BS"0"'!D69-'BS"0"'!C69+'BS"0"'!D70-'BS"0"'!C70+'BS"0"'!D79-'BS"0"'!C79+'BS"0"'!D78-'BS"0"'!C78</f>
        <v>-4142.7699999958277</v>
      </c>
      <c r="D27" s="101">
        <f>'BS"0"'!E66-'BS"0"'!D66+'BS"0"'!E69-'BS"0"'!D69+'BS"0"'!E70-'BS"0"'!D70+'BS"0"'!E79-'BS"0"'!D79+'BS"0"'!E78-'BS"0"'!D78</f>
        <v>2602252.8299999982</v>
      </c>
      <c r="E27" s="101">
        <f>'BS"0"'!F66-'BS"0"'!E66+'BS"0"'!F69-'BS"0"'!E69+'BS"0"'!F70-'BS"0"'!E70+'BS"0"'!F79-'BS"0"'!E79+'BS"0"'!F78-'BS"0"'!E78</f>
        <v>18273340.539999999</v>
      </c>
      <c r="F27" s="101">
        <f>'BS"0"'!G66-'BS"0"'!F66+'BS"0"'!G69-'BS"0"'!F69+'BS"0"'!G70-'BS"0"'!F70+'BS"0"'!G79-'BS"0"'!F79+'BS"0"'!G78-'BS"0"'!F78</f>
        <v>3451585.8999999985</v>
      </c>
      <c r="G27" s="153">
        <f>'BS"0"'!H66-'BS"0"'!G66+'BS"0"'!H69-'BS"0"'!G69+'BS"0"'!H70-'BS"0"'!G70+'BS"0"'!H79-'BS"0"'!G79+'BS"0"'!H78-'BS"0"'!G78</f>
        <v>5641855.0700000077</v>
      </c>
      <c r="H27" s="102">
        <f>'BS"0"'!I66-'BS"0"'!H66+'BS"0"'!I69-'BS"0"'!H69+'BS"0"'!I70-'BS"0"'!H70+'BS"0"'!I79-'BS"0"'!H79+'BS"0"'!I78-'BS"0"'!H78</f>
        <v>0</v>
      </c>
      <c r="I27" s="102">
        <f>'BS"0"'!J66-'BS"0"'!I66+'BS"0"'!J69-'BS"0"'!I69+'BS"0"'!J70-'BS"0"'!I70+'BS"0"'!J79-'BS"0"'!I79+'BS"0"'!J78-'BS"0"'!I78</f>
        <v>0</v>
      </c>
      <c r="J27" s="102">
        <f>'BS"0"'!K66-'BS"0"'!J66+'BS"0"'!K69-'BS"0"'!J69+'BS"0"'!K70-'BS"0"'!J70+'BS"0"'!K79-'BS"0"'!J79+'BS"0"'!K78-'BS"0"'!J78</f>
        <v>0</v>
      </c>
      <c r="K27" s="102">
        <f>'BS"0"'!L66-'BS"0"'!K66+'BS"0"'!L69-'BS"0"'!K69+'BS"0"'!L70-'BS"0"'!K70+'BS"0"'!L79-'BS"0"'!K79+'BS"0"'!L78-'BS"0"'!K78</f>
        <v>0</v>
      </c>
      <c r="L27" s="102">
        <f>'BS"0"'!M66-'BS"0"'!L66+'BS"0"'!M69-'BS"0"'!L69+'BS"0"'!M70-'BS"0"'!L70+'BS"0"'!M79-'BS"0"'!L79+'BS"0"'!M78-'BS"0"'!L78</f>
        <v>0</v>
      </c>
      <c r="M27" s="102">
        <f>'BS"0"'!N66-'BS"0"'!M66+'BS"0"'!N69-'BS"0"'!M69+'BS"0"'!N70-'BS"0"'!M70+'BS"0"'!N79-'BS"0"'!M79+'BS"0"'!N78-'BS"0"'!M78</f>
        <v>0</v>
      </c>
      <c r="N27" s="102">
        <f>'BS"0"'!O66-'BS"0"'!N66+'BS"0"'!O69-'BS"0"'!N69+'BS"0"'!O70-'BS"0"'!N70+'BS"0"'!O79-'BS"0"'!N79+'BS"0"'!O78-'BS"0"'!N78</f>
        <v>0</v>
      </c>
      <c r="O27" s="102">
        <f>'BS"0"'!P66-'BS"0"'!O66+'BS"0"'!P69-'BS"0"'!O69+'BS"0"'!P70-'BS"0"'!O70+'BS"0"'!P79-'BS"0"'!O79+'BS"0"'!P78-'BS"0"'!O78</f>
        <v>0</v>
      </c>
      <c r="P27" s="102">
        <f>'BS"0"'!Q66-'BS"0"'!P66+'BS"0"'!Q69-'BS"0"'!P69+'BS"0"'!Q70-'BS"0"'!P70+'BS"0"'!Q79-'BS"0"'!P79+'BS"0"'!Q78-'BS"0"'!P78</f>
        <v>0</v>
      </c>
      <c r="Q27" s="102">
        <f>'BS"0"'!R66-'BS"0"'!Q66+'BS"0"'!R69-'BS"0"'!Q69+'BS"0"'!R70-'BS"0"'!Q70+'BS"0"'!R79-'BS"0"'!Q79+'BS"0"'!R78-'BS"0"'!Q78</f>
        <v>0</v>
      </c>
      <c r="R27" s="102">
        <f>'BS"0"'!S66-'BS"0"'!R66+'BS"0"'!S69-'BS"0"'!R69+'BS"0"'!S70-'BS"0"'!R70+'BS"0"'!S79-'BS"0"'!R79+'BS"0"'!S78-'BS"0"'!R78</f>
        <v>0</v>
      </c>
      <c r="S27" s="102">
        <f>'BS"0"'!T66-'BS"0"'!S66+'BS"0"'!T69-'BS"0"'!S69+'BS"0"'!T70-'BS"0"'!S70+'BS"0"'!T79-'BS"0"'!S79+'BS"0"'!T78-'BS"0"'!S78</f>
        <v>0</v>
      </c>
      <c r="T27" s="102">
        <f>'BS"0"'!U66-'BS"0"'!T66+'BS"0"'!U69-'BS"0"'!T69+'BS"0"'!U70-'BS"0"'!T70+'BS"0"'!U79-'BS"0"'!T79+'BS"0"'!U78-'BS"0"'!T78</f>
        <v>0</v>
      </c>
      <c r="U27" s="102">
        <f>'BS"0"'!V66-'BS"0"'!U66+'BS"0"'!V69-'BS"0"'!U69+'BS"0"'!V70-'BS"0"'!U70+'BS"0"'!V79-'BS"0"'!U79+'BS"0"'!V78-'BS"0"'!U78</f>
        <v>0</v>
      </c>
      <c r="V27" s="102">
        <f>'BS"0"'!W66-'BS"0"'!V66+'BS"0"'!W69-'BS"0"'!V69+'BS"0"'!W70-'BS"0"'!V70+'BS"0"'!W79-'BS"0"'!V79+'BS"0"'!W78-'BS"0"'!V78</f>
        <v>0</v>
      </c>
      <c r="W27" s="102">
        <f>'BS"0"'!X66-'BS"0"'!W66+'BS"0"'!X69-'BS"0"'!W69+'BS"0"'!X70-'BS"0"'!W70+'BS"0"'!X79-'BS"0"'!W79+'BS"0"'!X78-'BS"0"'!W78</f>
        <v>0</v>
      </c>
      <c r="X27" s="102">
        <f>'BS"0"'!Y66-'BS"0"'!X66+'BS"0"'!Y69-'BS"0"'!X69+'BS"0"'!Y70-'BS"0"'!X70+'BS"0"'!Y79-'BS"0"'!X79+'BS"0"'!Y78-'BS"0"'!X78</f>
        <v>0</v>
      </c>
      <c r="Y27" s="102">
        <f>'BS"0"'!Z66-'BS"0"'!Y66+'BS"0"'!Z69-'BS"0"'!Y69+'BS"0"'!Z70-'BS"0"'!Y70+'BS"0"'!Z79-'BS"0"'!Y79+'BS"0"'!Z78-'BS"0"'!Y78</f>
        <v>0</v>
      </c>
      <c r="Z27" s="102">
        <f>'BS"0"'!AA66-'BS"0"'!Z66+'BS"0"'!AA69-'BS"0"'!Z69+'BS"0"'!AA70-'BS"0"'!Z70+'BS"0"'!AA79-'BS"0"'!Z79+'BS"0"'!AA78-'BS"0"'!Z78</f>
        <v>0</v>
      </c>
      <c r="AA27" s="102">
        <f>'BS"0"'!AB66-'BS"0"'!AA66+'BS"0"'!AB69-'BS"0"'!AA69+'BS"0"'!AB70-'BS"0"'!AA70+'BS"0"'!AB79-'BS"0"'!AA79+'BS"0"'!AB78-'BS"0"'!AA78</f>
        <v>0</v>
      </c>
      <c r="AB27" s="102">
        <f>'BS"0"'!AC66-'BS"0"'!AB66+'BS"0"'!AC69-'BS"0"'!AB69+'BS"0"'!AC70-'BS"0"'!AB70+'BS"0"'!AC79-'BS"0"'!AB79+'BS"0"'!AC78-'BS"0"'!AB78</f>
        <v>0</v>
      </c>
    </row>
    <row r="28" spans="2:28" ht="12">
      <c r="B28" s="127" t="s">
        <v>201</v>
      </c>
      <c r="C28" s="128">
        <f t="shared" ref="C28:E28" si="24">SUM(C29:C30)</f>
        <v>619563.16999999434</v>
      </c>
      <c r="D28" s="128">
        <f t="shared" si="24"/>
        <v>-1227347.3199999966</v>
      </c>
      <c r="E28" s="128">
        <f t="shared" si="24"/>
        <v>204342.55999999447</v>
      </c>
      <c r="F28" s="128">
        <f t="shared" ref="F28" si="25">SUM(F29:F30)</f>
        <v>-767394.99999998743</v>
      </c>
      <c r="G28" s="159">
        <f t="shared" ref="G28:L28" si="26">SUM(G29:G30)</f>
        <v>-403753.88000001013</v>
      </c>
      <c r="H28" s="129">
        <f t="shared" si="26"/>
        <v>55792174.581842169</v>
      </c>
      <c r="I28" s="129">
        <f t="shared" si="26"/>
        <v>68329286.294201791</v>
      </c>
      <c r="J28" s="129">
        <f t="shared" si="26"/>
        <v>68139531.063943774</v>
      </c>
      <c r="K28" s="129">
        <f t="shared" si="26"/>
        <v>68721901.436264232</v>
      </c>
      <c r="L28" s="129">
        <f t="shared" si="26"/>
        <v>69582057.73238194</v>
      </c>
      <c r="M28" s="129">
        <f t="shared" ref="M28:Q28" si="27">SUM(M29:M30)</f>
        <v>72067468.843051553</v>
      </c>
      <c r="N28" s="129">
        <f t="shared" si="27"/>
        <v>71948196.410883427</v>
      </c>
      <c r="O28" s="129">
        <f t="shared" si="27"/>
        <v>72327101.376530156</v>
      </c>
      <c r="P28" s="129">
        <f t="shared" si="27"/>
        <v>72857809.03954196</v>
      </c>
      <c r="Q28" s="129">
        <f t="shared" si="27"/>
        <v>74342700.550680101</v>
      </c>
      <c r="R28" s="129">
        <f t="shared" ref="R28:U28" si="28">SUM(R29:R30)</f>
        <v>75809649.068895549</v>
      </c>
      <c r="S28" s="129">
        <f t="shared" si="28"/>
        <v>76748272.886552155</v>
      </c>
      <c r="T28" s="129">
        <f t="shared" si="28"/>
        <v>77280932.278025359</v>
      </c>
      <c r="U28" s="129">
        <f t="shared" si="28"/>
        <v>77948259.535239443</v>
      </c>
      <c r="V28" s="129">
        <f t="shared" ref="V28:AB28" si="29">SUM(V29:V30)</f>
        <v>0</v>
      </c>
      <c r="W28" s="129">
        <f t="shared" si="29"/>
        <v>5.9604644775390625E-8</v>
      </c>
      <c r="X28" s="129">
        <f t="shared" si="29"/>
        <v>-1.1920928955078125E-7</v>
      </c>
      <c r="Y28" s="129">
        <f t="shared" si="29"/>
        <v>-1.1920928955078125E-7</v>
      </c>
      <c r="Z28" s="129">
        <f t="shared" si="29"/>
        <v>8.9406967163085938E-8</v>
      </c>
      <c r="AA28" s="129">
        <f t="shared" si="29"/>
        <v>8.9406967163085938E-8</v>
      </c>
      <c r="AB28" s="129">
        <f t="shared" si="29"/>
        <v>0</v>
      </c>
    </row>
    <row r="29" spans="2:28" ht="13">
      <c r="B29" s="130" t="s">
        <v>202</v>
      </c>
      <c r="C29" s="98">
        <f>'BS"0"'!D49-'BS"0"'!C49+'BS"0"'!D52-'BS"0"'!C52</f>
        <v>0</v>
      </c>
      <c r="D29" s="98">
        <f>'BS"0"'!E49-'BS"0"'!D49+'BS"0"'!E52-'BS"0"'!D52</f>
        <v>0</v>
      </c>
      <c r="E29" s="98">
        <f>'BS"0"'!F49-'BS"0"'!E49+'BS"0"'!F52-'BS"0"'!E52</f>
        <v>0</v>
      </c>
      <c r="F29" s="98">
        <f>'BS"0"'!G49-'BS"0"'!F49+'BS"0"'!G52-'BS"0"'!F52</f>
        <v>0</v>
      </c>
      <c r="G29" s="152">
        <f>'BS"0"'!H49-'BS"0"'!G49+'BS"0"'!H52-'BS"0"'!G52</f>
        <v>0</v>
      </c>
      <c r="H29" s="92">
        <f>'BS"0"'!I49-'BS"0"'!H49+'BS"0"'!I52-'BS"0"'!H52</f>
        <v>55792174.581842169</v>
      </c>
      <c r="I29" s="92">
        <f>'BS"0"'!J49-'BS"0"'!I49+'BS"0"'!J52-'BS"0"'!I52</f>
        <v>68329286.294201791</v>
      </c>
      <c r="J29" s="92">
        <f>'BS"0"'!K49-'BS"0"'!J49+'BS"0"'!K52-'BS"0"'!J52</f>
        <v>68139531.063943759</v>
      </c>
      <c r="K29" s="92">
        <f>'BS"0"'!L49-'BS"0"'!K49+'BS"0"'!L52-'BS"0"'!K52</f>
        <v>68721901.436264217</v>
      </c>
      <c r="L29" s="92">
        <f>'BS"0"'!M49-'BS"0"'!L49+'BS"0"'!M52-'BS"0"'!L52</f>
        <v>69582057.73238194</v>
      </c>
      <c r="M29" s="92">
        <f>'BS"0"'!N49-'BS"0"'!M49+'BS"0"'!N52-'BS"0"'!M52</f>
        <v>72067468.843051553</v>
      </c>
      <c r="N29" s="92">
        <f>'BS"0"'!O49-'BS"0"'!N49+'BS"0"'!O52-'BS"0"'!N52</f>
        <v>71948196.410883427</v>
      </c>
      <c r="O29" s="92">
        <f>'BS"0"'!P49-'BS"0"'!O49+'BS"0"'!P52-'BS"0"'!O52</f>
        <v>72327101.37653017</v>
      </c>
      <c r="P29" s="92">
        <f>'BS"0"'!Q49-'BS"0"'!P49+'BS"0"'!Q52-'BS"0"'!P52</f>
        <v>72857809.03954196</v>
      </c>
      <c r="Q29" s="92">
        <f>'BS"0"'!R49-'BS"0"'!Q49+'BS"0"'!R52-'BS"0"'!Q52</f>
        <v>74342700.550680161</v>
      </c>
      <c r="R29" s="92">
        <f>'BS"0"'!S49-'BS"0"'!R49+'BS"0"'!S52-'BS"0"'!R52</f>
        <v>75809649.068895578</v>
      </c>
      <c r="S29" s="92">
        <f>'BS"0"'!T49-'BS"0"'!S49+'BS"0"'!T52-'BS"0"'!S52</f>
        <v>76748272.886552215</v>
      </c>
      <c r="T29" s="92">
        <f>'BS"0"'!U49-'BS"0"'!T49+'BS"0"'!U52-'BS"0"'!T52</f>
        <v>77280932.278025389</v>
      </c>
      <c r="U29" s="92">
        <f>'BS"0"'!V49-'BS"0"'!U49+'BS"0"'!V52-'BS"0"'!U52</f>
        <v>77948259.535239458</v>
      </c>
      <c r="V29" s="92">
        <f>'BS"0"'!W49-'BS"0"'!V49+'BS"0"'!W52-'BS"0"'!V52</f>
        <v>0</v>
      </c>
      <c r="W29" s="92">
        <f>'BS"0"'!X49-'BS"0"'!W49+'BS"0"'!X52-'BS"0"'!W52</f>
        <v>0</v>
      </c>
      <c r="X29" s="92">
        <f>'BS"0"'!Y49-'BS"0"'!X49+'BS"0"'!Y52-'BS"0"'!X52</f>
        <v>0</v>
      </c>
      <c r="Y29" s="92">
        <f>'BS"0"'!Z49-'BS"0"'!Y49+'BS"0"'!Z52-'BS"0"'!Y52</f>
        <v>0</v>
      </c>
      <c r="Z29" s="92">
        <f>'BS"0"'!AA49-'BS"0"'!Z49+'BS"0"'!AA52-'BS"0"'!Z52</f>
        <v>0</v>
      </c>
      <c r="AA29" s="92">
        <f>'BS"0"'!AB49-'BS"0"'!AA49+'BS"0"'!AB52-'BS"0"'!AA52</f>
        <v>0</v>
      </c>
      <c r="AB29" s="92">
        <f>'BS"0"'!AC49-'BS"0"'!AB49+'BS"0"'!AC52-'BS"0"'!AB52</f>
        <v>0</v>
      </c>
    </row>
    <row r="30" spans="2:28" ht="13">
      <c r="B30" s="130" t="s">
        <v>203</v>
      </c>
      <c r="C30" s="98">
        <f>'BS"0"'!D58-'BS"0"'!C58-'BS"0"'!C59-'BS"0"'!C55+'BS"0"'!D55</f>
        <v>619563.16999999434</v>
      </c>
      <c r="D30" s="98">
        <f>'BS"0"'!E58-'BS"0"'!D58-'BS"0"'!D59-'BS"0"'!D55+'BS"0"'!E55</f>
        <v>-1227347.3199999966</v>
      </c>
      <c r="E30" s="98">
        <f>'BS"0"'!F58-'BS"0"'!E58-'BS"0"'!E59-'BS"0"'!E55+'BS"0"'!F55</f>
        <v>204342.55999999447</v>
      </c>
      <c r="F30" s="98">
        <f>'BS"0"'!G58-'BS"0"'!F58-'BS"0"'!F59-'BS"0"'!F55+'BS"0"'!G55</f>
        <v>-767394.99999998743</v>
      </c>
      <c r="G30" s="152">
        <f>'BS"0"'!H58-'BS"0"'!G58-'BS"0"'!G59-'BS"0"'!G55+'BS"0"'!H55</f>
        <v>-403753.88000001013</v>
      </c>
      <c r="H30" s="92">
        <f>'BS"0"'!I58-'BS"0"'!H58-'BS"0"'!H59-'BS"0"'!H55+'BS"0"'!I55</f>
        <v>0</v>
      </c>
      <c r="I30" s="92">
        <f>'BS"0"'!J58-'BS"0"'!I58-'BS"0"'!I59-'BS"0"'!I55+'BS"0"'!J55</f>
        <v>0</v>
      </c>
      <c r="J30" s="92">
        <f>'BS"0"'!K58-'BS"0"'!J58-'BS"0"'!J59-'BS"0"'!J55+'BS"0"'!K55</f>
        <v>1.4901161193847656E-8</v>
      </c>
      <c r="K30" s="92">
        <f>'BS"0"'!L58-'BS"0"'!K58-'BS"0"'!K59-'BS"0"'!K55+'BS"0"'!L55</f>
        <v>1.4901161193847656E-8</v>
      </c>
      <c r="L30" s="92">
        <f>'BS"0"'!M58-'BS"0"'!L58-'BS"0"'!L59-'BS"0"'!L55+'BS"0"'!M55</f>
        <v>7.4505805969238281E-9</v>
      </c>
      <c r="M30" s="92">
        <f>'BS"0"'!N58-'BS"0"'!M58-'BS"0"'!M59-'BS"0"'!M55+'BS"0"'!N55</f>
        <v>7.4505805969238281E-9</v>
      </c>
      <c r="N30" s="92">
        <f>'BS"0"'!O58-'BS"0"'!N58-'BS"0"'!N59-'BS"0"'!N55+'BS"0"'!O55</f>
        <v>0</v>
      </c>
      <c r="O30" s="92">
        <f>'BS"0"'!P58-'BS"0"'!O58-'BS"0"'!O59-'BS"0"'!O55+'BS"0"'!P55</f>
        <v>-1.4901161193847656E-8</v>
      </c>
      <c r="P30" s="92">
        <f>'BS"0"'!Q58-'BS"0"'!P58-'BS"0"'!P59-'BS"0"'!P55+'BS"0"'!Q55</f>
        <v>0</v>
      </c>
      <c r="Q30" s="92">
        <f>'BS"0"'!R58-'BS"0"'!Q58-'BS"0"'!Q59-'BS"0"'!Q55+'BS"0"'!R55</f>
        <v>-5.9604644775390625E-8</v>
      </c>
      <c r="R30" s="92">
        <f>'BS"0"'!S58-'BS"0"'!R58-'BS"0"'!R59-'BS"0"'!R55+'BS"0"'!S55</f>
        <v>-2.9802322387695312E-8</v>
      </c>
      <c r="S30" s="92">
        <f>'BS"0"'!T58-'BS"0"'!S58-'BS"0"'!S59-'BS"0"'!S55+'BS"0"'!T55</f>
        <v>-5.9604644775390625E-8</v>
      </c>
      <c r="T30" s="92">
        <f>'BS"0"'!U58-'BS"0"'!T58-'BS"0"'!T59-'BS"0"'!T55+'BS"0"'!U55</f>
        <v>-2.9802322387695312E-8</v>
      </c>
      <c r="U30" s="92">
        <f>'BS"0"'!V58-'BS"0"'!U58-'BS"0"'!U59-'BS"0"'!U55+'BS"0"'!V55</f>
        <v>-1.4901161193847656E-8</v>
      </c>
      <c r="V30" s="92">
        <f>'BS"0"'!W58-'BS"0"'!V58-'BS"0"'!V59-'BS"0"'!V55+'BS"0"'!W55</f>
        <v>0</v>
      </c>
      <c r="W30" s="92">
        <f>'BS"0"'!X58-'BS"0"'!W58-'BS"0"'!W59-'BS"0"'!W55+'BS"0"'!X55</f>
        <v>5.9604644775390625E-8</v>
      </c>
      <c r="X30" s="92">
        <f>'BS"0"'!Y58-'BS"0"'!X58-'BS"0"'!X59-'BS"0"'!X55+'BS"0"'!Y55</f>
        <v>-1.1920928955078125E-7</v>
      </c>
      <c r="Y30" s="92">
        <f>'BS"0"'!Z58-'BS"0"'!Y58-'BS"0"'!Y59-'BS"0"'!Y55+'BS"0"'!Z55</f>
        <v>-1.1920928955078125E-7</v>
      </c>
      <c r="Z30" s="92">
        <f>'BS"0"'!AA58-'BS"0"'!Z58-'BS"0"'!Z59-'BS"0"'!Z55+'BS"0"'!AA55</f>
        <v>8.9406967163085938E-8</v>
      </c>
      <c r="AA30" s="92">
        <f>'BS"0"'!AB58-'BS"0"'!AA58-'BS"0"'!AA59-'BS"0"'!AA55+'BS"0"'!AB55</f>
        <v>8.9406967163085938E-8</v>
      </c>
      <c r="AB30" s="92">
        <f>'BS"0"'!AC58-'BS"0"'!AB58-'BS"0"'!AB59-'BS"0"'!AB55+'BS"0"'!AC55</f>
        <v>0</v>
      </c>
    </row>
    <row r="31" spans="2:28" ht="13">
      <c r="B31" s="126" t="s">
        <v>204</v>
      </c>
      <c r="C31" s="101">
        <f t="shared" ref="C31:E31" si="30">C7+C8+C14+C18+C23+C27+C28</f>
        <v>-77199.19000002183</v>
      </c>
      <c r="D31" s="101">
        <f t="shared" si="30"/>
        <v>1622074.0400000107</v>
      </c>
      <c r="E31" s="101">
        <f t="shared" si="30"/>
        <v>7531406.8700000104</v>
      </c>
      <c r="F31" s="101">
        <f t="shared" ref="F31" si="31">F7+F8+F14+F18+F23+F27+F28</f>
        <v>838061.03000000259</v>
      </c>
      <c r="G31" s="153">
        <f t="shared" ref="G31:L31" si="32">G7+G8+G14+G18+G23+G27+G28</f>
        <v>17257248.770000037</v>
      </c>
      <c r="H31" s="102">
        <f t="shared" si="32"/>
        <v>0</v>
      </c>
      <c r="I31" s="102">
        <f t="shared" si="32"/>
        <v>0</v>
      </c>
      <c r="J31" s="102">
        <f t="shared" si="32"/>
        <v>0</v>
      </c>
      <c r="K31" s="102">
        <f t="shared" si="32"/>
        <v>0</v>
      </c>
      <c r="L31" s="102">
        <f t="shared" si="32"/>
        <v>0</v>
      </c>
      <c r="M31" s="102">
        <f t="shared" ref="M31:Q31" si="33">M7+M8+M14+M18+M23+M27+M28</f>
        <v>0</v>
      </c>
      <c r="N31" s="102">
        <f t="shared" si="33"/>
        <v>0</v>
      </c>
      <c r="O31" s="102">
        <f t="shared" si="33"/>
        <v>0</v>
      </c>
      <c r="P31" s="102">
        <f t="shared" si="33"/>
        <v>0</v>
      </c>
      <c r="Q31" s="102">
        <f t="shared" si="33"/>
        <v>0</v>
      </c>
      <c r="R31" s="102">
        <f t="shared" ref="R31:U31" si="34">R7+R8+R14+R18+R23+R27+R28</f>
        <v>0</v>
      </c>
      <c r="S31" s="102">
        <f t="shared" si="34"/>
        <v>0</v>
      </c>
      <c r="T31" s="102">
        <f t="shared" si="34"/>
        <v>0</v>
      </c>
      <c r="U31" s="102">
        <f t="shared" si="34"/>
        <v>0</v>
      </c>
      <c r="V31" s="102">
        <f t="shared" ref="V31:AB31" si="35">V7+V8+V14+V18+V23+V27+V28</f>
        <v>-78515326.030666187</v>
      </c>
      <c r="W31" s="102">
        <f t="shared" si="35"/>
        <v>-79219092.079262033</v>
      </c>
      <c r="X31" s="102">
        <f t="shared" si="35"/>
        <v>-79937287.901757002</v>
      </c>
      <c r="Y31" s="102">
        <f t="shared" si="35"/>
        <v>-80670213.058565676</v>
      </c>
      <c r="Z31" s="102">
        <f t="shared" si="35"/>
        <v>-81418173.375434369</v>
      </c>
      <c r="AA31" s="102">
        <f t="shared" si="35"/>
        <v>-82181481.075601667</v>
      </c>
      <c r="AB31" s="102">
        <f t="shared" si="35"/>
        <v>-82960454.914770976</v>
      </c>
    </row>
    <row r="32" spans="2:28" ht="12">
      <c r="B32" s="134" t="s">
        <v>205</v>
      </c>
      <c r="C32" s="135">
        <f t="shared" ref="C32:E32" si="36">C6+C31</f>
        <v>1026010.4399999781</v>
      </c>
      <c r="D32" s="135">
        <f t="shared" si="36"/>
        <v>2648084.4800000107</v>
      </c>
      <c r="E32" s="135">
        <f t="shared" si="36"/>
        <v>10179491.350000011</v>
      </c>
      <c r="F32" s="135">
        <f t="shared" ref="F32" si="37">F6+F31</f>
        <v>11017552.380000003</v>
      </c>
      <c r="G32" s="161">
        <f t="shared" ref="G32:L32" si="38">G6+G31</f>
        <v>28274801.150000036</v>
      </c>
      <c r="H32" s="136">
        <f t="shared" si="38"/>
        <v>28459962.109999999</v>
      </c>
      <c r="I32" s="136">
        <f t="shared" si="38"/>
        <v>28459962.109999999</v>
      </c>
      <c r="J32" s="136">
        <f t="shared" si="38"/>
        <v>28459962.109999999</v>
      </c>
      <c r="K32" s="136">
        <f t="shared" si="38"/>
        <v>28459962.109999999</v>
      </c>
      <c r="L32" s="136">
        <f t="shared" si="38"/>
        <v>28459962.109999999</v>
      </c>
      <c r="M32" s="136">
        <f t="shared" ref="M32:Q32" si="39">M6+M31</f>
        <v>28459962.109999999</v>
      </c>
      <c r="N32" s="136">
        <f t="shared" si="39"/>
        <v>28459962.109999999</v>
      </c>
      <c r="O32" s="136">
        <f t="shared" si="39"/>
        <v>28459962.109999999</v>
      </c>
      <c r="P32" s="136">
        <f t="shared" si="39"/>
        <v>28459962.109999999</v>
      </c>
      <c r="Q32" s="136">
        <f t="shared" si="39"/>
        <v>28459962.109999999</v>
      </c>
      <c r="R32" s="136">
        <f t="shared" ref="R32:U32" si="40">R6+R31</f>
        <v>28459962.109999999</v>
      </c>
      <c r="S32" s="136">
        <f t="shared" si="40"/>
        <v>28459962.109999999</v>
      </c>
      <c r="T32" s="136">
        <f t="shared" si="40"/>
        <v>28459962.109999999</v>
      </c>
      <c r="U32" s="136">
        <f t="shared" si="40"/>
        <v>28459962.109999999</v>
      </c>
      <c r="V32" s="136">
        <f t="shared" ref="V32:AB32" si="41">V6+V31</f>
        <v>-50055363.920666188</v>
      </c>
      <c r="W32" s="136">
        <f t="shared" si="41"/>
        <v>-129274455.99992822</v>
      </c>
      <c r="X32" s="136">
        <f t="shared" si="41"/>
        <v>-209211743.90168524</v>
      </c>
      <c r="Y32" s="136">
        <f t="shared" si="41"/>
        <v>-289881956.96025091</v>
      </c>
      <c r="Z32" s="136">
        <f t="shared" si="41"/>
        <v>-371300130.33568525</v>
      </c>
      <c r="AA32" s="136">
        <f t="shared" si="41"/>
        <v>-453481611.41128695</v>
      </c>
      <c r="AB32" s="136">
        <f t="shared" si="41"/>
        <v>-536442066.32605791</v>
      </c>
    </row>
    <row r="33" spans="2:28" ht="12">
      <c r="C33" s="168"/>
      <c r="D33" s="168"/>
      <c r="E33" s="168"/>
      <c r="F33" s="168"/>
      <c r="G33" s="16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</row>
    <row r="34" spans="2:28" ht="12">
      <c r="B34" s="138" t="s">
        <v>206</v>
      </c>
      <c r="C34" s="139">
        <f t="shared" ref="C34:E34" si="42">+C35-C36</f>
        <v>0</v>
      </c>
      <c r="D34" s="139">
        <f t="shared" si="42"/>
        <v>0</v>
      </c>
      <c r="E34" s="139">
        <f t="shared" si="42"/>
        <v>0</v>
      </c>
      <c r="F34" s="139">
        <f t="shared" ref="F34" si="43">+F35-F36</f>
        <v>0</v>
      </c>
      <c r="G34" s="162">
        <f t="shared" ref="G34:H34" si="44">+G35-G36</f>
        <v>0</v>
      </c>
      <c r="H34" s="140">
        <f t="shared" si="44"/>
        <v>-55792174.581842169</v>
      </c>
      <c r="I34" s="140">
        <f t="shared" ref="I34:Q34" si="45">+I35-I36</f>
        <v>-68329286.294201791</v>
      </c>
      <c r="J34" s="140">
        <f t="shared" si="45"/>
        <v>-68139531.063943759</v>
      </c>
      <c r="K34" s="140">
        <f t="shared" si="45"/>
        <v>-68721901.436264217</v>
      </c>
      <c r="L34" s="140">
        <f t="shared" si="45"/>
        <v>-69582057.73238191</v>
      </c>
      <c r="M34" s="140">
        <f t="shared" si="45"/>
        <v>-72067468.843051568</v>
      </c>
      <c r="N34" s="140">
        <f t="shared" si="45"/>
        <v>-71948196.410883456</v>
      </c>
      <c r="O34" s="140">
        <f t="shared" si="45"/>
        <v>-72327101.3765302</v>
      </c>
      <c r="P34" s="140">
        <f t="shared" si="45"/>
        <v>-72857809.039541975</v>
      </c>
      <c r="Q34" s="140">
        <f t="shared" si="45"/>
        <v>-74342700.550680116</v>
      </c>
      <c r="R34" s="140">
        <f t="shared" ref="R34:U34" si="46">+R35-R36</f>
        <v>-75809649.068895519</v>
      </c>
      <c r="S34" s="140">
        <f t="shared" si="46"/>
        <v>-76748272.886552185</v>
      </c>
      <c r="T34" s="140">
        <f t="shared" si="46"/>
        <v>-77280932.278025344</v>
      </c>
      <c r="U34" s="140">
        <f t="shared" si="46"/>
        <v>-77948259.535239428</v>
      </c>
      <c r="V34" s="140">
        <f t="shared" ref="V34:AB34" si="47">+V35-V36</f>
        <v>0</v>
      </c>
      <c r="W34" s="140">
        <f t="shared" si="47"/>
        <v>0</v>
      </c>
      <c r="X34" s="140">
        <f t="shared" si="47"/>
        <v>0</v>
      </c>
      <c r="Y34" s="140">
        <f t="shared" si="47"/>
        <v>0</v>
      </c>
      <c r="Z34" s="140">
        <f t="shared" si="47"/>
        <v>0</v>
      </c>
      <c r="AA34" s="140">
        <f t="shared" si="47"/>
        <v>0</v>
      </c>
      <c r="AB34" s="140">
        <f t="shared" si="47"/>
        <v>0</v>
      </c>
    </row>
    <row r="35" spans="2:28" ht="12">
      <c r="B35" s="141" t="s">
        <v>207</v>
      </c>
      <c r="C35" s="142"/>
      <c r="D35" s="142"/>
      <c r="E35" s="142"/>
      <c r="F35" s="142"/>
      <c r="G35" s="163"/>
      <c r="H35" s="143">
        <f>'FCFs"0"'!C30</f>
        <v>0</v>
      </c>
      <c r="I35" s="143">
        <f>'FCFs"0"'!D30</f>
        <v>0</v>
      </c>
      <c r="J35" s="143">
        <f>'FCFs"0"'!E30</f>
        <v>0</v>
      </c>
      <c r="K35" s="143">
        <f>'FCFs"0"'!F30</f>
        <v>0</v>
      </c>
      <c r="L35" s="143">
        <f>'FCFs"0"'!G30</f>
        <v>0</v>
      </c>
      <c r="M35" s="143">
        <f>'FCFs"0"'!H30</f>
        <v>0</v>
      </c>
      <c r="N35" s="143">
        <f>'FCFs"0"'!I30</f>
        <v>0</v>
      </c>
      <c r="O35" s="143">
        <f>'FCFs"0"'!J30</f>
        <v>0</v>
      </c>
      <c r="P35" s="143">
        <f>'FCFs"0"'!K30</f>
        <v>0</v>
      </c>
      <c r="Q35" s="143">
        <f>'FCFs"0"'!L30</f>
        <v>0</v>
      </c>
      <c r="R35" s="143">
        <f>'FCFs"0"'!M30</f>
        <v>0</v>
      </c>
      <c r="S35" s="143">
        <f>'FCFs"0"'!N30</f>
        <v>0</v>
      </c>
      <c r="T35" s="143">
        <f>'FCFs"0"'!O30</f>
        <v>0</v>
      </c>
      <c r="U35" s="143">
        <f>'FCFs"0"'!P30</f>
        <v>0</v>
      </c>
      <c r="V35" s="143">
        <f>'FCFs"0"'!Q30</f>
        <v>0</v>
      </c>
      <c r="W35" s="143">
        <f>'FCFs"0"'!R30</f>
        <v>0</v>
      </c>
      <c r="X35" s="143">
        <f>'FCFs"0"'!S30</f>
        <v>0</v>
      </c>
      <c r="Y35" s="143">
        <f>'FCFs"0"'!T30</f>
        <v>0</v>
      </c>
      <c r="Z35" s="143">
        <f>'FCFs"0"'!U30</f>
        <v>0</v>
      </c>
      <c r="AA35" s="143">
        <f>'FCFs"0"'!V30</f>
        <v>0</v>
      </c>
      <c r="AB35" s="143">
        <f>'FCFs"0"'!W30</f>
        <v>0</v>
      </c>
    </row>
    <row r="36" spans="2:28" ht="12">
      <c r="B36" s="144" t="s">
        <v>19</v>
      </c>
      <c r="C36" s="145"/>
      <c r="D36" s="145"/>
      <c r="E36" s="145"/>
      <c r="F36" s="145"/>
      <c r="G36" s="164"/>
      <c r="H36" s="118">
        <f>-'FCFs"0"'!C31</f>
        <v>55792174.581842169</v>
      </c>
      <c r="I36" s="118">
        <f>-'FCFs"0"'!D31</f>
        <v>68329286.294201791</v>
      </c>
      <c r="J36" s="118">
        <f>-'FCFs"0"'!E31</f>
        <v>68139531.063943759</v>
      </c>
      <c r="K36" s="118">
        <f>-'FCFs"0"'!F31</f>
        <v>68721901.436264217</v>
      </c>
      <c r="L36" s="118">
        <f>-'FCFs"0"'!G31</f>
        <v>69582057.73238191</v>
      </c>
      <c r="M36" s="118">
        <f>-'FCFs"0"'!H31</f>
        <v>72067468.843051568</v>
      </c>
      <c r="N36" s="118">
        <f>-'FCFs"0"'!I31</f>
        <v>71948196.410883456</v>
      </c>
      <c r="O36" s="118">
        <f>-'FCFs"0"'!J31</f>
        <v>72327101.3765302</v>
      </c>
      <c r="P36" s="118">
        <f>-'FCFs"0"'!K31</f>
        <v>72857809.039541975</v>
      </c>
      <c r="Q36" s="118">
        <f>-'FCFs"0"'!L31</f>
        <v>74342700.550680116</v>
      </c>
      <c r="R36" s="118">
        <f>-'FCFs"0"'!M31</f>
        <v>75809649.068895519</v>
      </c>
      <c r="S36" s="118">
        <f>-'FCFs"0"'!N31</f>
        <v>76748272.886552185</v>
      </c>
      <c r="T36" s="118">
        <f>-'FCFs"0"'!O31</f>
        <v>77280932.278025344</v>
      </c>
      <c r="U36" s="118">
        <f>-'FCFs"0"'!P31</f>
        <v>77948259.535239428</v>
      </c>
      <c r="V36" s="118">
        <f>-'FCFs"0"'!Q31</f>
        <v>0</v>
      </c>
      <c r="W36" s="118">
        <f>-'FCFs"0"'!R31</f>
        <v>0</v>
      </c>
      <c r="X36" s="118">
        <f>-'FCFs"0"'!S31</f>
        <v>0</v>
      </c>
      <c r="Y36" s="118">
        <f>-'FCFs"0"'!T31</f>
        <v>0</v>
      </c>
      <c r="Z36" s="118">
        <f>-'FCFs"0"'!U31</f>
        <v>0</v>
      </c>
      <c r="AA36" s="118">
        <f>-'FCFs"0"'!V31</f>
        <v>0</v>
      </c>
      <c r="AB36" s="118">
        <f>-'FCFs"0"'!W31</f>
        <v>0</v>
      </c>
    </row>
    <row r="37" spans="2:28" ht="12">
      <c r="C37" s="137"/>
      <c r="D37" s="137"/>
      <c r="E37" s="137"/>
      <c r="F37" s="137"/>
      <c r="G37" s="137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</row>
    <row r="38" spans="2:28" s="117" customFormat="1" ht="12">
      <c r="B38" s="117" t="s">
        <v>208</v>
      </c>
      <c r="C38" s="146">
        <f>C32-'BS"0"'!D41</f>
        <v>-2.1886080503463745E-8</v>
      </c>
      <c r="D38" s="146">
        <f>D32-'BS"0"'!E41</f>
        <v>1.0710209608078003E-8</v>
      </c>
      <c r="E38" s="146">
        <f>E32-'BS"0"'!F41</f>
        <v>0</v>
      </c>
      <c r="F38" s="146">
        <f>F32-'BS"0"'!G41</f>
        <v>0</v>
      </c>
      <c r="G38" s="602">
        <f>G32-'BS"0"'!H41</f>
        <v>-185160.95999996364</v>
      </c>
      <c r="H38" s="146">
        <f>+H31-'FCFs"0"'!C27+H34-H30</f>
        <v>0</v>
      </c>
      <c r="I38" s="146">
        <f>+I31-'FCFs"0"'!D27+I34-I30</f>
        <v>0</v>
      </c>
      <c r="J38" s="146">
        <f>+J31-'FCFs"0"'!E27+J34-J30</f>
        <v>-1.4901161193847656E-8</v>
      </c>
      <c r="K38" s="146">
        <f>+K31-'FCFs"0"'!F27+K34-K30</f>
        <v>-1.4901161193847656E-8</v>
      </c>
      <c r="L38" s="146">
        <f>+L31-'FCFs"0"'!G27+L34-L30</f>
        <v>-7.4505805969238281E-9</v>
      </c>
      <c r="M38" s="146">
        <f>+M31-'FCFs"0"'!H27+M34-M30</f>
        <v>-7.4505805969238281E-9</v>
      </c>
      <c r="N38" s="146">
        <f>+N31-'FCFs"0"'!I27+N34-N30</f>
        <v>0</v>
      </c>
      <c r="O38" s="146">
        <f>+O31-'FCFs"0"'!J27+O34-O30</f>
        <v>1.4901161193847656E-8</v>
      </c>
      <c r="P38" s="146">
        <f>+P31-'FCFs"0"'!K27+P34-P30</f>
        <v>0</v>
      </c>
      <c r="Q38" s="146">
        <f>+Q31-'FCFs"0"'!L27+Q34-Q30</f>
        <v>5.9604644775390625E-8</v>
      </c>
      <c r="R38" s="146">
        <f>+R31-'FCFs"0"'!M27+R34-R30</f>
        <v>2.9802322387695312E-8</v>
      </c>
      <c r="S38" s="146">
        <f>+S31-'FCFs"0"'!N27+S34-S30</f>
        <v>5.9604644775390625E-8</v>
      </c>
      <c r="T38" s="146">
        <f>+T31-'FCFs"0"'!O27+T34-T30</f>
        <v>2.9802322387695312E-8</v>
      </c>
      <c r="U38" s="146">
        <f>+U31-'FCFs"0"'!P27+U34-U30</f>
        <v>1.4901161193847656E-8</v>
      </c>
      <c r="V38" s="146">
        <f>+V31-'FCFs"0"'!Q27+V34-V30</f>
        <v>-1.4901161193847656E-8</v>
      </c>
      <c r="W38" s="146">
        <f>+W31-'FCFs"0"'!R27+W34-W30</f>
        <v>-4.4703483581542969E-8</v>
      </c>
      <c r="X38" s="146">
        <f>+X31-'FCFs"0"'!S27+X34-X30</f>
        <v>2.9802322387695312E-8</v>
      </c>
      <c r="Y38" s="146">
        <f>+Y31-'FCFs"0"'!T27+Y34-Y30</f>
        <v>-2.9802322387695312E-8</v>
      </c>
      <c r="Z38" s="146">
        <f>+Z31-'FCFs"0"'!U27+Z34-Z30</f>
        <v>0</v>
      </c>
      <c r="AA38" s="146">
        <f>+AA31-'FCFs"0"'!V27+AA34-AA30</f>
        <v>0</v>
      </c>
      <c r="AB38" s="146">
        <f>+AB31-'FCFs"0"'!W27+AB34-AB30</f>
        <v>0</v>
      </c>
    </row>
    <row r="39" spans="2:28" ht="12">
      <c r="C39" s="137"/>
      <c r="D39" s="137"/>
      <c r="E39" s="137"/>
      <c r="F39" s="137"/>
      <c r="G39" s="137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</row>
    <row r="40" spans="2:28" ht="12">
      <c r="C40" s="137"/>
      <c r="D40" s="137"/>
      <c r="E40" s="137"/>
      <c r="F40" s="137"/>
      <c r="G40" s="137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</row>
    <row r="41" spans="2:28" ht="12">
      <c r="C41" s="137"/>
      <c r="D41" s="137"/>
      <c r="E41" s="137"/>
      <c r="F41" s="137"/>
      <c r="G41" s="137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2:28" ht="12">
      <c r="C42" s="137"/>
      <c r="D42" s="137"/>
      <c r="E42" s="137"/>
      <c r="F42" s="137"/>
      <c r="G42" s="137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</row>
    <row r="43" spans="2:28" ht="12"/>
    <row r="44" spans="2:28" ht="12"/>
    <row r="45" spans="2:28" ht="12"/>
    <row r="46" spans="2:28" ht="12"/>
    <row r="47" spans="2:28" ht="12"/>
    <row r="48" spans="2:28" ht="12"/>
    <row r="49" ht="12"/>
    <row r="50" ht="12"/>
    <row r="51" ht="12"/>
    <row r="52" ht="12"/>
    <row r="53" ht="12"/>
    <row r="54" ht="12"/>
    <row r="55" ht="12"/>
    <row r="56" ht="12"/>
    <row r="57" ht="12"/>
    <row r="58" ht="12"/>
    <row r="59" ht="12"/>
    <row r="60" ht="12"/>
    <row r="61" ht="12"/>
    <row r="62" ht="12"/>
    <row r="63" ht="12"/>
    <row r="64" ht="12"/>
    <row r="65" ht="12"/>
    <row r="66" ht="12"/>
    <row r="67" ht="12"/>
    <row r="68" ht="12"/>
    <row r="69" ht="12"/>
    <row r="70" ht="12"/>
    <row r="71" ht="12"/>
    <row r="72" ht="12"/>
    <row r="73" ht="12"/>
    <row r="74" ht="12"/>
    <row r="75" ht="12"/>
    <row r="76" ht="12"/>
    <row r="77" ht="12"/>
    <row r="78" ht="12"/>
    <row r="79" ht="12"/>
    <row r="80" ht="12"/>
    <row r="81" ht="12"/>
    <row r="82" ht="12"/>
    <row r="83" ht="12"/>
    <row r="84" ht="12"/>
    <row r="85" ht="12"/>
    <row r="86" ht="12"/>
    <row r="87" ht="12"/>
    <row r="88" ht="12"/>
    <row r="89" ht="12"/>
    <row r="90" ht="12"/>
    <row r="91" ht="12"/>
    <row r="92" ht="12"/>
    <row r="93" ht="12"/>
    <row r="94" ht="12"/>
    <row r="95" ht="12"/>
    <row r="96" ht="12"/>
    <row r="97" ht="12"/>
    <row r="98" ht="12"/>
    <row r="99" ht="12"/>
    <row r="100" ht="12"/>
    <row r="101" ht="12"/>
    <row r="102" ht="12"/>
    <row r="103" ht="12"/>
    <row r="104" ht="12"/>
    <row r="105" ht="12"/>
    <row r="106" ht="12"/>
    <row r="107" ht="12"/>
    <row r="108" ht="12"/>
    <row r="109" ht="12"/>
    <row r="110" ht="12"/>
    <row r="111" ht="12"/>
    <row r="112" ht="12"/>
    <row r="113" ht="12"/>
    <row r="114" ht="12"/>
    <row r="115" ht="12"/>
    <row r="116" ht="12"/>
    <row r="117" ht="12"/>
    <row r="118" ht="12"/>
    <row r="119" ht="12"/>
    <row r="120" ht="12"/>
    <row r="121" ht="12"/>
    <row r="122" ht="12"/>
    <row r="123" ht="12"/>
    <row r="124" ht="12"/>
    <row r="125" ht="12"/>
    <row r="126" ht="12"/>
    <row r="127" ht="12"/>
  </sheetData>
  <pageMargins left="0.70866141732283505" right="0.70866141732283505" top="0.74803149606299202" bottom="0.74803149606299202" header="0.31496062992126" footer="0.31496062992126"/>
  <pageSetup paperSize="9" scale="48" orientation="portrait" r:id="rId1"/>
  <headerFooter>
    <oddHeader>&amp;C&amp;F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EF4EC"/>
  </sheetPr>
  <dimension ref="A2:AD71"/>
  <sheetViews>
    <sheetView topLeftCell="A21" workbookViewId="0">
      <selection activeCell="H37" sqref="H37"/>
    </sheetView>
  </sheetViews>
  <sheetFormatPr baseColWidth="10" defaultColWidth="9.1640625" defaultRowHeight="12" outlineLevelRow="1"/>
  <cols>
    <col min="1" max="1" width="3.1640625" style="8" customWidth="1"/>
    <col min="2" max="2" width="34.6640625" style="8" customWidth="1"/>
    <col min="3" max="3" width="13.33203125" style="8" customWidth="1"/>
    <col min="4" max="23" width="13.33203125" style="41" customWidth="1"/>
    <col min="24" max="24" width="13" style="41" customWidth="1"/>
    <col min="25" max="25" width="4.5" style="41" customWidth="1"/>
    <col min="26" max="26" width="11.1640625" style="41" customWidth="1"/>
    <col min="27" max="28" width="9.1640625" style="41"/>
    <col min="29" max="29" width="10.33203125" style="41" customWidth="1"/>
    <col min="30" max="30" width="10.33203125" style="8" customWidth="1"/>
    <col min="31" max="16384" width="9.1640625" style="8"/>
  </cols>
  <sheetData>
    <row r="2" spans="2:30">
      <c r="J2" s="41">
        <f>J6/I6-1</f>
        <v>1.8423343410501225E-2</v>
      </c>
      <c r="K2" s="41">
        <f t="shared" ref="K2:M2" si="0">K6/J6-1</f>
        <v>1.8767157265185075E-2</v>
      </c>
      <c r="L2" s="41">
        <f t="shared" si="0"/>
        <v>1.8717951758480345E-2</v>
      </c>
      <c r="M2" s="41">
        <f t="shared" si="0"/>
        <v>1.8687053551375454E-2</v>
      </c>
      <c r="N2" s="41">
        <f t="shared" ref="N2" si="1">N6/M6-1</f>
        <v>1.8881035210134289E-2</v>
      </c>
      <c r="O2" s="41">
        <f t="shared" ref="O2" si="2">O6/N6-1</f>
        <v>1.9245815379101305E-2</v>
      </c>
      <c r="P2" s="41">
        <f t="shared" ref="P2" si="3">P6/O6-1</f>
        <v>0.23191080361773175</v>
      </c>
      <c r="Q2" s="41">
        <f t="shared" ref="Q2" si="4">Q6/P6-1</f>
        <v>4.9990355052801583E-2</v>
      </c>
      <c r="R2" s="41">
        <f t="shared" ref="R2" si="5">R6/Q6-1</f>
        <v>4.9990814251624327E-2</v>
      </c>
      <c r="S2" s="41">
        <f t="shared" ref="S2" si="6">S6/R6-1</f>
        <v>4.9991251591679609E-2</v>
      </c>
      <c r="T2" s="41">
        <f t="shared" ref="T2" si="7">T6/S6-1</f>
        <v>4.999166811313227E-2</v>
      </c>
      <c r="U2" s="41">
        <f t="shared" ref="U2" si="8">U6/T6-1</f>
        <v>4.9992064806682945E-2</v>
      </c>
      <c r="V2" s="41">
        <f t="shared" ref="V2" si="9">V6/U6-1</f>
        <v>4.9992442615917954E-2</v>
      </c>
      <c r="W2" s="41">
        <f t="shared" ref="W2" si="10">W6/V6-1</f>
        <v>4.9992802439545514E-2</v>
      </c>
    </row>
    <row r="3" spans="2:30" ht="15" thickBot="1">
      <c r="B3" s="1" t="s">
        <v>20</v>
      </c>
      <c r="C3" s="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AA3" s="117"/>
      <c r="AB3" s="4"/>
      <c r="AC3" s="39"/>
    </row>
    <row r="5" spans="2:30">
      <c r="B5" s="9" t="s">
        <v>21</v>
      </c>
      <c r="C5" s="234">
        <f t="shared" ref="C5:D5" si="11">C16</f>
        <v>44926</v>
      </c>
      <c r="D5" s="235">
        <f t="shared" si="11"/>
        <v>45291</v>
      </c>
      <c r="E5" s="235">
        <f t="shared" ref="E5:M5" si="12">E16</f>
        <v>45657</v>
      </c>
      <c r="F5" s="235">
        <f t="shared" si="12"/>
        <v>46022</v>
      </c>
      <c r="G5" s="235">
        <f t="shared" si="12"/>
        <v>46387</v>
      </c>
      <c r="H5" s="235">
        <f t="shared" si="12"/>
        <v>46752</v>
      </c>
      <c r="I5" s="235">
        <f t="shared" si="12"/>
        <v>47118</v>
      </c>
      <c r="J5" s="235">
        <f t="shared" si="12"/>
        <v>47483</v>
      </c>
      <c r="K5" s="235">
        <f t="shared" si="12"/>
        <v>47848</v>
      </c>
      <c r="L5" s="235">
        <f t="shared" si="12"/>
        <v>48213</v>
      </c>
      <c r="M5" s="235">
        <f t="shared" si="12"/>
        <v>48579</v>
      </c>
      <c r="N5" s="235">
        <f t="shared" ref="N5:P5" si="13">N16</f>
        <v>48944</v>
      </c>
      <c r="O5" s="235">
        <f t="shared" si="13"/>
        <v>49309</v>
      </c>
      <c r="P5" s="235">
        <f t="shared" si="13"/>
        <v>49674</v>
      </c>
      <c r="Q5" s="235">
        <f t="shared" ref="Q5:W5" si="14">Q16</f>
        <v>50040</v>
      </c>
      <c r="R5" s="235">
        <f t="shared" si="14"/>
        <v>50405</v>
      </c>
      <c r="S5" s="235">
        <f t="shared" si="14"/>
        <v>50770</v>
      </c>
      <c r="T5" s="235">
        <f t="shared" si="14"/>
        <v>51135</v>
      </c>
      <c r="U5" s="235">
        <f t="shared" si="14"/>
        <v>51501</v>
      </c>
      <c r="V5" s="235">
        <f t="shared" si="14"/>
        <v>51866</v>
      </c>
      <c r="W5" s="235">
        <f t="shared" si="14"/>
        <v>52231</v>
      </c>
      <c r="X5" s="234" t="s">
        <v>2</v>
      </c>
    </row>
    <row r="6" spans="2:30">
      <c r="B6" s="10" t="s">
        <v>3083</v>
      </c>
      <c r="C6" s="11">
        <f>+SUM(D28:$P$28,$C$36)/C59-C56</f>
        <v>-2063744080.6998522</v>
      </c>
      <c r="D6" s="237">
        <f>+SUM(E28:$P$28,$C$36)/D59-D56</f>
        <v>-2098571554.754143</v>
      </c>
      <c r="E6" s="237">
        <f>+SUM(F28:$P$28,$C$36)/E59-E56</f>
        <v>-2135330157.7414064</v>
      </c>
      <c r="F6" s="237">
        <f>+SUM(G28:$P$28,$C$36)/F59-F56</f>
        <v>-2173344320.505713</v>
      </c>
      <c r="G6" s="237">
        <f>+SUM(H28:$P$28,$C$36)/G59-G56</f>
        <v>-2212399035.1121168</v>
      </c>
      <c r="H6" s="237">
        <f>+SUM(I28:$P$28,$C$36)/H59-H56</f>
        <v>-2250921074.338171</v>
      </c>
      <c r="I6" s="237">
        <f>+SUM(J28:$P$28,$C$36)/I59-I56</f>
        <v>-2291488487.9576964</v>
      </c>
      <c r="J6" s="237">
        <f>+SUM(K28:$P$28,$C$36)/J59-J56</f>
        <v>-2333705367.292551</v>
      </c>
      <c r="K6" s="237">
        <f>+SUM(L28:$P$28,$C$36)/K59-K56</f>
        <v>-2377502382.9311371</v>
      </c>
      <c r="L6" s="237">
        <f>+SUM(M28:$P$28,$C$36)/L59-L56</f>
        <v>-2422004357.8405142</v>
      </c>
      <c r="M6" s="237">
        <f>+SUM(N28:$P$28,$C$36)/M59-M56</f>
        <v>-2467264482.9771447</v>
      </c>
      <c r="N6" s="237">
        <f>+SUM(O28:$P$28,$C$36)/N59-N56</f>
        <v>-2513848990.5529499</v>
      </c>
      <c r="O6" s="237">
        <f>+SUM(P28:$P$28,$C$36)/O59-O56</f>
        <v>-2562230064.1160722</v>
      </c>
      <c r="P6" s="237">
        <f>+SUM($P28:X$28,$C$36)/P59-P56</f>
        <v>-3156438897.3387427</v>
      </c>
      <c r="Q6" s="237">
        <f>+SUM($P28:Y$28,$C$36)/Q59-Q56</f>
        <v>-3314230398.5191798</v>
      </c>
      <c r="R6" s="237">
        <f>+SUM($P28:Z$28,$C$36)/R59-R56</f>
        <v>-3479911474.7586393</v>
      </c>
      <c r="S6" s="237">
        <f>+SUM($P28:AA$28,$C$36)/S59-S56</f>
        <v>-3653876604.8100715</v>
      </c>
      <c r="T6" s="237">
        <f>+SUM($P28:AB$28,$C$36)/T59-T56</f>
        <v>-3836539991.3640752</v>
      </c>
      <c r="U6" s="237">
        <f>+SUM($P28:AC$28,$C$36)/U59-U56</f>
        <v>-4028336547.245779</v>
      </c>
      <c r="V6" s="237">
        <f>+SUM($P28:AD$28,$C$36)/V59-V56</f>
        <v>-4229722930.9215684</v>
      </c>
      <c r="W6" s="237">
        <f>+SUM($P28:AE$28,$C$36)/W59-W56</f>
        <v>-4441178633.781146</v>
      </c>
      <c r="X6" s="236">
        <f>+INDEX(C6:M6,MATCH('summary"0"'!$C$5,'FCFs"0"'!$C$5:$M$5))</f>
        <v>-2467264482.9771447</v>
      </c>
      <c r="AD6" s="40"/>
    </row>
    <row r="7" spans="2:30">
      <c r="B7" s="12" t="s">
        <v>3084</v>
      </c>
      <c r="C7" s="13">
        <f>+SUM(D29:$P$29,$D$36)/C47</f>
        <v>-2063135206.9698522</v>
      </c>
      <c r="D7" s="239">
        <f>+SUM(E29:$P$29,$D$36)/D47</f>
        <v>-2097962681.024143</v>
      </c>
      <c r="E7" s="239">
        <f>+SUM(F29:$P$29,$D$36)/E47</f>
        <v>-2134721284.0114064</v>
      </c>
      <c r="F7" s="239">
        <f>+SUM(G29:$P$29,$D$36)/F47</f>
        <v>-2172735446.775713</v>
      </c>
      <c r="G7" s="239">
        <f>+SUM(H29:$P$29,$D$36)/G47</f>
        <v>-2211790161.3821168</v>
      </c>
      <c r="H7" s="239">
        <f>+SUM(I29:$P$29,$D$36)/H47</f>
        <v>-2250312200.608171</v>
      </c>
      <c r="I7" s="239">
        <f>+SUM(J29:$P$29,$D$36)/I47</f>
        <v>-2290879614.2276964</v>
      </c>
      <c r="J7" s="239">
        <f>+SUM(K29:$P$29,$D$36)/J47</f>
        <v>-2333096493.562551</v>
      </c>
      <c r="K7" s="239">
        <f>+SUM(L29:$P$29,$D$36)/K47</f>
        <v>-2376893509.2011371</v>
      </c>
      <c r="L7" s="239">
        <f>+SUM(M29:$P$29,$D$36)/L47</f>
        <v>-2421395484.1105142</v>
      </c>
      <c r="M7" s="239">
        <f>+SUM(N29:$P$29,$D$36)/M47</f>
        <v>-2466655609.2471447</v>
      </c>
      <c r="N7" s="239">
        <f>+SUM(O29:$P$29,$D$36)/N47</f>
        <v>-2513240116.8229499</v>
      </c>
      <c r="O7" s="239">
        <f>+SUM(P29:$P$29,$D$36)/O47</f>
        <v>-2561621190.3860722</v>
      </c>
      <c r="P7" s="239">
        <f>+SUM($P29:X$29,$D$36)/P47</f>
        <v>-3155830023.6087427</v>
      </c>
      <c r="Q7" s="239">
        <f>+SUM($P29:Y$29,$D$36)/Q47</f>
        <v>-3313621524.7891798</v>
      </c>
      <c r="R7" s="239">
        <f>+SUM($P29:Z$29,$D$36)/R47</f>
        <v>-3479302601.0286393</v>
      </c>
      <c r="S7" s="239">
        <f>+SUM($P29:AA$29,$D$36)/S47</f>
        <v>-3653267731.0800714</v>
      </c>
      <c r="T7" s="239">
        <f>+SUM($P29:AB$29,$D$36)/T47</f>
        <v>-3835931117.6340752</v>
      </c>
      <c r="U7" s="239">
        <f>+SUM($P29:AC$29,$D$36)/U47</f>
        <v>-4027727673.515779</v>
      </c>
      <c r="V7" s="239">
        <f>+SUM($P29:AD$29,$D$36)/V47</f>
        <v>-4229114057.1915684</v>
      </c>
      <c r="W7" s="239">
        <f>+SUM($P29:AE$29,$D$36)/W47</f>
        <v>-4440569760.0511465</v>
      </c>
      <c r="X7" s="238">
        <f>+INDEX(C7:M7,MATCH('summary"0"'!$C$5,'FCFs"0"'!$C$5:$M$5))</f>
        <v>-2466655609.2471447</v>
      </c>
    </row>
    <row r="8" spans="2:30" s="320" customFormat="1">
      <c r="B8" s="315" t="s">
        <v>22</v>
      </c>
      <c r="C8" s="316">
        <f>'BS"0"'!I90</f>
        <v>-52257193.826039158</v>
      </c>
      <c r="D8" s="317">
        <f>'BS"0"'!J90</f>
        <v>-39165744.542257167</v>
      </c>
      <c r="E8" s="317">
        <f>'BS"0"'!K90</f>
        <v>-28831517.622668348</v>
      </c>
      <c r="F8" s="317">
        <f>'BS"0"'!L90</f>
        <v>-21241352.511363991</v>
      </c>
      <c r="G8" s="317">
        <f>'BS"0"'!M90</f>
        <v>-16202924.362123147</v>
      </c>
      <c r="H8" s="317">
        <f>'BS"0"'!N90</f>
        <v>-11477751.997867465</v>
      </c>
      <c r="I8" s="317">
        <f>'BS"0"'!O90</f>
        <v>-9877493.0964992493</v>
      </c>
      <c r="J8" s="317">
        <f>'BS"0"'!P90</f>
        <v>-11149421.029696546</v>
      </c>
      <c r="K8" s="317">
        <f>'BS"0"'!Q90</f>
        <v>-13177581.95420967</v>
      </c>
      <c r="L8" s="317">
        <f>'BS"0"'!R90</f>
        <v>-12953172.889332913</v>
      </c>
      <c r="M8" s="317">
        <f>'BS"0"'!S90</f>
        <v>-12728133.388801999</v>
      </c>
      <c r="N8" s="317">
        <f>'BS"0"'!T90</f>
        <v>-11912312.529359631</v>
      </c>
      <c r="O8" s="317">
        <f>'BS"0"'!U90</f>
        <v>-11221267.409153126</v>
      </c>
      <c r="P8" s="317">
        <f>'BS"0"'!V90</f>
        <v>-10636171.357962862</v>
      </c>
      <c r="Q8" s="317">
        <f>'BS"0"'!W90</f>
        <v>-88938777.543195248</v>
      </c>
      <c r="R8" s="317">
        <f>'BS"0"'!X90</f>
        <v>-168190508.35597965</v>
      </c>
      <c r="S8" s="317">
        <f>'BS"0"'!Y90</f>
        <v>-248036320.31016496</v>
      </c>
      <c r="T8" s="317">
        <f>'BS"0"'!Z90</f>
        <v>-328312811.26640302</v>
      </c>
      <c r="U8" s="317">
        <f>'BS"0"'!AA90</f>
        <v>-409597670.17949539</v>
      </c>
      <c r="V8" s="317">
        <f>'BS"0"'!AB90</f>
        <v>-491911463.2816174</v>
      </c>
      <c r="W8" s="317">
        <f>'BS"0"'!AC90</f>
        <v>-575275180.2050271</v>
      </c>
      <c r="X8" s="318">
        <f>+INDEX(C8:M8,MATCH('summary"0"'!$C$5,'FCFs"0"'!$C$5:$M$5))</f>
        <v>-12728133.388801999</v>
      </c>
      <c r="Y8" s="319"/>
      <c r="Z8" s="319"/>
      <c r="AA8" s="319"/>
      <c r="AB8" s="319"/>
      <c r="AC8" s="319"/>
    </row>
    <row r="9" spans="2:30">
      <c r="C9" s="41"/>
    </row>
    <row r="10" spans="2:30">
      <c r="B10" s="321" t="s">
        <v>257</v>
      </c>
      <c r="C10" s="234">
        <f t="shared" ref="C10:P10" si="15">+C5</f>
        <v>44926</v>
      </c>
      <c r="D10" s="235">
        <f t="shared" si="15"/>
        <v>45291</v>
      </c>
      <c r="E10" s="235">
        <f t="shared" si="15"/>
        <v>45657</v>
      </c>
      <c r="F10" s="235">
        <f t="shared" si="15"/>
        <v>46022</v>
      </c>
      <c r="G10" s="235">
        <f t="shared" si="15"/>
        <v>46387</v>
      </c>
      <c r="H10" s="235">
        <f t="shared" si="15"/>
        <v>46752</v>
      </c>
      <c r="I10" s="235">
        <f t="shared" si="15"/>
        <v>47118</v>
      </c>
      <c r="J10" s="235">
        <f t="shared" si="15"/>
        <v>47483</v>
      </c>
      <c r="K10" s="235">
        <f t="shared" si="15"/>
        <v>47848</v>
      </c>
      <c r="L10" s="235">
        <f t="shared" si="15"/>
        <v>48213</v>
      </c>
      <c r="M10" s="235">
        <f t="shared" si="15"/>
        <v>48579</v>
      </c>
      <c r="N10" s="235">
        <f t="shared" si="15"/>
        <v>48944</v>
      </c>
      <c r="O10" s="235">
        <f t="shared" si="15"/>
        <v>49309</v>
      </c>
      <c r="P10" s="235">
        <f t="shared" si="15"/>
        <v>49674</v>
      </c>
      <c r="Q10" s="235">
        <f t="shared" ref="Q10:W10" si="16">+Q5</f>
        <v>50040</v>
      </c>
      <c r="R10" s="235">
        <f t="shared" si="16"/>
        <v>50405</v>
      </c>
      <c r="S10" s="235">
        <f t="shared" si="16"/>
        <v>50770</v>
      </c>
      <c r="T10" s="235">
        <f t="shared" si="16"/>
        <v>51135</v>
      </c>
      <c r="U10" s="235">
        <f t="shared" si="16"/>
        <v>51501</v>
      </c>
      <c r="V10" s="235">
        <f t="shared" si="16"/>
        <v>51866</v>
      </c>
      <c r="W10" s="235">
        <f t="shared" si="16"/>
        <v>52231</v>
      </c>
      <c r="X10" s="234" t="s">
        <v>2</v>
      </c>
    </row>
    <row r="11" spans="2:30">
      <c r="B11" s="10" t="str">
        <f>B6</f>
        <v>DCFE</v>
      </c>
      <c r="C11" s="236">
        <f t="shared" ref="C11:P11" si="17">+(C6+C68)</f>
        <v>-2035284118.5898523</v>
      </c>
      <c r="D11" s="237">
        <f t="shared" si="17"/>
        <v>-2070111592.6441431</v>
      </c>
      <c r="E11" s="237">
        <f t="shared" si="17"/>
        <v>-2106870195.6314065</v>
      </c>
      <c r="F11" s="237">
        <f t="shared" si="17"/>
        <v>-2144884358.3957131</v>
      </c>
      <c r="G11" s="237">
        <f t="shared" si="17"/>
        <v>-2183939073.0021167</v>
      </c>
      <c r="H11" s="237">
        <f t="shared" si="17"/>
        <v>-2222461112.2281709</v>
      </c>
      <c r="I11" s="237">
        <f t="shared" si="17"/>
        <v>-2263028525.8476963</v>
      </c>
      <c r="J11" s="237">
        <f t="shared" si="17"/>
        <v>-2305245405.1825509</v>
      </c>
      <c r="K11" s="237">
        <f t="shared" si="17"/>
        <v>-2349042420.821137</v>
      </c>
      <c r="L11" s="237">
        <f t="shared" si="17"/>
        <v>-2393544395.730514</v>
      </c>
      <c r="M11" s="237">
        <f t="shared" si="17"/>
        <v>-2438804520.8671446</v>
      </c>
      <c r="N11" s="237">
        <f t="shared" si="17"/>
        <v>-2485389028.4429498</v>
      </c>
      <c r="O11" s="237">
        <f t="shared" si="17"/>
        <v>-2533770102.006072</v>
      </c>
      <c r="P11" s="237">
        <f t="shared" si="17"/>
        <v>-3127978935.2287426</v>
      </c>
      <c r="Q11" s="237">
        <f t="shared" ref="Q11:W11" si="18">+(Q6+Q68)</f>
        <v>-3364285762.439846</v>
      </c>
      <c r="R11" s="237">
        <f t="shared" si="18"/>
        <v>-3609185930.7585673</v>
      </c>
      <c r="S11" s="237">
        <f t="shared" si="18"/>
        <v>-3863088348.7117567</v>
      </c>
      <c r="T11" s="237">
        <f t="shared" si="18"/>
        <v>-4126421948.324326</v>
      </c>
      <c r="U11" s="237">
        <f t="shared" si="18"/>
        <v>-4399636677.5814648</v>
      </c>
      <c r="V11" s="237">
        <f t="shared" si="18"/>
        <v>-4683204542.3328552</v>
      </c>
      <c r="W11" s="237">
        <f t="shared" si="18"/>
        <v>-4977620700.1072044</v>
      </c>
      <c r="X11" s="236">
        <f>+INDEX(C11:M11,MATCH('summary"0"'!$C$5,'FCFs"0"'!$C$10:$M$10))</f>
        <v>-2438804520.8671446</v>
      </c>
    </row>
    <row r="12" spans="2:30">
      <c r="B12" s="12" t="str">
        <f>B7</f>
        <v>DCFF</v>
      </c>
      <c r="C12" s="238">
        <f t="shared" ref="C12:P12" si="19">+(C7+C68)</f>
        <v>-2034675244.8598523</v>
      </c>
      <c r="D12" s="239">
        <f t="shared" si="19"/>
        <v>-2069502718.9141431</v>
      </c>
      <c r="E12" s="239">
        <f t="shared" si="19"/>
        <v>-2106261321.9014065</v>
      </c>
      <c r="F12" s="239">
        <f t="shared" si="19"/>
        <v>-2144275484.6657131</v>
      </c>
      <c r="G12" s="239">
        <f t="shared" si="19"/>
        <v>-2183330199.2721167</v>
      </c>
      <c r="H12" s="239">
        <f t="shared" si="19"/>
        <v>-2221852238.4981709</v>
      </c>
      <c r="I12" s="239">
        <f t="shared" si="19"/>
        <v>-2262419652.1176963</v>
      </c>
      <c r="J12" s="239">
        <f t="shared" si="19"/>
        <v>-2304636531.4525509</v>
      </c>
      <c r="K12" s="239">
        <f t="shared" si="19"/>
        <v>-2348433547.0911369</v>
      </c>
      <c r="L12" s="239">
        <f t="shared" si="19"/>
        <v>-2392935522.000514</v>
      </c>
      <c r="M12" s="239">
        <f t="shared" si="19"/>
        <v>-2438195647.1371446</v>
      </c>
      <c r="N12" s="239">
        <f t="shared" si="19"/>
        <v>-2484780154.7129498</v>
      </c>
      <c r="O12" s="239">
        <f t="shared" si="19"/>
        <v>-2533161228.276072</v>
      </c>
      <c r="P12" s="239">
        <f t="shared" si="19"/>
        <v>-3127370061.4987426</v>
      </c>
      <c r="Q12" s="239">
        <f t="shared" ref="Q12:W12" si="20">+(Q7+Q68)</f>
        <v>-3363676888.709846</v>
      </c>
      <c r="R12" s="239">
        <f t="shared" si="20"/>
        <v>-3608577057.0285673</v>
      </c>
      <c r="S12" s="239">
        <f t="shared" si="20"/>
        <v>-3862479474.9817567</v>
      </c>
      <c r="T12" s="239">
        <f t="shared" si="20"/>
        <v>-4125813074.594326</v>
      </c>
      <c r="U12" s="239">
        <f t="shared" si="20"/>
        <v>-4399027803.8514643</v>
      </c>
      <c r="V12" s="239">
        <f t="shared" si="20"/>
        <v>-4682595668.6028557</v>
      </c>
      <c r="W12" s="239">
        <f t="shared" si="20"/>
        <v>-4977011826.3772049</v>
      </c>
      <c r="X12" s="238">
        <f>+INDEX(C12:M12,MATCH('summary"0"'!$C$5,'FCFs"0"'!$C$10:$M$10))</f>
        <v>-2438195647.1371446</v>
      </c>
    </row>
    <row r="13" spans="2:30">
      <c r="B13" s="12" t="s">
        <v>22</v>
      </c>
      <c r="C13" s="13">
        <f t="shared" ref="C13:P13" si="21">C8</f>
        <v>-52257193.826039158</v>
      </c>
      <c r="D13" s="239">
        <f t="shared" si="21"/>
        <v>-39165744.542257167</v>
      </c>
      <c r="E13" s="239">
        <f t="shared" si="21"/>
        <v>-28831517.622668348</v>
      </c>
      <c r="F13" s="239">
        <f t="shared" si="21"/>
        <v>-21241352.511363991</v>
      </c>
      <c r="G13" s="239">
        <f t="shared" si="21"/>
        <v>-16202924.362123147</v>
      </c>
      <c r="H13" s="239">
        <f t="shared" si="21"/>
        <v>-11477751.997867465</v>
      </c>
      <c r="I13" s="239">
        <f t="shared" si="21"/>
        <v>-9877493.0964992493</v>
      </c>
      <c r="J13" s="239">
        <f t="shared" si="21"/>
        <v>-11149421.029696546</v>
      </c>
      <c r="K13" s="239">
        <f t="shared" si="21"/>
        <v>-13177581.95420967</v>
      </c>
      <c r="L13" s="239">
        <f t="shared" si="21"/>
        <v>-12953172.889332913</v>
      </c>
      <c r="M13" s="239">
        <f t="shared" si="21"/>
        <v>-12728133.388801999</v>
      </c>
      <c r="N13" s="239">
        <f t="shared" si="21"/>
        <v>-11912312.529359631</v>
      </c>
      <c r="O13" s="239">
        <f t="shared" si="21"/>
        <v>-11221267.409153126</v>
      </c>
      <c r="P13" s="239">
        <f t="shared" si="21"/>
        <v>-10636171.357962862</v>
      </c>
      <c r="Q13" s="239">
        <f t="shared" ref="Q13:W13" si="22">Q8</f>
        <v>-88938777.543195248</v>
      </c>
      <c r="R13" s="239">
        <f t="shared" si="22"/>
        <v>-168190508.35597965</v>
      </c>
      <c r="S13" s="239">
        <f t="shared" si="22"/>
        <v>-248036320.31016496</v>
      </c>
      <c r="T13" s="239">
        <f t="shared" si="22"/>
        <v>-328312811.26640302</v>
      </c>
      <c r="U13" s="239">
        <f t="shared" si="22"/>
        <v>-409597670.17949539</v>
      </c>
      <c r="V13" s="239">
        <f t="shared" si="22"/>
        <v>-491911463.2816174</v>
      </c>
      <c r="W13" s="239">
        <f t="shared" si="22"/>
        <v>-575275180.2050271</v>
      </c>
      <c r="X13" s="238">
        <f>+INDEX(C13:M13,MATCH('summary"0"'!$C$5,'FCFs"0"'!$C$10:$M$10))</f>
        <v>-12728133.388801999</v>
      </c>
    </row>
    <row r="14" spans="2:30">
      <c r="C14" s="13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8"/>
    </row>
    <row r="15" spans="2:30">
      <c r="X15" s="252"/>
    </row>
    <row r="16" spans="2:30" ht="11.25" customHeight="1">
      <c r="B16" s="14" t="s">
        <v>23</v>
      </c>
      <c r="C16" s="234">
        <f>+'BS"0"'!I5</f>
        <v>44926</v>
      </c>
      <c r="D16" s="235">
        <f>+'BS"0"'!J5</f>
        <v>45291</v>
      </c>
      <c r="E16" s="235">
        <f>+'BS"0"'!K5</f>
        <v>45657</v>
      </c>
      <c r="F16" s="235">
        <f>+'BS"0"'!L5</f>
        <v>46022</v>
      </c>
      <c r="G16" s="235">
        <f>+'BS"0"'!M5</f>
        <v>46387</v>
      </c>
      <c r="H16" s="235">
        <f>+'BS"0"'!N5</f>
        <v>46752</v>
      </c>
      <c r="I16" s="235">
        <f>+'BS"0"'!O5</f>
        <v>47118</v>
      </c>
      <c r="J16" s="235">
        <f>+'BS"0"'!P5</f>
        <v>47483</v>
      </c>
      <c r="K16" s="235">
        <f>+'BS"0"'!Q5</f>
        <v>47848</v>
      </c>
      <c r="L16" s="235">
        <f>+'BS"0"'!R5</f>
        <v>48213</v>
      </c>
      <c r="M16" s="235">
        <f>+'BS"0"'!S5</f>
        <v>48579</v>
      </c>
      <c r="N16" s="235">
        <f>+'BS"0"'!T5</f>
        <v>48944</v>
      </c>
      <c r="O16" s="235">
        <f>+'BS"0"'!U5</f>
        <v>49309</v>
      </c>
      <c r="P16" s="235">
        <f>+'BS"0"'!V5</f>
        <v>49674</v>
      </c>
      <c r="Q16" s="235">
        <f>+'BS"0"'!W5</f>
        <v>50040</v>
      </c>
      <c r="R16" s="235">
        <f>+'BS"0"'!X5</f>
        <v>50405</v>
      </c>
      <c r="S16" s="235">
        <f>+'BS"0"'!Y5</f>
        <v>50770</v>
      </c>
      <c r="T16" s="235">
        <f>+'BS"0"'!Z5</f>
        <v>51135</v>
      </c>
      <c r="U16" s="235">
        <f>+'BS"0"'!AA5</f>
        <v>51501</v>
      </c>
      <c r="V16" s="235">
        <f>+'BS"0"'!AB5</f>
        <v>51866</v>
      </c>
      <c r="W16" s="235">
        <f>+'BS"0"'!AC5</f>
        <v>52231</v>
      </c>
      <c r="X16" s="234" t="s">
        <v>24</v>
      </c>
    </row>
    <row r="17" spans="2:27" ht="11.25" customHeight="1">
      <c r="B17" s="15" t="s">
        <v>25</v>
      </c>
      <c r="C17" s="11">
        <f>+'PL"0"'!I54</f>
        <v>-50654467.114827156</v>
      </c>
      <c r="D17" s="237">
        <f>+'PL"0"'!J54</f>
        <v>-52374046.241634384</v>
      </c>
      <c r="E17" s="237">
        <f>+'PL"0"'!K54</f>
        <v>-54901469.432360604</v>
      </c>
      <c r="F17" s="237">
        <f>+'PL"0"'!L54</f>
        <v>-58251787.298964448</v>
      </c>
      <c r="G17" s="237">
        <f>+'PL"0"'!M54</f>
        <v>-61653072.812749512</v>
      </c>
      <c r="H17" s="237">
        <f>+'PL"0"'!N54</f>
        <v>-64804899.790278077</v>
      </c>
      <c r="I17" s="237">
        <f>+'PL"0"'!O54</f>
        <v>-67892743.050507411</v>
      </c>
      <c r="J17" s="237">
        <f>+'PL"0"'!P54</f>
        <v>-71025107.133106351</v>
      </c>
      <c r="K17" s="237">
        <f>+'PL"0"'!Q54</f>
        <v>-72397471.214230597</v>
      </c>
      <c r="L17" s="237">
        <f>+'PL"0"'!R54</f>
        <v>-71991962.241689771</v>
      </c>
      <c r="M17" s="237">
        <f>+'PL"0"'!S54</f>
        <v>-73611333.334734738</v>
      </c>
      <c r="N17" s="237">
        <f>+'PL"0"'!T54</f>
        <v>-74115477.865642637</v>
      </c>
      <c r="O17" s="237">
        <f>+'PL"0"'!U54</f>
        <v>-74931473.54142271</v>
      </c>
      <c r="P17" s="237">
        <f>+'PL"0"'!V54</f>
        <v>-75855702.646941185</v>
      </c>
      <c r="Q17" s="237">
        <f>+'PL"0"'!W54</f>
        <v>-76927638.532693684</v>
      </c>
      <c r="R17" s="237">
        <f>+'PL"0"'!X54</f>
        <v>-78021366.581706643</v>
      </c>
      <c r="S17" s="237">
        <f>+'PL"0"'!Y54</f>
        <v>-78513349.636997581</v>
      </c>
      <c r="T17" s="237">
        <f>+'PL"0"'!Z54</f>
        <v>-78722782.350738138</v>
      </c>
      <c r="U17" s="237">
        <f>+'PL"0"'!AA54</f>
        <v>-79884604.615274519</v>
      </c>
      <c r="V17" s="237">
        <f>+'PL"0"'!AB54</f>
        <v>-81070062.198139429</v>
      </c>
      <c r="W17" s="237">
        <f>+'PL"0"'!AC54</f>
        <v>-82279639.881139025</v>
      </c>
      <c r="X17" s="236">
        <f>+M17</f>
        <v>-73611333.334734738</v>
      </c>
      <c r="AA17" s="353"/>
    </row>
    <row r="18" spans="2:27" ht="11.25" customHeight="1">
      <c r="B18" s="16" t="s">
        <v>26</v>
      </c>
      <c r="C18" s="13">
        <f>+'PL"0"'!I23</f>
        <v>4846695.1041666688</v>
      </c>
      <c r="D18" s="239">
        <f>+'PL"0"'!J23</f>
        <v>6156315.0388158597</v>
      </c>
      <c r="E18" s="239">
        <f>+'PL"0"'!K23</f>
        <v>8534533.6094973274</v>
      </c>
      <c r="F18" s="239">
        <f>+'PL"0"'!L23</f>
        <v>10914924.959136931</v>
      </c>
      <c r="G18" s="239">
        <f>+'PL"0"'!M23</f>
        <v>13297950.826180108</v>
      </c>
      <c r="H18" s="239">
        <f>+'PL"0"'!N23</f>
        <v>15692540.956811899</v>
      </c>
      <c r="I18" s="239">
        <f>+'PL"0"'!O23</f>
        <v>18013735.410146296</v>
      </c>
      <c r="J18" s="239">
        <f>+'PL"0"'!P23</f>
        <v>20273011.916609157</v>
      </c>
      <c r="K18" s="239">
        <f>+'PL"0"'!Q23</f>
        <v>20633119.833471134</v>
      </c>
      <c r="L18" s="239">
        <f>+'PL"0"'!R23</f>
        <v>19199311.310270887</v>
      </c>
      <c r="M18" s="239">
        <f>+'PL"0"'!S23</f>
        <v>19765803.344187789</v>
      </c>
      <c r="N18" s="239">
        <f>+'PL"0"'!T23</f>
        <v>20378220.072313197</v>
      </c>
      <c r="O18" s="239">
        <f>+'PL"0"'!U23</f>
        <v>21030651.4840413</v>
      </c>
      <c r="P18" s="239">
        <f>+'PL"0"'!V23</f>
        <v>21789429.585473225</v>
      </c>
      <c r="Q18" s="239">
        <f>+'PL"0"'!W23</f>
        <v>22646723.12273242</v>
      </c>
      <c r="R18" s="239">
        <f>+'PL"0"'!X23</f>
        <v>23521162.530736797</v>
      </c>
      <c r="S18" s="239">
        <f>+'PL"0"'!Y23</f>
        <v>23789106.786901273</v>
      </c>
      <c r="T18" s="239">
        <f>+'PL"0"'!Z23</f>
        <v>23769644.326989017</v>
      </c>
      <c r="U18" s="239">
        <f>+'PL"0"'!AA23</f>
        <v>24697606.422278523</v>
      </c>
      <c r="V18" s="239">
        <f>+'PL"0"'!AB23</f>
        <v>25644127.759473823</v>
      </c>
      <c r="W18" s="239">
        <f>+'PL"0"'!AC23</f>
        <v>26609579.523413032</v>
      </c>
      <c r="X18" s="238">
        <f>+M18</f>
        <v>19765803.344187789</v>
      </c>
      <c r="AA18" s="353"/>
    </row>
    <row r="19" spans="2:27" ht="11.25" customHeight="1">
      <c r="B19" s="17" t="s">
        <v>27</v>
      </c>
      <c r="C19" s="18">
        <f>-(+'BS"0"'!I23-'BS"0"'!H23+'BS"0"'!I42-'BS"0"'!H42+'BS"0"'!I33-'BS"0"'!H33+'BS"0"'!H71-'BS"0"'!I71+'BS"0"'!H83-'BS"0"'!I83)</f>
        <v>2104396.8255800605</v>
      </c>
      <c r="D19" s="250">
        <f>-(+'BS"0"'!J23-'BS"0"'!I23+'BS"0"'!J42-'BS"0"'!I42+'BS"0"'!J33-'BS"0"'!I33+'BS"0"'!I71-'BS"0"'!J71+'BS"0"'!I83-'BS"0"'!J83)</f>
        <v>-158768.28509280086</v>
      </c>
      <c r="E19" s="250">
        <f>-(+'BS"0"'!K23-'BS"0"'!J23+'BS"0"'!K42-'BS"0"'!J42+'BS"0"'!K33-'BS"0"'!J33+'BS"0"'!J71-'BS"0"'!K71+'BS"0"'!J83-'BS"0"'!K83)</f>
        <v>200247.98636204004</v>
      </c>
      <c r="F19" s="250">
        <f>-(+'BS"0"'!L23-'BS"0"'!K23+'BS"0"'!L42-'BS"0"'!K42+'BS"0"'!L33-'BS"0"'!K33+'BS"0"'!K71-'BS"0"'!L71+'BS"0"'!K83-'BS"0"'!L83)</f>
        <v>612122.75319260359</v>
      </c>
      <c r="G19" s="250">
        <f>-(+'BS"0"'!M23-'BS"0"'!L23+'BS"0"'!M42-'BS"0"'!L42+'BS"0"'!M33-'BS"0"'!L33+'BS"0"'!L71-'BS"0"'!M71+'BS"0"'!L83-'BS"0"'!M83)</f>
        <v>876973.1523271203</v>
      </c>
      <c r="H19" s="250">
        <f>-(+'BS"0"'!N23-'BS"0"'!M23+'BS"0"'!N42-'BS"0"'!M42+'BS"0"'!N33-'BS"0"'!M33+'BS"0"'!M71-'BS"0"'!N71+'BS"0"'!M83-'BS"0"'!N83)</f>
        <v>-1528699.6711140573</v>
      </c>
      <c r="I19" s="250">
        <f>-(+'BS"0"'!O23-'BS"0"'!N23+'BS"0"'!O42-'BS"0"'!N42+'BS"0"'!O33-'BS"0"'!N33+'BS"0"'!N71-'BS"0"'!O71+'BS"0"'!N83-'BS"0"'!O83)</f>
        <v>-1214328.71086514</v>
      </c>
      <c r="J19" s="250">
        <f>-(+'BS"0"'!P23-'BS"0"'!O23+'BS"0"'!P42-'BS"0"'!O42+'BS"0"'!P33-'BS"0"'!O33+'BS"0"'!O71-'BS"0"'!P71+'BS"0"'!O83-'BS"0"'!P83)</f>
        <v>-303048.89918267727</v>
      </c>
      <c r="K19" s="250">
        <f>-(+'BS"0"'!Q23-'BS"0"'!P23+'BS"0"'!Q42-'BS"0"'!P42+'BS"0"'!Q33-'BS"0"'!P33+'BS"0"'!P71-'BS"0"'!Q71+'BS"0"'!P83-'BS"0"'!Q83)</f>
        <v>603938.74728482962</v>
      </c>
      <c r="L19" s="250">
        <f>-(+'BS"0"'!R23-'BS"0"'!Q23+'BS"0"'!R42-'BS"0"'!Q42+'BS"0"'!R33-'BS"0"'!Q33+'BS"0"'!Q71-'BS"0"'!R71+'BS"0"'!Q83-'BS"0"'!R83)</f>
        <v>581294.71492746472</v>
      </c>
      <c r="M19" s="250">
        <f>-(+'BS"0"'!S23-'BS"0"'!R23+'BS"0"'!S42-'BS"0"'!R42+'BS"0"'!S33-'BS"0"'!R33+'BS"0"'!R71-'BS"0"'!S71+'BS"0"'!R83-'BS"0"'!S83)</f>
        <v>609852.14252391458</v>
      </c>
      <c r="N19" s="250">
        <f>-(+'BS"0"'!T23-'BS"0"'!S23+'BS"0"'!T42-'BS"0"'!S42+'BS"0"'!T33-'BS"0"'!S33+'BS"0"'!S71-'BS"0"'!T71+'BS"0"'!S83-'BS"0"'!T83)</f>
        <v>14435.552067160606</v>
      </c>
      <c r="O19" s="250">
        <f>-(+'BS"0"'!U23-'BS"0"'!T23+'BS"0"'!U42-'BS"0"'!T42+'BS"0"'!U33-'BS"0"'!T33+'BS"0"'!T71-'BS"0"'!U71+'BS"0"'!T83-'BS"0"'!U83)</f>
        <v>105849.43755176663</v>
      </c>
      <c r="P19" s="250">
        <f>-(+'BS"0"'!V23-'BS"0"'!U23+'BS"0"'!V42-'BS"0"'!U42+'BS"0"'!V33-'BS"0"'!U33+'BS"0"'!U71-'BS"0"'!V71+'BS"0"'!U83-'BS"0"'!V83)</f>
        <v>73692.377588152885</v>
      </c>
      <c r="Q19" s="250">
        <f>-(+'BS"0"'!W23-'BS"0"'!V23+'BS"0"'!W42-'BS"0"'!V42+'BS"0"'!W33-'BS"0"'!V33+'BS"0"'!V71-'BS"0"'!W71+'BS"0"'!V83-'BS"0"'!W83)</f>
        <v>200381.80768191814</v>
      </c>
      <c r="R19" s="250">
        <f>-(+'BS"0"'!X23-'BS"0"'!W23+'BS"0"'!X42-'BS"0"'!W42+'BS"0"'!X33-'BS"0"'!W33+'BS"0"'!W71-'BS"0"'!X71+'BS"0"'!W83-'BS"0"'!X83)</f>
        <v>204600.24866238236</v>
      </c>
      <c r="S19" s="250">
        <f>-(+'BS"0"'!Y23-'BS"0"'!X23+'BS"0"'!Y42-'BS"0"'!X42+'BS"0"'!Y33-'BS"0"'!X33+'BS"0"'!X71-'BS"0"'!Y71+'BS"0"'!X83-'BS"0"'!Y83)</f>
        <v>208912.99083301425</v>
      </c>
      <c r="T19" s="250">
        <f>-(+'BS"0"'!Z23-'BS"0"'!Y23+'BS"0"'!Z42-'BS"0"'!Y42+'BS"0"'!Z33-'BS"0"'!Y33+'BS"0"'!Y71-'BS"0"'!Z71+'BS"0"'!Y83-'BS"0"'!Z83)</f>
        <v>213322.16852712631</v>
      </c>
      <c r="U19" s="250">
        <f>-(+'BS"0"'!AA23-'BS"0"'!Z23+'BS"0"'!AA42-'BS"0"'!Z42+'BS"0"'!AA33-'BS"0"'!Z33+'BS"0"'!Z71-'BS"0"'!AA71+'BS"0"'!Z83-'BS"0"'!AA83)</f>
        <v>217829.96497189999</v>
      </c>
      <c r="V19" s="250">
        <f>-(+'BS"0"'!AB23-'BS"0"'!AA23+'BS"0"'!AB42-'BS"0"'!AA42+'BS"0"'!AB33-'BS"0"'!AA33+'BS"0"'!AA71-'BS"0"'!AB71+'BS"0"'!AA83-'BS"0"'!AB83)</f>
        <v>222438.6134224534</v>
      </c>
      <c r="W19" s="250">
        <f>-(+'BS"0"'!AC23-'BS"0"'!AB23+'BS"0"'!AC42-'BS"0"'!AB42+'BS"0"'!AC33-'BS"0"'!AB33+'BS"0"'!AB71-'BS"0"'!AC71+'BS"0"'!AB83-'BS"0"'!AC83)</f>
        <v>227150.39832079411</v>
      </c>
      <c r="X19" s="253">
        <f>+M19</f>
        <v>609852.14252391458</v>
      </c>
      <c r="AA19" s="353"/>
    </row>
    <row r="20" spans="2:27" ht="11.25" customHeight="1">
      <c r="B20" s="17" t="s">
        <v>12</v>
      </c>
      <c r="C20" s="18">
        <f>'CF"0"'!H24</f>
        <v>-12088799.396761749</v>
      </c>
      <c r="D20" s="250">
        <f>'CF"0"'!I24</f>
        <v>-21952786.806290466</v>
      </c>
      <c r="E20" s="250">
        <f>'CF"0"'!J24</f>
        <v>-21972843.227442522</v>
      </c>
      <c r="F20" s="250">
        <f>'CF"0"'!K24</f>
        <v>-21997161.849629313</v>
      </c>
      <c r="G20" s="250">
        <f>'CF"0"'!L24</f>
        <v>-22103908.898139633</v>
      </c>
      <c r="H20" s="250">
        <f>'CF"0"'!M24</f>
        <v>-21426410.338471331</v>
      </c>
      <c r="I20" s="250">
        <f>'CF"0"'!N24</f>
        <v>-20854860.059657201</v>
      </c>
      <c r="J20" s="250">
        <f>'CF"0"'!O24</f>
        <v>-21271957.260850329</v>
      </c>
      <c r="K20" s="250">
        <f>'CF"0"'!P24</f>
        <v>-21697396.406067342</v>
      </c>
      <c r="L20" s="250">
        <f>'CF"0"'!Q24</f>
        <v>-22131344.334188696</v>
      </c>
      <c r="M20" s="250">
        <f>'CF"0"'!R24</f>
        <v>-22573971.220872484</v>
      </c>
      <c r="N20" s="250">
        <f>'CF"0"'!S24</f>
        <v>-23025450.645289905</v>
      </c>
      <c r="O20" s="250">
        <f>'CF"0"'!T24</f>
        <v>-23485959.6581957</v>
      </c>
      <c r="P20" s="250">
        <f>'CF"0"'!U24</f>
        <v>-23955678.851359621</v>
      </c>
      <c r="Q20" s="250">
        <f>'CF"0"'!V24</f>
        <v>-24434792.428386826</v>
      </c>
      <c r="R20" s="250">
        <f>'CF"0"'!W24</f>
        <v>-24923488.276954584</v>
      </c>
      <c r="S20" s="250">
        <f>'CF"0"'!X24</f>
        <v>-25421958.042493619</v>
      </c>
      <c r="T20" s="250">
        <f>'CF"0"'!Y24</f>
        <v>-25930397.203343533</v>
      </c>
      <c r="U20" s="250">
        <f>'CF"0"'!Z24</f>
        <v>-26449005.147410363</v>
      </c>
      <c r="V20" s="250">
        <f>'CF"0"'!AA24</f>
        <v>-26977985.250358604</v>
      </c>
      <c r="W20" s="250">
        <f>'CF"0"'!AB24</f>
        <v>-27517544.955365777</v>
      </c>
      <c r="X20" s="253">
        <f>M20</f>
        <v>-22573971.220872484</v>
      </c>
      <c r="AA20" s="353"/>
    </row>
    <row r="21" spans="2:27" ht="11.25" customHeight="1">
      <c r="B21" s="17" t="s">
        <v>28</v>
      </c>
      <c r="C21" s="18">
        <f>'BS"0"'!I65-'BS"0"'!H65+'BS"0"'!H27-'BS"0"'!I27</f>
        <v>0</v>
      </c>
      <c r="D21" s="250">
        <f>'BS"0"'!J65-'BS"0"'!I65+'BS"0"'!I27-'BS"0"'!J27</f>
        <v>0</v>
      </c>
      <c r="E21" s="250">
        <f>'BS"0"'!K65-'BS"0"'!J65+'BS"0"'!J27-'BS"0"'!K27</f>
        <v>0</v>
      </c>
      <c r="F21" s="250">
        <f>'BS"0"'!L65-'BS"0"'!K65+'BS"0"'!K27-'BS"0"'!L27</f>
        <v>0</v>
      </c>
      <c r="G21" s="250">
        <f>'BS"0"'!M65-'BS"0"'!L65+'BS"0"'!L27-'BS"0"'!M27</f>
        <v>0</v>
      </c>
      <c r="H21" s="250">
        <f>'BS"0"'!N65-'BS"0"'!M65+'BS"0"'!M27-'BS"0"'!N27</f>
        <v>0</v>
      </c>
      <c r="I21" s="250">
        <f>'BS"0"'!O65-'BS"0"'!N65+'BS"0"'!N27-'BS"0"'!O27</f>
        <v>0</v>
      </c>
      <c r="J21" s="250">
        <f>'BS"0"'!P65-'BS"0"'!O65+'BS"0"'!O27-'BS"0"'!P27</f>
        <v>0</v>
      </c>
      <c r="K21" s="250">
        <f>'BS"0"'!Q65-'BS"0"'!P65+'BS"0"'!P27-'BS"0"'!Q27</f>
        <v>0</v>
      </c>
      <c r="L21" s="250">
        <f>'BS"0"'!R65-'BS"0"'!Q65+'BS"0"'!Q27-'BS"0"'!R27</f>
        <v>0</v>
      </c>
      <c r="M21" s="250">
        <f>'BS"0"'!S65-'BS"0"'!R65+'BS"0"'!R27-'BS"0"'!S27</f>
        <v>0</v>
      </c>
      <c r="N21" s="250">
        <f>'BS"0"'!T65-'BS"0"'!S65+'BS"0"'!S27-'BS"0"'!T27</f>
        <v>0</v>
      </c>
      <c r="O21" s="250">
        <f>'BS"0"'!U65-'BS"0"'!T65+'BS"0"'!T27-'BS"0"'!U27</f>
        <v>0</v>
      </c>
      <c r="P21" s="250">
        <f>'BS"0"'!V65-'BS"0"'!U65+'BS"0"'!U27-'BS"0"'!V27</f>
        <v>0</v>
      </c>
      <c r="Q21" s="250">
        <f>'BS"0"'!W65-'BS"0"'!V65+'BS"0"'!V27-'BS"0"'!W27</f>
        <v>0</v>
      </c>
      <c r="R21" s="250">
        <f>'BS"0"'!X65-'BS"0"'!W65+'BS"0"'!W27-'BS"0"'!X27</f>
        <v>0</v>
      </c>
      <c r="S21" s="250">
        <f>'BS"0"'!Y65-'BS"0"'!X65+'BS"0"'!X27-'BS"0"'!Y27</f>
        <v>0</v>
      </c>
      <c r="T21" s="250">
        <f>'BS"0"'!Z65-'BS"0"'!Y65+'BS"0"'!Y27-'BS"0"'!Z27</f>
        <v>0</v>
      </c>
      <c r="U21" s="250">
        <f>'BS"0"'!AA65-'BS"0"'!Z65+'BS"0"'!Z27-'BS"0"'!AA27</f>
        <v>0</v>
      </c>
      <c r="V21" s="250">
        <f>'BS"0"'!AB65-'BS"0"'!AA65+'BS"0"'!AA27-'BS"0"'!AB27</f>
        <v>0</v>
      </c>
      <c r="W21" s="250">
        <f>'BS"0"'!AC65-'BS"0"'!AB65+'BS"0"'!AB27-'BS"0"'!AC27</f>
        <v>0</v>
      </c>
      <c r="X21" s="253"/>
      <c r="AA21" s="353"/>
    </row>
    <row r="22" spans="2:27" ht="11.25" customHeight="1">
      <c r="B22" s="17" t="s">
        <v>29</v>
      </c>
      <c r="C22" s="18">
        <f>+'BS"0"'!I61-'BS"0"'!H61</f>
        <v>0</v>
      </c>
      <c r="D22" s="250">
        <f>+'BS"0"'!J61-'BS"0"'!I61</f>
        <v>0</v>
      </c>
      <c r="E22" s="250">
        <f>+'BS"0"'!K61-'BS"0"'!J61</f>
        <v>0</v>
      </c>
      <c r="F22" s="250">
        <f>+'BS"0"'!L61-'BS"0"'!K61</f>
        <v>0</v>
      </c>
      <c r="G22" s="250">
        <f>+'BS"0"'!M61-'BS"0"'!L61</f>
        <v>0</v>
      </c>
      <c r="H22" s="250">
        <f>+'BS"0"'!N61-'BS"0"'!M61</f>
        <v>0</v>
      </c>
      <c r="I22" s="250">
        <f>+'BS"0"'!O61-'BS"0"'!N61</f>
        <v>0</v>
      </c>
      <c r="J22" s="250">
        <f>+'BS"0"'!P61-'BS"0"'!O61</f>
        <v>0</v>
      </c>
      <c r="K22" s="250">
        <f>+'BS"0"'!Q61-'BS"0"'!P61</f>
        <v>0</v>
      </c>
      <c r="L22" s="250">
        <f>+'BS"0"'!R61-'BS"0"'!Q61</f>
        <v>0</v>
      </c>
      <c r="M22" s="250">
        <f>+'BS"0"'!S61-'BS"0"'!R61</f>
        <v>0</v>
      </c>
      <c r="N22" s="250">
        <f>+'BS"0"'!T61-'BS"0"'!S61</f>
        <v>0</v>
      </c>
      <c r="O22" s="250">
        <f>+'BS"0"'!U61-'BS"0"'!T61</f>
        <v>0</v>
      </c>
      <c r="P22" s="250">
        <f>+'BS"0"'!V61-'BS"0"'!U61</f>
        <v>0</v>
      </c>
      <c r="Q22" s="250">
        <f>+'BS"0"'!W61-'BS"0"'!V61</f>
        <v>0</v>
      </c>
      <c r="R22" s="250">
        <f>+'BS"0"'!X61-'BS"0"'!W61</f>
        <v>0</v>
      </c>
      <c r="S22" s="250">
        <f>+'BS"0"'!Y61-'BS"0"'!X61</f>
        <v>0</v>
      </c>
      <c r="T22" s="250">
        <f>+'BS"0"'!Z61-'BS"0"'!Y61</f>
        <v>0</v>
      </c>
      <c r="U22" s="250">
        <f>+'BS"0"'!AA61-'BS"0"'!Z61</f>
        <v>0</v>
      </c>
      <c r="V22" s="250">
        <f>+'BS"0"'!AB61-'BS"0"'!AA61</f>
        <v>0</v>
      </c>
      <c r="W22" s="250">
        <f>+'BS"0"'!AC61-'BS"0"'!AB61</f>
        <v>0</v>
      </c>
      <c r="X22" s="253"/>
      <c r="AA22" s="353"/>
    </row>
    <row r="23" spans="2:27" ht="11.25" customHeight="1">
      <c r="B23" s="17" t="s">
        <v>30</v>
      </c>
      <c r="C23" s="18">
        <f>+'PL"0"'!I40*(1-'FCFs"0"'!C49)</f>
        <v>0</v>
      </c>
      <c r="D23" s="250">
        <f>+'PL"0"'!J40*(1-'FCFs"0"'!D49)</f>
        <v>0</v>
      </c>
      <c r="E23" s="250">
        <f>+'PL"0"'!K40*(1-'FCFs"0"'!E49)</f>
        <v>0</v>
      </c>
      <c r="F23" s="250">
        <f>+'PL"0"'!L40*(1-'FCFs"0"'!F49)</f>
        <v>0</v>
      </c>
      <c r="G23" s="250">
        <f>+'PL"0"'!M40*(1-'FCFs"0"'!G49)</f>
        <v>0</v>
      </c>
      <c r="H23" s="250">
        <f>+'PL"0"'!N40*(1-'FCFs"0"'!H49)</f>
        <v>0</v>
      </c>
      <c r="I23" s="250">
        <f>+'PL"0"'!O40*(1-'FCFs"0"'!I49)</f>
        <v>0</v>
      </c>
      <c r="J23" s="250">
        <f>+'PL"0"'!P40*(1-'FCFs"0"'!J49)</f>
        <v>0</v>
      </c>
      <c r="K23" s="250">
        <f>+'PL"0"'!Q40*(1-'FCFs"0"'!K49)</f>
        <v>0</v>
      </c>
      <c r="L23" s="250">
        <f>+'PL"0"'!R40*(1-'FCFs"0"'!L49)</f>
        <v>0</v>
      </c>
      <c r="M23" s="250">
        <f>+'PL"0"'!S40*(1-'FCFs"0"'!M49)</f>
        <v>0</v>
      </c>
      <c r="N23" s="250">
        <f>+'PL"0"'!T40*(1-'FCFs"0"'!N49)</f>
        <v>0</v>
      </c>
      <c r="O23" s="250">
        <f>+'PL"0"'!U40*(1-'FCFs"0"'!O49)</f>
        <v>0</v>
      </c>
      <c r="P23" s="250">
        <f>+'PL"0"'!V40*(1-'FCFs"0"'!P49)</f>
        <v>0</v>
      </c>
      <c r="Q23" s="250">
        <f>+'PL"0"'!W40*(1-'FCFs"0"'!Q49)</f>
        <v>0</v>
      </c>
      <c r="R23" s="250">
        <f>+'PL"0"'!X40*(1-'FCFs"0"'!R49)</f>
        <v>0</v>
      </c>
      <c r="S23" s="250">
        <f>+'PL"0"'!Y40*(1-'FCFs"0"'!S49)</f>
        <v>0</v>
      </c>
      <c r="T23" s="250">
        <f>+'PL"0"'!Z40*(1-'FCFs"0"'!T49)</f>
        <v>0</v>
      </c>
      <c r="U23" s="250">
        <f>+'PL"0"'!AA40*(1-'FCFs"0"'!U49)</f>
        <v>0</v>
      </c>
      <c r="V23" s="250">
        <f>+'PL"0"'!AB40*(1-'FCFs"0"'!V49)</f>
        <v>0</v>
      </c>
      <c r="W23" s="250">
        <f>+'PL"0"'!AC40*(1-'FCFs"0"'!W49)</f>
        <v>0</v>
      </c>
      <c r="X23" s="253">
        <f>+M23</f>
        <v>0</v>
      </c>
      <c r="AA23" s="353"/>
    </row>
    <row r="24" spans="2:27" ht="11.25" customHeight="1">
      <c r="B24" s="19" t="s">
        <v>31</v>
      </c>
      <c r="C24" s="20">
        <f>+C17+C18+C19+C20+C23+C22+C21</f>
        <v>-55792174.581842169</v>
      </c>
      <c r="D24" s="254">
        <f t="shared" ref="D24:M24" si="23">+D17+D18+D19+D20+D23+D22+D21</f>
        <v>-68329286.294201791</v>
      </c>
      <c r="E24" s="254">
        <f t="shared" si="23"/>
        <v>-68139531.063943759</v>
      </c>
      <c r="F24" s="254">
        <f t="shared" si="23"/>
        <v>-68721901.436264217</v>
      </c>
      <c r="G24" s="254">
        <f t="shared" si="23"/>
        <v>-69582057.73238191</v>
      </c>
      <c r="H24" s="254">
        <f t="shared" si="23"/>
        <v>-72067468.843051568</v>
      </c>
      <c r="I24" s="254">
        <f t="shared" si="23"/>
        <v>-71948196.410883456</v>
      </c>
      <c r="J24" s="254">
        <f t="shared" si="23"/>
        <v>-72327101.3765302</v>
      </c>
      <c r="K24" s="254">
        <f t="shared" si="23"/>
        <v>-72857809.039541975</v>
      </c>
      <c r="L24" s="254">
        <f t="shared" si="23"/>
        <v>-74342700.550680116</v>
      </c>
      <c r="M24" s="254">
        <f t="shared" si="23"/>
        <v>-75809649.068895519</v>
      </c>
      <c r="N24" s="254">
        <f t="shared" ref="N24:P24" si="24">+N17+N18+N19+N20+N23+N22+N21</f>
        <v>-76748272.886552185</v>
      </c>
      <c r="O24" s="254">
        <f t="shared" si="24"/>
        <v>-77280932.278025344</v>
      </c>
      <c r="P24" s="254">
        <f t="shared" si="24"/>
        <v>-77948259.535239428</v>
      </c>
      <c r="Q24" s="254">
        <f t="shared" ref="Q24:W24" si="25">+Q17+Q18+Q19+Q20+Q23+Q22+Q21</f>
        <v>-78515326.030666173</v>
      </c>
      <c r="R24" s="254">
        <f t="shared" si="25"/>
        <v>-79219092.079262048</v>
      </c>
      <c r="S24" s="254">
        <f t="shared" si="25"/>
        <v>-79937287.901756912</v>
      </c>
      <c r="T24" s="254">
        <f t="shared" si="25"/>
        <v>-80670213.058565527</v>
      </c>
      <c r="U24" s="254">
        <f t="shared" si="25"/>
        <v>-81418173.375434458</v>
      </c>
      <c r="V24" s="254">
        <f t="shared" si="25"/>
        <v>-82181481.075601757</v>
      </c>
      <c r="W24" s="254">
        <f t="shared" si="25"/>
        <v>-82960454.914770976</v>
      </c>
      <c r="X24" s="256">
        <f t="shared" ref="X24" si="26">+X17+X18+X19+X20+X23+X22+X21</f>
        <v>-75809649.068895519</v>
      </c>
      <c r="AA24" s="353"/>
    </row>
    <row r="25" spans="2:27" ht="11.25" customHeight="1">
      <c r="B25" s="17" t="s">
        <v>30</v>
      </c>
      <c r="C25" s="18">
        <f>-C23</f>
        <v>0</v>
      </c>
      <c r="D25" s="250">
        <f t="shared" ref="D25:M25" si="27">-D23</f>
        <v>0</v>
      </c>
      <c r="E25" s="250">
        <f t="shared" si="27"/>
        <v>0</v>
      </c>
      <c r="F25" s="250">
        <f t="shared" si="27"/>
        <v>0</v>
      </c>
      <c r="G25" s="250">
        <f t="shared" si="27"/>
        <v>0</v>
      </c>
      <c r="H25" s="250">
        <f t="shared" si="27"/>
        <v>0</v>
      </c>
      <c r="I25" s="250">
        <f t="shared" si="27"/>
        <v>0</v>
      </c>
      <c r="J25" s="250">
        <f t="shared" si="27"/>
        <v>0</v>
      </c>
      <c r="K25" s="250">
        <f t="shared" si="27"/>
        <v>0</v>
      </c>
      <c r="L25" s="250">
        <f t="shared" si="27"/>
        <v>0</v>
      </c>
      <c r="M25" s="250">
        <f t="shared" si="27"/>
        <v>0</v>
      </c>
      <c r="N25" s="250">
        <f t="shared" ref="N25:P25" si="28">-N23</f>
        <v>0</v>
      </c>
      <c r="O25" s="250">
        <f t="shared" si="28"/>
        <v>0</v>
      </c>
      <c r="P25" s="250">
        <f t="shared" si="28"/>
        <v>0</v>
      </c>
      <c r="Q25" s="250">
        <f t="shared" ref="Q25:W25" si="29">-Q23</f>
        <v>0</v>
      </c>
      <c r="R25" s="250">
        <f t="shared" si="29"/>
        <v>0</v>
      </c>
      <c r="S25" s="250">
        <f t="shared" si="29"/>
        <v>0</v>
      </c>
      <c r="T25" s="250">
        <f t="shared" si="29"/>
        <v>0</v>
      </c>
      <c r="U25" s="250">
        <f t="shared" si="29"/>
        <v>0</v>
      </c>
      <c r="V25" s="250">
        <f t="shared" si="29"/>
        <v>0</v>
      </c>
      <c r="W25" s="250">
        <f t="shared" si="29"/>
        <v>0</v>
      </c>
      <c r="X25" s="253">
        <f>+M25</f>
        <v>0</v>
      </c>
      <c r="AA25" s="353"/>
    </row>
    <row r="26" spans="2:27" ht="11.25" customHeight="1">
      <c r="B26" s="17" t="s">
        <v>32</v>
      </c>
      <c r="C26" s="18">
        <f>+'BS"0"'!I79-'BS"0"'!H79</f>
        <v>0</v>
      </c>
      <c r="D26" s="250">
        <f>+'BS"0"'!J79-'BS"0"'!I79</f>
        <v>0</v>
      </c>
      <c r="E26" s="250">
        <f>+'BS"0"'!K79-'BS"0"'!J79</f>
        <v>0</v>
      </c>
      <c r="F26" s="250">
        <f>+'BS"0"'!L79-'BS"0"'!K79</f>
        <v>0</v>
      </c>
      <c r="G26" s="250">
        <f>+'BS"0"'!M79-'BS"0"'!L79</f>
        <v>0</v>
      </c>
      <c r="H26" s="250">
        <f>+'BS"0"'!N79-'BS"0"'!M79</f>
        <v>0</v>
      </c>
      <c r="I26" s="250">
        <f>+'BS"0"'!O79-'BS"0"'!N79</f>
        <v>0</v>
      </c>
      <c r="J26" s="250">
        <f>+'BS"0"'!P79-'BS"0"'!O79</f>
        <v>0</v>
      </c>
      <c r="K26" s="250">
        <f>+'BS"0"'!Q79-'BS"0"'!P79</f>
        <v>0</v>
      </c>
      <c r="L26" s="250">
        <f>+'BS"0"'!R79-'BS"0"'!Q79</f>
        <v>0</v>
      </c>
      <c r="M26" s="250">
        <f>+'BS"0"'!S79-'BS"0"'!R79</f>
        <v>0</v>
      </c>
      <c r="N26" s="250">
        <f>+'BS"0"'!T79-'BS"0"'!S79</f>
        <v>0</v>
      </c>
      <c r="O26" s="250">
        <f>+'BS"0"'!U79-'BS"0"'!T79</f>
        <v>0</v>
      </c>
      <c r="P26" s="250">
        <f>+'BS"0"'!V79-'BS"0"'!U79</f>
        <v>0</v>
      </c>
      <c r="Q26" s="250">
        <f>+'BS"0"'!W79-'BS"0"'!V79</f>
        <v>0</v>
      </c>
      <c r="R26" s="250">
        <f>+'BS"0"'!X79-'BS"0"'!W79</f>
        <v>0</v>
      </c>
      <c r="S26" s="250">
        <f>+'BS"0"'!Y79-'BS"0"'!X79</f>
        <v>0</v>
      </c>
      <c r="T26" s="250">
        <f>+'BS"0"'!Z79-'BS"0"'!Y79</f>
        <v>0</v>
      </c>
      <c r="U26" s="250">
        <f>+'BS"0"'!AA79-'BS"0"'!Z79</f>
        <v>0</v>
      </c>
      <c r="V26" s="250">
        <f>+'BS"0"'!AB79-'BS"0"'!AA79</f>
        <v>0</v>
      </c>
      <c r="W26" s="250">
        <f>+'BS"0"'!AC79-'BS"0"'!AB79</f>
        <v>0</v>
      </c>
      <c r="X26" s="253">
        <f>+M26</f>
        <v>0</v>
      </c>
      <c r="AA26" s="353"/>
    </row>
    <row r="27" spans="2:27" ht="11.25" customHeight="1">
      <c r="B27" s="19" t="s">
        <v>33</v>
      </c>
      <c r="C27" s="20">
        <f t="shared" ref="C27:X27" si="30">+C24+C25+C26</f>
        <v>-55792174.581842169</v>
      </c>
      <c r="D27" s="254">
        <f t="shared" ref="D27:M27" si="31">+D24+D25+D26</f>
        <v>-68329286.294201791</v>
      </c>
      <c r="E27" s="254">
        <f t="shared" si="31"/>
        <v>-68139531.063943759</v>
      </c>
      <c r="F27" s="254">
        <f t="shared" si="31"/>
        <v>-68721901.436264217</v>
      </c>
      <c r="G27" s="254">
        <f t="shared" si="31"/>
        <v>-69582057.73238191</v>
      </c>
      <c r="H27" s="254">
        <f t="shared" si="31"/>
        <v>-72067468.843051568</v>
      </c>
      <c r="I27" s="254">
        <f t="shared" si="31"/>
        <v>-71948196.410883456</v>
      </c>
      <c r="J27" s="254">
        <f t="shared" si="31"/>
        <v>-72327101.3765302</v>
      </c>
      <c r="K27" s="254">
        <f t="shared" si="31"/>
        <v>-72857809.039541975</v>
      </c>
      <c r="L27" s="254">
        <f t="shared" si="31"/>
        <v>-74342700.550680116</v>
      </c>
      <c r="M27" s="254">
        <f t="shared" si="31"/>
        <v>-75809649.068895519</v>
      </c>
      <c r="N27" s="254">
        <f t="shared" ref="N27:P27" si="32">+N24+N25+N26</f>
        <v>-76748272.886552185</v>
      </c>
      <c r="O27" s="254">
        <f t="shared" si="32"/>
        <v>-77280932.278025344</v>
      </c>
      <c r="P27" s="254">
        <f t="shared" si="32"/>
        <v>-77948259.535239428</v>
      </c>
      <c r="Q27" s="254">
        <f t="shared" ref="Q27:W27" si="33">+Q24+Q25+Q26</f>
        <v>-78515326.030666173</v>
      </c>
      <c r="R27" s="254">
        <f t="shared" si="33"/>
        <v>-79219092.079262048</v>
      </c>
      <c r="S27" s="254">
        <f t="shared" si="33"/>
        <v>-79937287.901756912</v>
      </c>
      <c r="T27" s="254">
        <f t="shared" si="33"/>
        <v>-80670213.058565527</v>
      </c>
      <c r="U27" s="254">
        <f t="shared" si="33"/>
        <v>-81418173.375434458</v>
      </c>
      <c r="V27" s="254">
        <f t="shared" si="33"/>
        <v>-82181481.075601757</v>
      </c>
      <c r="W27" s="254">
        <f t="shared" si="33"/>
        <v>-82960454.914770976</v>
      </c>
      <c r="X27" s="256">
        <f t="shared" si="30"/>
        <v>-75809649.068895519</v>
      </c>
      <c r="AA27" s="353"/>
    </row>
    <row r="28" spans="2:27" ht="11.25" customHeight="1">
      <c r="B28" s="230" t="s">
        <v>34</v>
      </c>
      <c r="C28" s="231">
        <f t="shared" ref="C28:M28" si="34">(C24)*C59</f>
        <v>-54001818.856014289</v>
      </c>
      <c r="D28" s="231">
        <f t="shared" si="34"/>
        <v>-62987255.294625096</v>
      </c>
      <c r="E28" s="231">
        <f t="shared" si="34"/>
        <v>-59821271.676089235</v>
      </c>
      <c r="F28" s="231">
        <f t="shared" si="34"/>
        <v>-57459569.625887334</v>
      </c>
      <c r="G28" s="231">
        <f t="shared" si="34"/>
        <v>-55408343.973890036</v>
      </c>
      <c r="H28" s="231">
        <f t="shared" si="34"/>
        <v>-54654744.999286376</v>
      </c>
      <c r="I28" s="231">
        <f t="shared" si="34"/>
        <v>-51965991.248973943</v>
      </c>
      <c r="J28" s="231">
        <f t="shared" si="34"/>
        <v>-49752059.778068602</v>
      </c>
      <c r="K28" s="231">
        <f t="shared" si="34"/>
        <v>-47730591.156889938</v>
      </c>
      <c r="L28" s="231">
        <f t="shared" si="34"/>
        <v>-46384164.7078925</v>
      </c>
      <c r="M28" s="231">
        <f t="shared" si="34"/>
        <v>-45047074.757617973</v>
      </c>
      <c r="N28" s="231">
        <f t="shared" ref="N28:P28" si="35">(N24)*N59</f>
        <v>-43433159.218691379</v>
      </c>
      <c r="O28" s="231">
        <f t="shared" si="35"/>
        <v>-41652000.258311071</v>
      </c>
      <c r="P28" s="231">
        <f t="shared" si="35"/>
        <v>-40011113.079723977</v>
      </c>
      <c r="Q28" s="231">
        <f t="shared" ref="Q28:W28" si="36">(Q24)*Q59</f>
        <v>-38383038.368262291</v>
      </c>
      <c r="R28" s="231">
        <f t="shared" si="36"/>
        <v>-36882935.011641115</v>
      </c>
      <c r="S28" s="231">
        <f t="shared" si="36"/>
        <v>-35445060.591459505</v>
      </c>
      <c r="T28" s="231">
        <f t="shared" si="36"/>
        <v>-34066711.958611056</v>
      </c>
      <c r="U28" s="231">
        <f t="shared" si="36"/>
        <v>-32745307.278631635</v>
      </c>
      <c r="V28" s="231">
        <f t="shared" si="36"/>
        <v>-31478380.467836712</v>
      </c>
      <c r="W28" s="231">
        <f t="shared" si="36"/>
        <v>-30263575.88818866</v>
      </c>
      <c r="X28" s="257"/>
    </row>
    <row r="29" spans="2:27" ht="11.25" customHeight="1">
      <c r="B29" s="230" t="s">
        <v>35</v>
      </c>
      <c r="C29" s="231">
        <f t="shared" ref="C29:M29" si="37">(C27)*C47</f>
        <v>-54001818.856014289</v>
      </c>
      <c r="D29" s="231">
        <f t="shared" si="37"/>
        <v>-62987255.294625096</v>
      </c>
      <c r="E29" s="231">
        <f t="shared" si="37"/>
        <v>-59821271.676089235</v>
      </c>
      <c r="F29" s="231">
        <f t="shared" si="37"/>
        <v>-57459569.625887334</v>
      </c>
      <c r="G29" s="231">
        <f t="shared" si="37"/>
        <v>-55408343.973890036</v>
      </c>
      <c r="H29" s="231">
        <f t="shared" si="37"/>
        <v>-54654744.999286376</v>
      </c>
      <c r="I29" s="231">
        <f t="shared" si="37"/>
        <v>-51965991.248973943</v>
      </c>
      <c r="J29" s="231">
        <f t="shared" si="37"/>
        <v>-49752059.778068602</v>
      </c>
      <c r="K29" s="231">
        <f t="shared" si="37"/>
        <v>-47730591.156889938</v>
      </c>
      <c r="L29" s="231">
        <f t="shared" si="37"/>
        <v>-46384164.7078925</v>
      </c>
      <c r="M29" s="231">
        <f t="shared" si="37"/>
        <v>-45047074.757617973</v>
      </c>
      <c r="N29" s="231">
        <f t="shared" ref="N29:P29" si="38">(N27)*N47</f>
        <v>-43433159.218691379</v>
      </c>
      <c r="O29" s="231">
        <f t="shared" si="38"/>
        <v>-41652000.258311071</v>
      </c>
      <c r="P29" s="231">
        <f t="shared" si="38"/>
        <v>-40011113.079723977</v>
      </c>
      <c r="Q29" s="231">
        <f t="shared" ref="Q29:W29" si="39">(Q27)*Q47</f>
        <v>-38383038.368262291</v>
      </c>
      <c r="R29" s="231">
        <f t="shared" si="39"/>
        <v>-36882935.011641115</v>
      </c>
      <c r="S29" s="231">
        <f t="shared" si="39"/>
        <v>-35445060.591459505</v>
      </c>
      <c r="T29" s="231">
        <f t="shared" si="39"/>
        <v>-34066711.958611056</v>
      </c>
      <c r="U29" s="231">
        <f t="shared" si="39"/>
        <v>-32745307.278631635</v>
      </c>
      <c r="V29" s="231">
        <f t="shared" si="39"/>
        <v>-31478380.467836712</v>
      </c>
      <c r="W29" s="231">
        <f t="shared" si="39"/>
        <v>-30263575.88818866</v>
      </c>
    </row>
    <row r="30" spans="2:27" ht="11.25" customHeight="1">
      <c r="B30" s="230" t="s">
        <v>18</v>
      </c>
      <c r="C30" s="231">
        <f>MAX(0,C27)*IF(C16&lt;='summary"0"'!$C$5,1,0)</f>
        <v>0</v>
      </c>
      <c r="D30" s="231">
        <f>MAX(0,D27)*IF(D16&lt;='summary"0"'!$C$5,1,0)</f>
        <v>0</v>
      </c>
      <c r="E30" s="231">
        <f>MAX(0,E27)*IF(E16&lt;='summary"0"'!$C$5,1,0)</f>
        <v>0</v>
      </c>
      <c r="F30" s="231">
        <f>MAX(0,F27)*IF(F16&lt;='summary"0"'!$C$5,1,0)</f>
        <v>0</v>
      </c>
      <c r="G30" s="231">
        <f>MAX(0,G27)*IF(G16&lt;='summary"0"'!$C$5,1,0)</f>
        <v>0</v>
      </c>
      <c r="H30" s="231">
        <f>MAX(0,H27)*IF(H16&lt;='summary"0"'!$C$5,1,0)</f>
        <v>0</v>
      </c>
      <c r="I30" s="231">
        <f>MAX(0,I27)*IF(I16&lt;='summary"0"'!$C$5,1,0)</f>
        <v>0</v>
      </c>
      <c r="J30" s="231">
        <f>MAX(0,J27)*IF(J16&lt;='summary"0"'!$C$5,1,0)</f>
        <v>0</v>
      </c>
      <c r="K30" s="231">
        <f>MAX(0,K27)*IF(K16&lt;='summary"0"'!$C$5,1,0)</f>
        <v>0</v>
      </c>
      <c r="L30" s="231">
        <f>MAX(0,L27)*IF(L16&lt;='summary"0"'!$C$5,1,0)</f>
        <v>0</v>
      </c>
      <c r="M30" s="231">
        <f>MAX(0,M27)*IF(M16&lt;='summary"0"'!$C$5,1,0)</f>
        <v>0</v>
      </c>
      <c r="N30" s="231">
        <f>MAX(0,N27)*IF(N16&lt;='summary"0"'!$C$5,1,0)</f>
        <v>0</v>
      </c>
      <c r="O30" s="231">
        <f>MAX(0,O27)*IF(O16&lt;='summary"0"'!$C$5,1,0)</f>
        <v>0</v>
      </c>
      <c r="P30" s="231">
        <f>MAX(0,P27)*IF(P16&lt;='summary"0"'!$C$5,1,0)</f>
        <v>0</v>
      </c>
      <c r="Q30" s="231">
        <f>MAX(0,Q27)*IF(Q16&lt;='summary"0"'!$C$5,1,0)</f>
        <v>0</v>
      </c>
      <c r="R30" s="231">
        <f>MAX(0,R27)*IF(R16&lt;='summary"0"'!$C$5,1,0)</f>
        <v>0</v>
      </c>
      <c r="S30" s="231">
        <f>MAX(0,S27)*IF(S16&lt;='summary"0"'!$C$5,1,0)</f>
        <v>0</v>
      </c>
      <c r="T30" s="231">
        <f>MAX(0,T27)*IF(T16&lt;='summary"0"'!$C$5,1,0)</f>
        <v>0</v>
      </c>
      <c r="U30" s="231">
        <f>MAX(0,U27)*IF(U16&lt;='summary"0"'!$C$5,1,0)</f>
        <v>0</v>
      </c>
      <c r="V30" s="231">
        <f>MAX(0,V27)*IF(V16&lt;='summary"0"'!$C$5,1,0)</f>
        <v>0</v>
      </c>
      <c r="W30" s="231">
        <f>MAX(0,W27)*IF(W16&lt;='summary"0"'!$C$5,1,0)</f>
        <v>0</v>
      </c>
    </row>
    <row r="31" spans="2:27" ht="11.25" customHeight="1">
      <c r="B31" s="232" t="s">
        <v>19</v>
      </c>
      <c r="C31" s="233">
        <f>MIN(0,C27)*IF(C16&lt;='summary"0"'!$C$5,1,0)</f>
        <v>-55792174.581842169</v>
      </c>
      <c r="D31" s="233">
        <f>MIN(0,D27)*IF(D16&lt;='summary"0"'!$C$5,1,0)</f>
        <v>-68329286.294201791</v>
      </c>
      <c r="E31" s="233">
        <f>MIN(0,E27)*IF(E16&lt;='summary"0"'!$C$5,1,0)</f>
        <v>-68139531.063943759</v>
      </c>
      <c r="F31" s="233">
        <f>MIN(0,F27)*IF(F16&lt;='summary"0"'!$C$5,1,0)</f>
        <v>-68721901.436264217</v>
      </c>
      <c r="G31" s="233">
        <f>MIN(0,G27)*IF(G16&lt;='summary"0"'!$C$5,1,0)</f>
        <v>-69582057.73238191</v>
      </c>
      <c r="H31" s="233">
        <f>MIN(0,H27)*IF(H16&lt;='summary"0"'!$C$5,1,0)</f>
        <v>-72067468.843051568</v>
      </c>
      <c r="I31" s="233">
        <f>MIN(0,I27)*IF(I16&lt;='summary"0"'!$C$5,1,0)</f>
        <v>-71948196.410883456</v>
      </c>
      <c r="J31" s="233">
        <f>MIN(0,J27)*IF(J16&lt;='summary"0"'!$C$5,1,0)</f>
        <v>-72327101.3765302</v>
      </c>
      <c r="K31" s="233">
        <f>MIN(0,K27)*IF(K16&lt;='summary"0"'!$C$5,1,0)</f>
        <v>-72857809.039541975</v>
      </c>
      <c r="L31" s="233">
        <f>MIN(0,L27)*IF(L16&lt;='summary"0"'!$C$5,1,0)</f>
        <v>-74342700.550680116</v>
      </c>
      <c r="M31" s="233">
        <f>MIN(0,M27)*IF(M16&lt;='summary"0"'!$C$5,1,0)</f>
        <v>-75809649.068895519</v>
      </c>
      <c r="N31" s="233">
        <f>MIN(0,N27)*IF(N16&lt;='summary"0"'!$C$5,1,0)</f>
        <v>-76748272.886552185</v>
      </c>
      <c r="O31" s="233">
        <f>MIN(0,O27)*IF(O16&lt;='summary"0"'!$C$5,1,0)</f>
        <v>-77280932.278025344</v>
      </c>
      <c r="P31" s="233">
        <f>MIN(0,P27)*IF(P16&lt;='summary"0"'!$C$5,1,0)</f>
        <v>-77948259.535239428</v>
      </c>
      <c r="Q31" s="233">
        <f>MIN(0,Q27)*IF(Q16&lt;='summary"0"'!$C$5,1,0)</f>
        <v>0</v>
      </c>
      <c r="R31" s="233">
        <f>MIN(0,R27)*IF(R16&lt;='summary"0"'!$C$5,1,0)</f>
        <v>0</v>
      </c>
      <c r="S31" s="233">
        <f>MIN(0,S27)*IF(S16&lt;='summary"0"'!$C$5,1,0)</f>
        <v>0</v>
      </c>
      <c r="T31" s="233">
        <f>MIN(0,T27)*IF(T16&lt;='summary"0"'!$C$5,1,0)</f>
        <v>0</v>
      </c>
      <c r="U31" s="233">
        <f>MIN(0,U27)*IF(U16&lt;='summary"0"'!$C$5,1,0)</f>
        <v>0</v>
      </c>
      <c r="V31" s="233">
        <f>MIN(0,V27)*IF(V16&lt;='summary"0"'!$C$5,1,0)</f>
        <v>0</v>
      </c>
      <c r="W31" s="233">
        <f>MIN(0,W27)*IF(W16&lt;='summary"0"'!$C$5,1,0)</f>
        <v>0</v>
      </c>
    </row>
    <row r="32" spans="2:27" ht="11.25" customHeight="1">
      <c r="B32" s="230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</row>
    <row r="33" spans="2:29" ht="11.25" customHeight="1"/>
    <row r="34" spans="2:29" ht="11.25" customHeight="1">
      <c r="B34" s="241"/>
      <c r="C34" s="242" t="s">
        <v>31</v>
      </c>
      <c r="D34" s="243" t="s">
        <v>33</v>
      </c>
      <c r="G34" s="258"/>
    </row>
    <row r="35" spans="2:29" ht="11.25" customHeight="1">
      <c r="B35" s="244" t="s">
        <v>36</v>
      </c>
      <c r="C35" s="245">
        <f>X24*(1+C37)/(E37-C37)*E36</f>
        <v>-2265370689.8234658</v>
      </c>
      <c r="D35" s="246">
        <f>X27*(1+D37)/(E37-D37)*E36</f>
        <v>-2265370689.8234658</v>
      </c>
      <c r="E35" s="239"/>
      <c r="F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</row>
    <row r="36" spans="2:29" ht="11.25" customHeight="1">
      <c r="B36" s="247" t="s">
        <v>37</v>
      </c>
      <c r="C36" s="248">
        <f>C35*X59</f>
        <v>-1340622418.8736002</v>
      </c>
      <c r="D36" s="249">
        <f>D35*X47</f>
        <v>-1340622418.8736002</v>
      </c>
      <c r="E36" s="753">
        <v>1</v>
      </c>
      <c r="F36" s="258" t="s">
        <v>3064</v>
      </c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</row>
    <row r="37" spans="2:29" ht="11.25" customHeight="1">
      <c r="B37" s="21" t="s">
        <v>38</v>
      </c>
      <c r="C37" s="22">
        <v>1.6E-2</v>
      </c>
      <c r="D37" s="23">
        <f>+C37</f>
        <v>1.6E-2</v>
      </c>
      <c r="E37" s="1126">
        <f>Scenarios_Operating!AC12</f>
        <v>0.05</v>
      </c>
      <c r="F37" s="258" t="s">
        <v>3401</v>
      </c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</row>
    <row r="38" spans="2:29" ht="11.25" customHeight="1">
      <c r="B38" s="25" t="str">
        <f>"PV ALL as of  ("&amp;TEXT('summary"0"'!C4,"d.m.yyyy")&amp;")"</f>
        <v>PV ALL as of  (1.5.2022)</v>
      </c>
      <c r="C38" s="26">
        <f>SUM(C28:W28)+C36</f>
        <v>-2290196587.0701928</v>
      </c>
      <c r="D38" s="259">
        <f>SUM(C29:W29)+D36</f>
        <v>-2290196587.0701928</v>
      </c>
      <c r="E38" s="260"/>
      <c r="F38" s="261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</row>
    <row r="39" spans="2:29">
      <c r="B39" s="27"/>
      <c r="C39" s="24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</row>
    <row r="40" spans="2:29" ht="11.25" customHeight="1" outlineLevel="1">
      <c r="B40" s="9" t="s">
        <v>39</v>
      </c>
      <c r="C40" s="234">
        <f t="shared" ref="C40:M40" si="40">C16</f>
        <v>44926</v>
      </c>
      <c r="D40" s="235">
        <f t="shared" si="40"/>
        <v>45291</v>
      </c>
      <c r="E40" s="235">
        <f t="shared" si="40"/>
        <v>45657</v>
      </c>
      <c r="F40" s="235">
        <f t="shared" si="40"/>
        <v>46022</v>
      </c>
      <c r="G40" s="235">
        <f t="shared" si="40"/>
        <v>46387</v>
      </c>
      <c r="H40" s="235">
        <f t="shared" si="40"/>
        <v>46752</v>
      </c>
      <c r="I40" s="235">
        <f t="shared" si="40"/>
        <v>47118</v>
      </c>
      <c r="J40" s="235">
        <f t="shared" si="40"/>
        <v>47483</v>
      </c>
      <c r="K40" s="235">
        <f t="shared" si="40"/>
        <v>47848</v>
      </c>
      <c r="L40" s="235">
        <f t="shared" si="40"/>
        <v>48213</v>
      </c>
      <c r="M40" s="235">
        <f t="shared" si="40"/>
        <v>48579</v>
      </c>
      <c r="N40" s="235">
        <f t="shared" ref="N40:P40" si="41">N16</f>
        <v>48944</v>
      </c>
      <c r="O40" s="235">
        <f t="shared" si="41"/>
        <v>49309</v>
      </c>
      <c r="P40" s="235">
        <f t="shared" si="41"/>
        <v>49674</v>
      </c>
      <c r="Q40" s="235">
        <f t="shared" ref="Q40:W40" si="42">Q16</f>
        <v>50040</v>
      </c>
      <c r="R40" s="235">
        <f t="shared" si="42"/>
        <v>50405</v>
      </c>
      <c r="S40" s="235">
        <f t="shared" si="42"/>
        <v>50770</v>
      </c>
      <c r="T40" s="235">
        <f t="shared" si="42"/>
        <v>51135</v>
      </c>
      <c r="U40" s="235">
        <f t="shared" si="42"/>
        <v>51501</v>
      </c>
      <c r="V40" s="235">
        <f t="shared" si="42"/>
        <v>51866</v>
      </c>
      <c r="W40" s="235">
        <f t="shared" si="42"/>
        <v>52231</v>
      </c>
      <c r="X40" s="234" t="s">
        <v>40</v>
      </c>
    </row>
    <row r="41" spans="2:29" s="1581" customFormat="1" ht="11.25" customHeight="1" outlineLevel="1">
      <c r="B41" s="1578" t="s">
        <v>41</v>
      </c>
      <c r="C41" s="1579">
        <v>1.55E-2</v>
      </c>
      <c r="D41" s="1580">
        <f>+C41</f>
        <v>1.55E-2</v>
      </c>
      <c r="E41" s="1580">
        <f t="shared" ref="E41:M41" si="43">+D41</f>
        <v>1.55E-2</v>
      </c>
      <c r="F41" s="1580">
        <f t="shared" si="43"/>
        <v>1.55E-2</v>
      </c>
      <c r="G41" s="1580">
        <f t="shared" si="43"/>
        <v>1.55E-2</v>
      </c>
      <c r="H41" s="1580">
        <f t="shared" si="43"/>
        <v>1.55E-2</v>
      </c>
      <c r="I41" s="1580">
        <f t="shared" si="43"/>
        <v>1.55E-2</v>
      </c>
      <c r="J41" s="1580">
        <f t="shared" si="43"/>
        <v>1.55E-2</v>
      </c>
      <c r="K41" s="1580">
        <f t="shared" si="43"/>
        <v>1.55E-2</v>
      </c>
      <c r="L41" s="1580">
        <f t="shared" si="43"/>
        <v>1.55E-2</v>
      </c>
      <c r="M41" s="1580">
        <f t="shared" si="43"/>
        <v>1.55E-2</v>
      </c>
      <c r="N41" s="1580">
        <f t="shared" ref="N41" si="44">+M41</f>
        <v>1.55E-2</v>
      </c>
      <c r="O41" s="1580">
        <f t="shared" ref="O41" si="45">+N41</f>
        <v>1.55E-2</v>
      </c>
      <c r="P41" s="1580">
        <f t="shared" ref="P41" si="46">+O41</f>
        <v>1.55E-2</v>
      </c>
      <c r="Q41" s="1580">
        <f t="shared" ref="Q41" si="47">+P41</f>
        <v>1.55E-2</v>
      </c>
      <c r="R41" s="1580">
        <f t="shared" ref="R41" si="48">+Q41</f>
        <v>1.55E-2</v>
      </c>
      <c r="S41" s="1580">
        <f t="shared" ref="S41" si="49">+R41</f>
        <v>1.55E-2</v>
      </c>
      <c r="T41" s="1580">
        <f t="shared" ref="T41" si="50">+S41</f>
        <v>1.55E-2</v>
      </c>
      <c r="U41" s="1580">
        <f t="shared" ref="U41" si="51">+T41</f>
        <v>1.55E-2</v>
      </c>
      <c r="V41" s="1580">
        <f t="shared" ref="V41" si="52">+U41</f>
        <v>1.55E-2</v>
      </c>
      <c r="W41" s="1580">
        <f t="shared" ref="W41" si="53">+V41</f>
        <v>1.55E-2</v>
      </c>
      <c r="X41" s="1579">
        <f>M41</f>
        <v>1.55E-2</v>
      </c>
      <c r="Y41" s="278"/>
      <c r="Z41" s="278"/>
      <c r="AA41" s="278"/>
      <c r="AB41" s="278"/>
      <c r="AC41" s="278"/>
    </row>
    <row r="42" spans="2:29" s="1581" customFormat="1" ht="11.25" customHeight="1" outlineLevel="1">
      <c r="B42" s="1582" t="s">
        <v>42</v>
      </c>
      <c r="C42" s="1583">
        <v>0.65</v>
      </c>
      <c r="D42" s="1584">
        <f>C42</f>
        <v>0.65</v>
      </c>
      <c r="E42" s="1584">
        <f t="shared" ref="E42:M42" si="54">D42</f>
        <v>0.65</v>
      </c>
      <c r="F42" s="1584">
        <f t="shared" si="54"/>
        <v>0.65</v>
      </c>
      <c r="G42" s="1584">
        <f t="shared" si="54"/>
        <v>0.65</v>
      </c>
      <c r="H42" s="1584">
        <f t="shared" si="54"/>
        <v>0.65</v>
      </c>
      <c r="I42" s="1584">
        <f t="shared" si="54"/>
        <v>0.65</v>
      </c>
      <c r="J42" s="1584">
        <f t="shared" si="54"/>
        <v>0.65</v>
      </c>
      <c r="K42" s="1584">
        <f t="shared" si="54"/>
        <v>0.65</v>
      </c>
      <c r="L42" s="1584">
        <f t="shared" si="54"/>
        <v>0.65</v>
      </c>
      <c r="M42" s="1584">
        <f t="shared" si="54"/>
        <v>0.65</v>
      </c>
      <c r="N42" s="1584">
        <f t="shared" ref="N42:N43" si="55">M42</f>
        <v>0.65</v>
      </c>
      <c r="O42" s="1584">
        <f t="shared" ref="O42:O43" si="56">N42</f>
        <v>0.65</v>
      </c>
      <c r="P42" s="1584">
        <f t="shared" ref="P42:P43" si="57">O42</f>
        <v>0.65</v>
      </c>
      <c r="Q42" s="1584">
        <f t="shared" ref="Q42:Q43" si="58">P42</f>
        <v>0.65</v>
      </c>
      <c r="R42" s="1584">
        <f t="shared" ref="R42:R43" si="59">Q42</f>
        <v>0.65</v>
      </c>
      <c r="S42" s="1584">
        <f t="shared" ref="S42:S43" si="60">R42</f>
        <v>0.65</v>
      </c>
      <c r="T42" s="1584">
        <f t="shared" ref="T42:T43" si="61">S42</f>
        <v>0.65</v>
      </c>
      <c r="U42" s="1584">
        <f t="shared" ref="U42:U43" si="62">T42</f>
        <v>0.65</v>
      </c>
      <c r="V42" s="1584">
        <f t="shared" ref="V42:V43" si="63">U42</f>
        <v>0.65</v>
      </c>
      <c r="W42" s="1584">
        <f t="shared" ref="W42:W43" si="64">V42</f>
        <v>0.65</v>
      </c>
      <c r="X42" s="1585">
        <f>M42</f>
        <v>0.65</v>
      </c>
      <c r="Y42" s="278"/>
      <c r="Z42" s="278"/>
      <c r="AA42" s="278"/>
      <c r="AB42" s="278"/>
      <c r="AC42" s="278"/>
    </row>
    <row r="43" spans="2:29" s="1581" customFormat="1" ht="11.25" customHeight="1" outlineLevel="1">
      <c r="B43" s="1582" t="s">
        <v>43</v>
      </c>
      <c r="C43" s="1586">
        <v>5.1999999999999998E-2</v>
      </c>
      <c r="D43" s="1587">
        <f t="shared" ref="D43" si="65">C43</f>
        <v>5.1999999999999998E-2</v>
      </c>
      <c r="E43" s="1587">
        <f t="shared" ref="E43" si="66">D43</f>
        <v>5.1999999999999998E-2</v>
      </c>
      <c r="F43" s="1587">
        <f t="shared" ref="F43" si="67">E43</f>
        <v>5.1999999999999998E-2</v>
      </c>
      <c r="G43" s="1587">
        <f t="shared" ref="G43" si="68">F43</f>
        <v>5.1999999999999998E-2</v>
      </c>
      <c r="H43" s="1587">
        <f t="shared" ref="H43" si="69">G43</f>
        <v>5.1999999999999998E-2</v>
      </c>
      <c r="I43" s="1587">
        <f t="shared" ref="I43" si="70">H43</f>
        <v>5.1999999999999998E-2</v>
      </c>
      <c r="J43" s="1587">
        <f t="shared" ref="J43" si="71">I43</f>
        <v>5.1999999999999998E-2</v>
      </c>
      <c r="K43" s="1587">
        <f t="shared" ref="K43:L43" si="72">J43</f>
        <v>5.1999999999999998E-2</v>
      </c>
      <c r="L43" s="1587">
        <f t="shared" si="72"/>
        <v>5.1999999999999998E-2</v>
      </c>
      <c r="M43" s="1587">
        <f t="shared" ref="M43" si="73">L43</f>
        <v>5.1999999999999998E-2</v>
      </c>
      <c r="N43" s="1587">
        <f t="shared" si="55"/>
        <v>5.1999999999999998E-2</v>
      </c>
      <c r="O43" s="1587">
        <f t="shared" si="56"/>
        <v>5.1999999999999998E-2</v>
      </c>
      <c r="P43" s="1587">
        <f t="shared" si="57"/>
        <v>5.1999999999999998E-2</v>
      </c>
      <c r="Q43" s="1587">
        <f t="shared" si="58"/>
        <v>5.1999999999999998E-2</v>
      </c>
      <c r="R43" s="1587">
        <f t="shared" si="59"/>
        <v>5.1999999999999998E-2</v>
      </c>
      <c r="S43" s="1587">
        <f t="shared" si="60"/>
        <v>5.1999999999999998E-2</v>
      </c>
      <c r="T43" s="1587">
        <f t="shared" si="61"/>
        <v>5.1999999999999998E-2</v>
      </c>
      <c r="U43" s="1587">
        <f t="shared" si="62"/>
        <v>5.1999999999999998E-2</v>
      </c>
      <c r="V43" s="1587">
        <f t="shared" si="63"/>
        <v>5.1999999999999998E-2</v>
      </c>
      <c r="W43" s="1587">
        <f t="shared" si="64"/>
        <v>5.1999999999999998E-2</v>
      </c>
      <c r="X43" s="1586">
        <f>M43</f>
        <v>5.1999999999999998E-2</v>
      </c>
      <c r="Y43" s="278"/>
      <c r="Z43" s="278"/>
      <c r="AA43" s="278"/>
      <c r="AB43" s="278"/>
      <c r="AC43" s="278"/>
    </row>
    <row r="44" spans="2:29" s="1581" customFormat="1" ht="11.25" customHeight="1" outlineLevel="1">
      <c r="B44" s="1582" t="s">
        <v>44</v>
      </c>
      <c r="C44" s="1588">
        <v>5.0000000000000001E-3</v>
      </c>
      <c r="D44" s="1587">
        <f>+C44</f>
        <v>5.0000000000000001E-3</v>
      </c>
      <c r="E44" s="1587">
        <f t="shared" ref="E44:M44" si="74">+D44</f>
        <v>5.0000000000000001E-3</v>
      </c>
      <c r="F44" s="1587">
        <f t="shared" si="74"/>
        <v>5.0000000000000001E-3</v>
      </c>
      <c r="G44" s="1587">
        <f t="shared" si="74"/>
        <v>5.0000000000000001E-3</v>
      </c>
      <c r="H44" s="1587">
        <f t="shared" si="74"/>
        <v>5.0000000000000001E-3</v>
      </c>
      <c r="I44" s="1587">
        <f t="shared" si="74"/>
        <v>5.0000000000000001E-3</v>
      </c>
      <c r="J44" s="1587">
        <f t="shared" si="74"/>
        <v>5.0000000000000001E-3</v>
      </c>
      <c r="K44" s="1587">
        <f t="shared" si="74"/>
        <v>5.0000000000000001E-3</v>
      </c>
      <c r="L44" s="1587">
        <f t="shared" si="74"/>
        <v>5.0000000000000001E-3</v>
      </c>
      <c r="M44" s="1587">
        <f t="shared" si="74"/>
        <v>5.0000000000000001E-3</v>
      </c>
      <c r="N44" s="1587">
        <f t="shared" ref="N44" si="75">+M44</f>
        <v>5.0000000000000001E-3</v>
      </c>
      <c r="O44" s="1587">
        <f t="shared" ref="O44" si="76">+N44</f>
        <v>5.0000000000000001E-3</v>
      </c>
      <c r="P44" s="1587">
        <f t="shared" ref="P44" si="77">+O44</f>
        <v>5.0000000000000001E-3</v>
      </c>
      <c r="Q44" s="1587">
        <f t="shared" ref="Q44" si="78">+P44</f>
        <v>5.0000000000000001E-3</v>
      </c>
      <c r="R44" s="1587">
        <f t="shared" ref="R44" si="79">+Q44</f>
        <v>5.0000000000000001E-3</v>
      </c>
      <c r="S44" s="1587">
        <f t="shared" ref="S44" si="80">+R44</f>
        <v>5.0000000000000001E-3</v>
      </c>
      <c r="T44" s="1587">
        <f t="shared" ref="T44" si="81">+S44</f>
        <v>5.0000000000000001E-3</v>
      </c>
      <c r="U44" s="1587">
        <f t="shared" ref="U44" si="82">+T44</f>
        <v>5.0000000000000001E-3</v>
      </c>
      <c r="V44" s="1587">
        <f t="shared" ref="V44" si="83">+U44</f>
        <v>5.0000000000000001E-3</v>
      </c>
      <c r="W44" s="1587">
        <f t="shared" ref="W44" si="84">+V44</f>
        <v>5.0000000000000001E-3</v>
      </c>
      <c r="X44" s="1586">
        <f>M44</f>
        <v>5.0000000000000001E-3</v>
      </c>
      <c r="Y44" s="278"/>
      <c r="Z44" s="278"/>
      <c r="AA44" s="278"/>
      <c r="AB44" s="278"/>
      <c r="AC44" s="278"/>
    </row>
    <row r="45" spans="2:29" ht="11.25" customHeight="1" outlineLevel="1">
      <c r="B45" s="19" t="s">
        <v>45</v>
      </c>
      <c r="C45" s="1577">
        <v>0.05</v>
      </c>
      <c r="D45" s="262">
        <f>C45</f>
        <v>0.05</v>
      </c>
      <c r="E45" s="262">
        <f t="shared" ref="E45:W45" si="85">D45</f>
        <v>0.05</v>
      </c>
      <c r="F45" s="262">
        <f t="shared" si="85"/>
        <v>0.05</v>
      </c>
      <c r="G45" s="262">
        <f t="shared" si="85"/>
        <v>0.05</v>
      </c>
      <c r="H45" s="262">
        <f t="shared" si="85"/>
        <v>0.05</v>
      </c>
      <c r="I45" s="262">
        <f t="shared" si="85"/>
        <v>0.05</v>
      </c>
      <c r="J45" s="262">
        <f t="shared" si="85"/>
        <v>0.05</v>
      </c>
      <c r="K45" s="262">
        <f t="shared" si="85"/>
        <v>0.05</v>
      </c>
      <c r="L45" s="262">
        <f t="shared" si="85"/>
        <v>0.05</v>
      </c>
      <c r="M45" s="262">
        <f t="shared" si="85"/>
        <v>0.05</v>
      </c>
      <c r="N45" s="262">
        <f t="shared" si="85"/>
        <v>0.05</v>
      </c>
      <c r="O45" s="262">
        <f t="shared" si="85"/>
        <v>0.05</v>
      </c>
      <c r="P45" s="262">
        <f t="shared" si="85"/>
        <v>0.05</v>
      </c>
      <c r="Q45" s="262">
        <f t="shared" si="85"/>
        <v>0.05</v>
      </c>
      <c r="R45" s="262">
        <f t="shared" si="85"/>
        <v>0.05</v>
      </c>
      <c r="S45" s="262">
        <f t="shared" si="85"/>
        <v>0.05</v>
      </c>
      <c r="T45" s="262">
        <f t="shared" si="85"/>
        <v>0.05</v>
      </c>
      <c r="U45" s="262">
        <f t="shared" si="85"/>
        <v>0.05</v>
      </c>
      <c r="V45" s="262">
        <f t="shared" si="85"/>
        <v>0.05</v>
      </c>
      <c r="W45" s="262">
        <f t="shared" si="85"/>
        <v>0.05</v>
      </c>
      <c r="X45" s="263">
        <f t="shared" ref="X45" si="86">X41+X42*X43+X44</f>
        <v>5.4299999999999994E-2</v>
      </c>
    </row>
    <row r="46" spans="2:29" ht="11.25" customHeight="1" outlineLevel="1">
      <c r="B46" s="28" t="s">
        <v>46</v>
      </c>
      <c r="C46" s="30">
        <f>1/POWER((1+C45),1-C48)</f>
        <v>0.96791027166002308</v>
      </c>
      <c r="D46" s="264">
        <f t="shared" ref="D46:X46" si="87">1/(1+D45)</f>
        <v>0.95238095238095233</v>
      </c>
      <c r="E46" s="264">
        <f t="shared" ref="E46:M46" si="88">1/(1+E45)</f>
        <v>0.95238095238095233</v>
      </c>
      <c r="F46" s="264">
        <f t="shared" si="88"/>
        <v>0.95238095238095233</v>
      </c>
      <c r="G46" s="264">
        <f t="shared" si="88"/>
        <v>0.95238095238095233</v>
      </c>
      <c r="H46" s="264">
        <f t="shared" si="88"/>
        <v>0.95238095238095233</v>
      </c>
      <c r="I46" s="264">
        <f t="shared" si="88"/>
        <v>0.95238095238095233</v>
      </c>
      <c r="J46" s="264">
        <f t="shared" si="88"/>
        <v>0.95238095238095233</v>
      </c>
      <c r="K46" s="264">
        <f t="shared" si="88"/>
        <v>0.95238095238095233</v>
      </c>
      <c r="L46" s="264">
        <f t="shared" ref="L46" si="89">1/(1+L45)</f>
        <v>0.95238095238095233</v>
      </c>
      <c r="M46" s="264">
        <f t="shared" si="88"/>
        <v>0.95238095238095233</v>
      </c>
      <c r="N46" s="264">
        <f t="shared" ref="N46:P46" si="90">1/(1+N45)</f>
        <v>0.95238095238095233</v>
      </c>
      <c r="O46" s="264">
        <f t="shared" si="90"/>
        <v>0.95238095238095233</v>
      </c>
      <c r="P46" s="264">
        <f t="shared" si="90"/>
        <v>0.95238095238095233</v>
      </c>
      <c r="Q46" s="264">
        <f t="shared" ref="Q46:W46" si="91">1/(1+Q45)</f>
        <v>0.95238095238095233</v>
      </c>
      <c r="R46" s="264">
        <f t="shared" si="91"/>
        <v>0.95238095238095233</v>
      </c>
      <c r="S46" s="264">
        <f t="shared" si="91"/>
        <v>0.95238095238095233</v>
      </c>
      <c r="T46" s="264">
        <f t="shared" si="91"/>
        <v>0.95238095238095233</v>
      </c>
      <c r="U46" s="264">
        <f t="shared" si="91"/>
        <v>0.95238095238095233</v>
      </c>
      <c r="V46" s="264">
        <f t="shared" si="91"/>
        <v>0.95238095238095233</v>
      </c>
      <c r="W46" s="264">
        <f t="shared" si="91"/>
        <v>0.95238095238095233</v>
      </c>
      <c r="X46" s="265">
        <f t="shared" si="87"/>
        <v>0.9484966328369534</v>
      </c>
    </row>
    <row r="47" spans="2:29" ht="11.25" customHeight="1" outlineLevel="1">
      <c r="B47" s="28" t="s">
        <v>47</v>
      </c>
      <c r="C47" s="30">
        <f>C46</f>
        <v>0.96791027166002308</v>
      </c>
      <c r="D47" s="264">
        <f>D46*C47</f>
        <v>0.92181930634287912</v>
      </c>
      <c r="E47" s="264">
        <f t="shared" ref="E47:M47" si="92">E46*D47</f>
        <v>0.87792314889798007</v>
      </c>
      <c r="F47" s="264">
        <f t="shared" si="92"/>
        <v>0.83611728466474289</v>
      </c>
      <c r="G47" s="264">
        <f t="shared" si="92"/>
        <v>0.79630217587118368</v>
      </c>
      <c r="H47" s="264">
        <f t="shared" si="92"/>
        <v>0.75838302463922247</v>
      </c>
      <c r="I47" s="264">
        <f t="shared" si="92"/>
        <v>0.7222695472754499</v>
      </c>
      <c r="J47" s="264">
        <f t="shared" si="92"/>
        <v>0.68787575930995226</v>
      </c>
      <c r="K47" s="264">
        <f t="shared" si="92"/>
        <v>0.65511977077138306</v>
      </c>
      <c r="L47" s="264">
        <f t="shared" si="92"/>
        <v>0.62392359121084096</v>
      </c>
      <c r="M47" s="264">
        <f t="shared" si="92"/>
        <v>0.59421294401032465</v>
      </c>
      <c r="N47" s="264">
        <f t="shared" ref="N47" si="93">N46*M47</f>
        <v>0.5659170895336425</v>
      </c>
      <c r="O47" s="264">
        <f t="shared" ref="O47" si="94">O46*N47</f>
        <v>0.53896865669870708</v>
      </c>
      <c r="P47" s="264">
        <f t="shared" ref="P47" si="95">P46*O47</f>
        <v>0.5133034825701972</v>
      </c>
      <c r="Q47" s="264">
        <f t="shared" ref="Q47" si="96">Q46*P47</f>
        <v>0.48886045959066399</v>
      </c>
      <c r="R47" s="264">
        <f t="shared" ref="R47" si="97">R46*Q47</f>
        <v>0.46558139008634664</v>
      </c>
      <c r="S47" s="264">
        <f t="shared" ref="S47" si="98">S46*R47</f>
        <v>0.44341084770128247</v>
      </c>
      <c r="T47" s="264">
        <f t="shared" ref="T47" si="99">T46*S47</f>
        <v>0.42229604542979282</v>
      </c>
      <c r="U47" s="264">
        <f t="shared" ref="U47" si="100">U46*T47</f>
        <v>0.40218670993313599</v>
      </c>
      <c r="V47" s="264">
        <f t="shared" ref="V47" si="101">V46*U47</f>
        <v>0.38303496184108188</v>
      </c>
      <c r="W47" s="264">
        <f t="shared" ref="W47" si="102">W46*V47</f>
        <v>0.36479520175341129</v>
      </c>
      <c r="X47" s="265">
        <f>X46*L47</f>
        <v>0.59178942541102242</v>
      </c>
    </row>
    <row r="48" spans="2:29" ht="11.25" customHeight="1" outlineLevel="1">
      <c r="B48" s="31" t="s">
        <v>48</v>
      </c>
      <c r="C48" s="32">
        <f>1-(C16-'summary"0"'!C4)/365</f>
        <v>0.33150684931506846</v>
      </c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7"/>
    </row>
    <row r="49" spans="1:29" ht="11.25" customHeight="1" outlineLevel="1">
      <c r="B49" s="28" t="s">
        <v>50</v>
      </c>
      <c r="C49" s="34">
        <f>'PL"0"'!I65</f>
        <v>0.21</v>
      </c>
      <c r="D49" s="268">
        <f>'PL"0"'!J65</f>
        <v>0.21</v>
      </c>
      <c r="E49" s="268">
        <f>'PL"0"'!K65</f>
        <v>0.21</v>
      </c>
      <c r="F49" s="268">
        <f>'PL"0"'!L65</f>
        <v>0.21</v>
      </c>
      <c r="G49" s="268">
        <f>'PL"0"'!M65</f>
        <v>0.21</v>
      </c>
      <c r="H49" s="268">
        <f>'PL"0"'!N65</f>
        <v>0.21</v>
      </c>
      <c r="I49" s="268">
        <f>'PL"0"'!O65</f>
        <v>0.21</v>
      </c>
      <c r="J49" s="268">
        <f>'PL"0"'!P65</f>
        <v>0.21</v>
      </c>
      <c r="K49" s="268">
        <f>'PL"0"'!Q65</f>
        <v>0.21</v>
      </c>
      <c r="L49" s="268">
        <f>'PL"0"'!R65</f>
        <v>0.21</v>
      </c>
      <c r="M49" s="268">
        <f>'PL"0"'!S65</f>
        <v>0.21</v>
      </c>
      <c r="N49" s="268">
        <f>'PL"0"'!T65</f>
        <v>0.21</v>
      </c>
      <c r="O49" s="268">
        <f>'PL"0"'!U65</f>
        <v>0.21</v>
      </c>
      <c r="P49" s="268">
        <f>'PL"0"'!V65</f>
        <v>0.21</v>
      </c>
      <c r="Q49" s="268">
        <f>'PL"0"'!W65</f>
        <v>0.21</v>
      </c>
      <c r="R49" s="268">
        <f>'PL"0"'!X65</f>
        <v>0.21</v>
      </c>
      <c r="S49" s="268">
        <f>'PL"0"'!Y65</f>
        <v>0.21</v>
      </c>
      <c r="T49" s="268">
        <f>'PL"0"'!Z65</f>
        <v>0.21</v>
      </c>
      <c r="U49" s="268">
        <f>'PL"0"'!AA65</f>
        <v>0.21</v>
      </c>
      <c r="V49" s="268">
        <f>'PL"0"'!AB65</f>
        <v>0.21</v>
      </c>
      <c r="W49" s="268">
        <f>'PL"0"'!AC65</f>
        <v>0.21</v>
      </c>
      <c r="X49" s="34">
        <f>+M49</f>
        <v>0.21</v>
      </c>
    </row>
    <row r="50" spans="1:29" ht="11.25" customHeight="1" outlineLevel="1">
      <c r="B50" s="314" t="s">
        <v>256</v>
      </c>
      <c r="C50" s="35">
        <v>1</v>
      </c>
      <c r="D50" s="264"/>
      <c r="E50" s="264"/>
      <c r="G50" s="269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</row>
    <row r="51" spans="1:29" s="1108" customFormat="1" ht="11.25" customHeight="1" outlineLevel="1">
      <c r="B51" s="1109" t="s">
        <v>3396</v>
      </c>
      <c r="C51" s="1113">
        <f>'FCFs"A"'!C53</f>
        <v>0.05</v>
      </c>
      <c r="D51" s="1110">
        <f>C51</f>
        <v>0.05</v>
      </c>
      <c r="E51" s="1110">
        <f t="shared" ref="E51:W51" si="103">D51</f>
        <v>0.05</v>
      </c>
      <c r="F51" s="1110">
        <f t="shared" si="103"/>
        <v>0.05</v>
      </c>
      <c r="G51" s="1110">
        <f t="shared" si="103"/>
        <v>0.05</v>
      </c>
      <c r="H51" s="1110">
        <f t="shared" si="103"/>
        <v>0.05</v>
      </c>
      <c r="I51" s="1110">
        <f t="shared" si="103"/>
        <v>0.05</v>
      </c>
      <c r="J51" s="1110">
        <f t="shared" si="103"/>
        <v>0.05</v>
      </c>
      <c r="K51" s="1110">
        <f t="shared" si="103"/>
        <v>0.05</v>
      </c>
      <c r="L51" s="1110">
        <f t="shared" si="103"/>
        <v>0.05</v>
      </c>
      <c r="M51" s="1110">
        <f t="shared" si="103"/>
        <v>0.05</v>
      </c>
      <c r="N51" s="1110">
        <f t="shared" si="103"/>
        <v>0.05</v>
      </c>
      <c r="O51" s="1110">
        <f t="shared" si="103"/>
        <v>0.05</v>
      </c>
      <c r="P51" s="1110">
        <f t="shared" si="103"/>
        <v>0.05</v>
      </c>
      <c r="Q51" s="1110">
        <f t="shared" si="103"/>
        <v>0.05</v>
      </c>
      <c r="R51" s="1110">
        <f t="shared" si="103"/>
        <v>0.05</v>
      </c>
      <c r="S51" s="1110">
        <f t="shared" si="103"/>
        <v>0.05</v>
      </c>
      <c r="T51" s="1110">
        <f t="shared" si="103"/>
        <v>0.05</v>
      </c>
      <c r="U51" s="1110">
        <f t="shared" si="103"/>
        <v>0.05</v>
      </c>
      <c r="V51" s="1110">
        <f t="shared" si="103"/>
        <v>0.05</v>
      </c>
      <c r="W51" s="1110">
        <f t="shared" si="103"/>
        <v>0.05</v>
      </c>
      <c r="X51" s="1111">
        <f>W51</f>
        <v>0.05</v>
      </c>
      <c r="Y51" s="1112"/>
      <c r="Z51" s="1112"/>
      <c r="AA51" s="1112"/>
      <c r="AB51" s="1112"/>
      <c r="AC51" s="1112"/>
    </row>
    <row r="52" spans="1:29" outlineLevel="1">
      <c r="B52" s="9" t="s">
        <v>51</v>
      </c>
      <c r="C52" s="234">
        <f t="shared" ref="C52:M52" si="104">+C40</f>
        <v>44926</v>
      </c>
      <c r="D52" s="235">
        <f t="shared" si="104"/>
        <v>45291</v>
      </c>
      <c r="E52" s="235">
        <f t="shared" si="104"/>
        <v>45657</v>
      </c>
      <c r="F52" s="235">
        <f t="shared" si="104"/>
        <v>46022</v>
      </c>
      <c r="G52" s="235">
        <f t="shared" si="104"/>
        <v>46387</v>
      </c>
      <c r="H52" s="235">
        <f t="shared" si="104"/>
        <v>46752</v>
      </c>
      <c r="I52" s="235">
        <f t="shared" si="104"/>
        <v>47118</v>
      </c>
      <c r="J52" s="235">
        <f t="shared" si="104"/>
        <v>47483</v>
      </c>
      <c r="K52" s="235">
        <f t="shared" si="104"/>
        <v>47848</v>
      </c>
      <c r="L52" s="235">
        <f t="shared" si="104"/>
        <v>48213</v>
      </c>
      <c r="M52" s="235">
        <f t="shared" si="104"/>
        <v>48579</v>
      </c>
      <c r="N52" s="235">
        <f t="shared" ref="N52:P52" si="105">+N40</f>
        <v>48944</v>
      </c>
      <c r="O52" s="235">
        <f t="shared" si="105"/>
        <v>49309</v>
      </c>
      <c r="P52" s="235">
        <f t="shared" si="105"/>
        <v>49674</v>
      </c>
      <c r="Q52" s="235">
        <f t="shared" ref="Q52:W52" si="106">+Q40</f>
        <v>50040</v>
      </c>
      <c r="R52" s="235">
        <f t="shared" si="106"/>
        <v>50405</v>
      </c>
      <c r="S52" s="235">
        <f t="shared" si="106"/>
        <v>50770</v>
      </c>
      <c r="T52" s="235">
        <f t="shared" si="106"/>
        <v>51135</v>
      </c>
      <c r="U52" s="235">
        <f t="shared" si="106"/>
        <v>51501</v>
      </c>
      <c r="V52" s="235">
        <f t="shared" si="106"/>
        <v>51866</v>
      </c>
      <c r="W52" s="235">
        <f t="shared" si="106"/>
        <v>52231</v>
      </c>
      <c r="X52" s="234" t="s">
        <v>40</v>
      </c>
    </row>
    <row r="53" spans="1:29" outlineLevel="1">
      <c r="B53" s="15" t="s">
        <v>39</v>
      </c>
      <c r="C53" s="36">
        <f t="shared" ref="C53:X53" si="107">+C45</f>
        <v>0.05</v>
      </c>
      <c r="D53" s="271">
        <f t="shared" si="107"/>
        <v>0.05</v>
      </c>
      <c r="E53" s="271">
        <f t="shared" si="107"/>
        <v>0.05</v>
      </c>
      <c r="F53" s="271">
        <f t="shared" si="107"/>
        <v>0.05</v>
      </c>
      <c r="G53" s="271">
        <f t="shared" si="107"/>
        <v>0.05</v>
      </c>
      <c r="H53" s="271">
        <f t="shared" si="107"/>
        <v>0.05</v>
      </c>
      <c r="I53" s="271">
        <f t="shared" si="107"/>
        <v>0.05</v>
      </c>
      <c r="J53" s="271">
        <f t="shared" si="107"/>
        <v>0.05</v>
      </c>
      <c r="K53" s="271">
        <f t="shared" si="107"/>
        <v>0.05</v>
      </c>
      <c r="L53" s="271">
        <f t="shared" si="107"/>
        <v>0.05</v>
      </c>
      <c r="M53" s="271">
        <f t="shared" si="107"/>
        <v>0.05</v>
      </c>
      <c r="N53" s="271">
        <f t="shared" ref="N53:P53" si="108">+N45</f>
        <v>0.05</v>
      </c>
      <c r="O53" s="271">
        <f t="shared" si="108"/>
        <v>0.05</v>
      </c>
      <c r="P53" s="271">
        <f t="shared" si="108"/>
        <v>0.05</v>
      </c>
      <c r="Q53" s="271">
        <f t="shared" ref="Q53:W53" si="109">+Q45</f>
        <v>0.05</v>
      </c>
      <c r="R53" s="271">
        <f t="shared" si="109"/>
        <v>0.05</v>
      </c>
      <c r="S53" s="271">
        <f t="shared" si="109"/>
        <v>0.05</v>
      </c>
      <c r="T53" s="271">
        <f t="shared" si="109"/>
        <v>0.05</v>
      </c>
      <c r="U53" s="271">
        <f t="shared" si="109"/>
        <v>0.05</v>
      </c>
      <c r="V53" s="271">
        <f t="shared" si="109"/>
        <v>0.05</v>
      </c>
      <c r="W53" s="271">
        <f t="shared" si="109"/>
        <v>0.05</v>
      </c>
      <c r="X53" s="272">
        <f t="shared" si="107"/>
        <v>5.4299999999999994E-2</v>
      </c>
    </row>
    <row r="54" spans="1:29" outlineLevel="1">
      <c r="B54" s="16" t="s">
        <v>52</v>
      </c>
      <c r="C54" s="37">
        <f>SUMPRODUCT('Financials"0"'!H49:H51,'Financials"0"'!H61:H63)/SUM('Financials"0"'!H49:H51)</f>
        <v>0</v>
      </c>
      <c r="D54" s="273">
        <f>SUMPRODUCT('Financials"0"'!I49:I51,'Financials"0"'!I61:I63)/SUM('Financials"0"'!I49:I51)</f>
        <v>0</v>
      </c>
      <c r="E54" s="273">
        <f>SUMPRODUCT('Financials"0"'!J49:J51,'Financials"0"'!J61:J63)/SUM('Financials"0"'!J49:J51)</f>
        <v>0</v>
      </c>
      <c r="F54" s="273">
        <f>SUMPRODUCT('Financials"0"'!K49:K51,'Financials"0"'!K61:K63)/SUM('Financials"0"'!K49:K51)</f>
        <v>0</v>
      </c>
      <c r="G54" s="273">
        <f>SUMPRODUCT('Financials"0"'!L49:L51,'Financials"0"'!L61:L63)/SUM('Financials"0"'!L49:L51)</f>
        <v>0</v>
      </c>
      <c r="H54" s="273">
        <f>SUMPRODUCT('Financials"0"'!M49:M51,'Financials"0"'!M61:M63)/SUM('Financials"0"'!M49:M51)</f>
        <v>0</v>
      </c>
      <c r="I54" s="273">
        <f>SUMPRODUCT('Financials"0"'!N49:N51,'Financials"0"'!N61:N63)/SUM('Financials"0"'!N49:N51)</f>
        <v>0</v>
      </c>
      <c r="J54" s="273">
        <f>SUMPRODUCT('Financials"0"'!O49:O51,'Financials"0"'!O61:O63)/SUM('Financials"0"'!O49:O51)</f>
        <v>0</v>
      </c>
      <c r="K54" s="273">
        <f>SUMPRODUCT('Financials"0"'!P49:P51,'Financials"0"'!P61:P63)/SUM('Financials"0"'!P49:P51)</f>
        <v>0</v>
      </c>
      <c r="L54" s="273">
        <f>SUMPRODUCT('Financials"0"'!Q49:Q51,'Financials"0"'!Q61:Q63)/SUM('Financials"0"'!Q49:Q51)</f>
        <v>0</v>
      </c>
      <c r="M54" s="273">
        <f>SUMPRODUCT('Financials"0"'!R49:R51,'Financials"0"'!R61:R63)/SUM('Financials"0"'!R49:R51)</f>
        <v>0</v>
      </c>
      <c r="N54" s="273">
        <f>SUMPRODUCT('Financials"0"'!S49:S51,'Financials"0"'!S61:S63)/SUM('Financials"0"'!S49:S51)</f>
        <v>0</v>
      </c>
      <c r="O54" s="273">
        <f>SUMPRODUCT('Financials"0"'!T49:T51,'Financials"0"'!T61:T63)/SUM('Financials"0"'!T49:T51)</f>
        <v>0</v>
      </c>
      <c r="P54" s="273">
        <f>SUMPRODUCT('Financials"0"'!U49:U51,'Financials"0"'!U61:U63)/SUM('Financials"0"'!U49:U51)</f>
        <v>0</v>
      </c>
      <c r="Q54" s="273" t="e">
        <f>SUMPRODUCT('Financials"0"'!AC49:AC51,'Financials"0"'!AC61:AC63)/SUM('Financials"0"'!AC49:AC51)</f>
        <v>#DIV/0!</v>
      </c>
      <c r="R54" s="273" t="e">
        <f>SUMPRODUCT('Financials"0"'!AD49:AD51,'Financials"0"'!AD61:AD63)/SUM('Financials"0"'!AD49:AD51)</f>
        <v>#DIV/0!</v>
      </c>
      <c r="S54" s="273" t="e">
        <f>SUMPRODUCT('Financials"0"'!AE49:AE51,'Financials"0"'!AE61:AE63)/SUM('Financials"0"'!AE49:AE51)</f>
        <v>#DIV/0!</v>
      </c>
      <c r="T54" s="273" t="e">
        <f>SUMPRODUCT('Financials"0"'!AF49:AF51,'Financials"0"'!AF61:AF63)/SUM('Financials"0"'!AF49:AF51)</f>
        <v>#DIV/0!</v>
      </c>
      <c r="U54" s="273" t="e">
        <f>SUMPRODUCT('Financials"0"'!AG49:AG51,'Financials"0"'!AG61:AG63)/SUM('Financials"0"'!AG49:AG51)</f>
        <v>#DIV/0!</v>
      </c>
      <c r="V54" s="273" t="e">
        <f>SUMPRODUCT('Financials"0"'!AH49:AH51,'Financials"0"'!AH61:AH63)/SUM('Financials"0"'!AH49:AH51)</f>
        <v>#DIV/0!</v>
      </c>
      <c r="W54" s="273" t="e">
        <f>SUMPRODUCT('Financials"0"'!AI49:AI51,'Financials"0"'!AI61:AI63)/SUM('Financials"0"'!AI49:AI51)</f>
        <v>#DIV/0!</v>
      </c>
      <c r="X54" s="274">
        <f>+M54</f>
        <v>0</v>
      </c>
    </row>
    <row r="55" spans="1:29" outlineLevel="1">
      <c r="B55" s="16" t="s">
        <v>49</v>
      </c>
      <c r="C55" s="38">
        <f t="shared" ref="C55:P55" si="110">MAX(0,C7)</f>
        <v>0</v>
      </c>
      <c r="D55" s="275">
        <f t="shared" si="110"/>
        <v>0</v>
      </c>
      <c r="E55" s="275">
        <f t="shared" si="110"/>
        <v>0</v>
      </c>
      <c r="F55" s="275">
        <f t="shared" si="110"/>
        <v>0</v>
      </c>
      <c r="G55" s="275">
        <f t="shared" si="110"/>
        <v>0</v>
      </c>
      <c r="H55" s="275">
        <f t="shared" si="110"/>
        <v>0</v>
      </c>
      <c r="I55" s="275">
        <f t="shared" si="110"/>
        <v>0</v>
      </c>
      <c r="J55" s="275">
        <f t="shared" si="110"/>
        <v>0</v>
      </c>
      <c r="K55" s="275">
        <f t="shared" si="110"/>
        <v>0</v>
      </c>
      <c r="L55" s="275">
        <f t="shared" si="110"/>
        <v>0</v>
      </c>
      <c r="M55" s="275">
        <f t="shared" si="110"/>
        <v>0</v>
      </c>
      <c r="N55" s="275">
        <f t="shared" si="110"/>
        <v>0</v>
      </c>
      <c r="O55" s="275">
        <f t="shared" si="110"/>
        <v>0</v>
      </c>
      <c r="P55" s="275">
        <f t="shared" si="110"/>
        <v>0</v>
      </c>
      <c r="Q55" s="275">
        <f t="shared" ref="Q55:W55" si="111">MAX(0,Q7)</f>
        <v>0</v>
      </c>
      <c r="R55" s="275">
        <f t="shared" si="111"/>
        <v>0</v>
      </c>
      <c r="S55" s="275">
        <f t="shared" si="111"/>
        <v>0</v>
      </c>
      <c r="T55" s="275">
        <f t="shared" si="111"/>
        <v>0</v>
      </c>
      <c r="U55" s="275">
        <f t="shared" si="111"/>
        <v>0</v>
      </c>
      <c r="V55" s="275">
        <f t="shared" si="111"/>
        <v>0</v>
      </c>
      <c r="W55" s="275">
        <f t="shared" si="111"/>
        <v>0</v>
      </c>
      <c r="X55" s="276">
        <f>+M55</f>
        <v>0</v>
      </c>
      <c r="Z55" s="356"/>
    </row>
    <row r="56" spans="1:29" outlineLevel="1">
      <c r="B56" s="16" t="s">
        <v>53</v>
      </c>
      <c r="C56" s="38">
        <f>+'BS"0"'!I79</f>
        <v>608873.73</v>
      </c>
      <c r="D56" s="275">
        <f>+'BS"0"'!I79</f>
        <v>608873.73</v>
      </c>
      <c r="E56" s="275">
        <f>+'BS"0"'!J79</f>
        <v>608873.73</v>
      </c>
      <c r="F56" s="275">
        <f>+'BS"0"'!K79</f>
        <v>608873.73</v>
      </c>
      <c r="G56" s="275">
        <f>+'BS"0"'!L79</f>
        <v>608873.73</v>
      </c>
      <c r="H56" s="275">
        <f>+'BS"0"'!M79</f>
        <v>608873.73</v>
      </c>
      <c r="I56" s="275">
        <f>+'BS"0"'!N79</f>
        <v>608873.73</v>
      </c>
      <c r="J56" s="275">
        <f>+'BS"0"'!O79</f>
        <v>608873.73</v>
      </c>
      <c r="K56" s="275">
        <f>+'BS"0"'!P79</f>
        <v>608873.73</v>
      </c>
      <c r="L56" s="275">
        <f>+'BS"0"'!Q79</f>
        <v>608873.73</v>
      </c>
      <c r="M56" s="275">
        <f>+'BS"0"'!S79</f>
        <v>608873.73</v>
      </c>
      <c r="N56" s="275">
        <f>+'BS"0"'!T79</f>
        <v>608873.73</v>
      </c>
      <c r="O56" s="275">
        <f>+'BS"0"'!U79</f>
        <v>608873.73</v>
      </c>
      <c r="P56" s="275">
        <f>+'BS"0"'!V79</f>
        <v>608873.73</v>
      </c>
      <c r="Q56" s="275">
        <f>+'BS"0"'!W79</f>
        <v>608873.73</v>
      </c>
      <c r="R56" s="275">
        <f>+'BS"0"'!X79</f>
        <v>608873.73</v>
      </c>
      <c r="S56" s="275">
        <f>+'BS"0"'!Y79</f>
        <v>608873.73</v>
      </c>
      <c r="T56" s="275">
        <f>+'BS"0"'!Z79</f>
        <v>608873.73</v>
      </c>
      <c r="U56" s="275">
        <f>+'BS"0"'!AA79</f>
        <v>608873.73</v>
      </c>
      <c r="V56" s="275">
        <f>+'BS"0"'!AB79</f>
        <v>608873.73</v>
      </c>
      <c r="W56" s="275">
        <f>+'BS"0"'!AC79</f>
        <v>608873.73</v>
      </c>
      <c r="X56" s="276">
        <f>+M56</f>
        <v>608873.73</v>
      </c>
    </row>
    <row r="57" spans="1:29" outlineLevel="1">
      <c r="B57" s="19" t="s">
        <v>51</v>
      </c>
      <c r="C57" s="29">
        <f>C45</f>
        <v>0.05</v>
      </c>
      <c r="D57" s="262">
        <f t="shared" ref="D57:X57" si="112">D45</f>
        <v>0.05</v>
      </c>
      <c r="E57" s="262">
        <f t="shared" si="112"/>
        <v>0.05</v>
      </c>
      <c r="F57" s="262">
        <f t="shared" si="112"/>
        <v>0.05</v>
      </c>
      <c r="G57" s="262">
        <f t="shared" si="112"/>
        <v>0.05</v>
      </c>
      <c r="H57" s="262">
        <f t="shared" si="112"/>
        <v>0.05</v>
      </c>
      <c r="I57" s="262">
        <f t="shared" si="112"/>
        <v>0.05</v>
      </c>
      <c r="J57" s="262">
        <f t="shared" si="112"/>
        <v>0.05</v>
      </c>
      <c r="K57" s="262">
        <f t="shared" si="112"/>
        <v>0.05</v>
      </c>
      <c r="L57" s="262">
        <f t="shared" si="112"/>
        <v>0.05</v>
      </c>
      <c r="M57" s="262">
        <f t="shared" si="112"/>
        <v>0.05</v>
      </c>
      <c r="N57" s="262">
        <f t="shared" si="112"/>
        <v>0.05</v>
      </c>
      <c r="O57" s="262">
        <f t="shared" si="112"/>
        <v>0.05</v>
      </c>
      <c r="P57" s="262">
        <f t="shared" si="112"/>
        <v>0.05</v>
      </c>
      <c r="Q57" s="262">
        <f t="shared" ref="Q57:W57" si="113">Q45</f>
        <v>0.05</v>
      </c>
      <c r="R57" s="262">
        <f t="shared" si="113"/>
        <v>0.05</v>
      </c>
      <c r="S57" s="262">
        <f t="shared" si="113"/>
        <v>0.05</v>
      </c>
      <c r="T57" s="262">
        <f t="shared" si="113"/>
        <v>0.05</v>
      </c>
      <c r="U57" s="262">
        <f t="shared" si="113"/>
        <v>0.05</v>
      </c>
      <c r="V57" s="262">
        <f t="shared" si="113"/>
        <v>0.05</v>
      </c>
      <c r="W57" s="262">
        <f t="shared" si="113"/>
        <v>0.05</v>
      </c>
      <c r="X57" s="263">
        <f t="shared" si="112"/>
        <v>5.4299999999999994E-2</v>
      </c>
    </row>
    <row r="58" spans="1:29" outlineLevel="1">
      <c r="B58" s="28" t="s">
        <v>46</v>
      </c>
      <c r="C58" s="30">
        <f>1/POWER((1+C57),1-C60)</f>
        <v>0.96791027166002308</v>
      </c>
      <c r="D58" s="264">
        <f t="shared" ref="D58:X58" si="114">1/(1+D57)</f>
        <v>0.95238095238095233</v>
      </c>
      <c r="E58" s="264">
        <f t="shared" ref="E58:M58" si="115">1/(1+E57)</f>
        <v>0.95238095238095233</v>
      </c>
      <c r="F58" s="264">
        <f t="shared" si="115"/>
        <v>0.95238095238095233</v>
      </c>
      <c r="G58" s="264">
        <f t="shared" si="115"/>
        <v>0.95238095238095233</v>
      </c>
      <c r="H58" s="264">
        <f t="shared" si="115"/>
        <v>0.95238095238095233</v>
      </c>
      <c r="I58" s="264">
        <f t="shared" si="115"/>
        <v>0.95238095238095233</v>
      </c>
      <c r="J58" s="264">
        <f t="shared" si="115"/>
        <v>0.95238095238095233</v>
      </c>
      <c r="K58" s="264">
        <f t="shared" si="115"/>
        <v>0.95238095238095233</v>
      </c>
      <c r="L58" s="264">
        <f t="shared" ref="L58" si="116">1/(1+L57)</f>
        <v>0.95238095238095233</v>
      </c>
      <c r="M58" s="264">
        <f t="shared" si="115"/>
        <v>0.95238095238095233</v>
      </c>
      <c r="N58" s="264">
        <f t="shared" ref="N58:P58" si="117">1/(1+N57)</f>
        <v>0.95238095238095233</v>
      </c>
      <c r="O58" s="264">
        <f t="shared" si="117"/>
        <v>0.95238095238095233</v>
      </c>
      <c r="P58" s="264">
        <f t="shared" si="117"/>
        <v>0.95238095238095233</v>
      </c>
      <c r="Q58" s="264">
        <f t="shared" ref="Q58:W58" si="118">1/(1+Q57)</f>
        <v>0.95238095238095233</v>
      </c>
      <c r="R58" s="264">
        <f t="shared" si="118"/>
        <v>0.95238095238095233</v>
      </c>
      <c r="S58" s="264">
        <f t="shared" si="118"/>
        <v>0.95238095238095233</v>
      </c>
      <c r="T58" s="264">
        <f t="shared" si="118"/>
        <v>0.95238095238095233</v>
      </c>
      <c r="U58" s="264">
        <f t="shared" si="118"/>
        <v>0.95238095238095233</v>
      </c>
      <c r="V58" s="264">
        <f t="shared" si="118"/>
        <v>0.95238095238095233</v>
      </c>
      <c r="W58" s="264">
        <f t="shared" si="118"/>
        <v>0.95238095238095233</v>
      </c>
      <c r="X58" s="265">
        <f t="shared" si="114"/>
        <v>0.9484966328369534</v>
      </c>
    </row>
    <row r="59" spans="1:29" outlineLevel="1">
      <c r="B59" s="28" t="s">
        <v>47</v>
      </c>
      <c r="C59" s="30">
        <f>C58</f>
        <v>0.96791027166002308</v>
      </c>
      <c r="D59" s="264">
        <f>D58*C59</f>
        <v>0.92181930634287912</v>
      </c>
      <c r="E59" s="264">
        <f t="shared" ref="E59:M59" si="119">E58*D59</f>
        <v>0.87792314889798007</v>
      </c>
      <c r="F59" s="264">
        <f t="shared" si="119"/>
        <v>0.83611728466474289</v>
      </c>
      <c r="G59" s="264">
        <f t="shared" si="119"/>
        <v>0.79630217587118368</v>
      </c>
      <c r="H59" s="264">
        <f t="shared" si="119"/>
        <v>0.75838302463922247</v>
      </c>
      <c r="I59" s="264">
        <f t="shared" si="119"/>
        <v>0.7222695472754499</v>
      </c>
      <c r="J59" s="264">
        <f t="shared" si="119"/>
        <v>0.68787575930995226</v>
      </c>
      <c r="K59" s="264">
        <f t="shared" si="119"/>
        <v>0.65511977077138306</v>
      </c>
      <c r="L59" s="264">
        <f t="shared" si="119"/>
        <v>0.62392359121084096</v>
      </c>
      <c r="M59" s="264">
        <f t="shared" si="119"/>
        <v>0.59421294401032465</v>
      </c>
      <c r="N59" s="264">
        <f t="shared" ref="N59" si="120">N58*M59</f>
        <v>0.5659170895336425</v>
      </c>
      <c r="O59" s="264">
        <f t="shared" ref="O59" si="121">O58*N59</f>
        <v>0.53896865669870708</v>
      </c>
      <c r="P59" s="264">
        <f t="shared" ref="P59" si="122">P58*O59</f>
        <v>0.5133034825701972</v>
      </c>
      <c r="Q59" s="264">
        <f t="shared" ref="Q59" si="123">Q58*P59</f>
        <v>0.48886045959066399</v>
      </c>
      <c r="R59" s="264">
        <f t="shared" ref="R59" si="124">R58*Q59</f>
        <v>0.46558139008634664</v>
      </c>
      <c r="S59" s="264">
        <f t="shared" ref="S59" si="125">S58*R59</f>
        <v>0.44341084770128247</v>
      </c>
      <c r="T59" s="264">
        <f t="shared" ref="T59" si="126">T58*S59</f>
        <v>0.42229604542979282</v>
      </c>
      <c r="U59" s="264">
        <f t="shared" ref="U59" si="127">U58*T59</f>
        <v>0.40218670993313599</v>
      </c>
      <c r="V59" s="264">
        <f t="shared" ref="V59" si="128">V58*U59</f>
        <v>0.38303496184108188</v>
      </c>
      <c r="W59" s="264">
        <f t="shared" ref="W59" si="129">W58*V59</f>
        <v>0.36479520175341129</v>
      </c>
      <c r="X59" s="265">
        <f>X58*L59</f>
        <v>0.59178942541102242</v>
      </c>
    </row>
    <row r="60" spans="1:29" outlineLevel="1">
      <c r="B60" s="28" t="s">
        <v>48</v>
      </c>
      <c r="C60" s="33">
        <f>+C48</f>
        <v>0.33150684931506846</v>
      </c>
      <c r="D60" s="264"/>
      <c r="E60" s="264"/>
      <c r="G60" s="269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</row>
    <row r="61" spans="1:29" outlineLevel="1">
      <c r="B61" s="24"/>
      <c r="C61" s="24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</row>
    <row r="62" spans="1:29" outlineLevel="1">
      <c r="A62" s="41"/>
      <c r="B62" s="42" t="s">
        <v>54</v>
      </c>
      <c r="C62" s="43">
        <f t="shared" ref="C62:P62" si="130">C5</f>
        <v>44926</v>
      </c>
      <c r="D62" s="277">
        <f t="shared" si="130"/>
        <v>45291</v>
      </c>
      <c r="E62" s="277">
        <f t="shared" si="130"/>
        <v>45657</v>
      </c>
      <c r="F62" s="277">
        <f t="shared" si="130"/>
        <v>46022</v>
      </c>
      <c r="G62" s="277">
        <f t="shared" si="130"/>
        <v>46387</v>
      </c>
      <c r="H62" s="277">
        <f t="shared" si="130"/>
        <v>46752</v>
      </c>
      <c r="I62" s="277">
        <f t="shared" si="130"/>
        <v>47118</v>
      </c>
      <c r="J62" s="277">
        <f t="shared" si="130"/>
        <v>47483</v>
      </c>
      <c r="K62" s="277">
        <f t="shared" si="130"/>
        <v>47848</v>
      </c>
      <c r="L62" s="277">
        <f t="shared" si="130"/>
        <v>48213</v>
      </c>
      <c r="M62" s="277">
        <f t="shared" si="130"/>
        <v>48579</v>
      </c>
      <c r="N62" s="277">
        <f t="shared" si="130"/>
        <v>48944</v>
      </c>
      <c r="O62" s="277">
        <f t="shared" si="130"/>
        <v>49309</v>
      </c>
      <c r="P62" s="277">
        <f t="shared" si="130"/>
        <v>49674</v>
      </c>
      <c r="Q62" s="277">
        <f t="shared" ref="Q62:W62" si="131">Q5</f>
        <v>50040</v>
      </c>
      <c r="R62" s="277">
        <f t="shared" si="131"/>
        <v>50405</v>
      </c>
      <c r="S62" s="277">
        <f t="shared" si="131"/>
        <v>50770</v>
      </c>
      <c r="T62" s="277">
        <f t="shared" si="131"/>
        <v>51135</v>
      </c>
      <c r="U62" s="277">
        <f t="shared" si="131"/>
        <v>51501</v>
      </c>
      <c r="V62" s="277">
        <f t="shared" si="131"/>
        <v>51866</v>
      </c>
      <c r="W62" s="277">
        <f t="shared" si="131"/>
        <v>52231</v>
      </c>
      <c r="X62" s="278"/>
      <c r="Y62" s="279"/>
    </row>
    <row r="63" spans="1:29" outlineLevel="1">
      <c r="A63" s="41"/>
      <c r="B63" s="44" t="s">
        <v>55</v>
      </c>
      <c r="C63" s="45">
        <f>+'PL"0"'!I6+'PL"0"'!I10</f>
        <v>137436090.04849327</v>
      </c>
      <c r="D63" s="280">
        <f>+'PL"0"'!J6+'PL"0"'!J10</f>
        <v>136131907.30879638</v>
      </c>
      <c r="E63" s="280">
        <f>+'PL"0"'!K6+'PL"0"'!K10</f>
        <v>136255594.02466041</v>
      </c>
      <c r="F63" s="280">
        <f>+'PL"0"'!L6+'PL"0"'!L10</f>
        <v>136405596.77358985</v>
      </c>
      <c r="G63" s="280">
        <f>+'PL"0"'!M6+'PL"0"'!M10</f>
        <v>137067156.24146107</v>
      </c>
      <c r="H63" s="280">
        <f>+'PL"0"'!N6+'PL"0"'!N10</f>
        <v>132861614.20025352</v>
      </c>
      <c r="I63" s="280">
        <f>+'PL"0"'!O6+'PL"0"'!O10</f>
        <v>129313648.10290082</v>
      </c>
      <c r="J63" s="280">
        <f>+'PL"0"'!P6+'PL"0"'!P10</f>
        <v>127596404.01717199</v>
      </c>
      <c r="K63" s="280">
        <f>+'PL"0"'!Q6+'PL"0"'!Q10</f>
        <v>127666594.98439071</v>
      </c>
      <c r="L63" s="280">
        <f>+'PL"0"'!R6+'PL"0"'!R10</f>
        <v>127667858.54847263</v>
      </c>
      <c r="M63" s="280">
        <f>+'PL"0"'!S6+'PL"0"'!S10</f>
        <v>127700518.15256914</v>
      </c>
      <c r="N63" s="280">
        <f>+'PL"0"'!T6+'PL"0"'!T10</f>
        <v>127682938.79507931</v>
      </c>
      <c r="O63" s="280">
        <f>+'PL"0"'!U6+'PL"0"'!U10</f>
        <v>127569816.72511443</v>
      </c>
      <c r="P63" s="280">
        <f>+'PL"0"'!V6+'PL"0"'!V10</f>
        <v>127381990.10024224</v>
      </c>
      <c r="Q63" s="280">
        <f>+'PL"0"'!W6+'PL"0"'!W10</f>
        <v>127396288.42936128</v>
      </c>
      <c r="R63" s="280">
        <f>+'PL"0"'!X6+'PL"0"'!X10</f>
        <v>127410586.75848033</v>
      </c>
      <c r="S63" s="280">
        <f>+'PL"0"'!Y6+'PL"0"'!Y10</f>
        <v>127424885.08759937</v>
      </c>
      <c r="T63" s="280">
        <f>+'PL"0"'!Z6+'PL"0"'!Z10</f>
        <v>127439183.41671841</v>
      </c>
      <c r="U63" s="280">
        <f>+'PL"0"'!AA6+'PL"0"'!AA10</f>
        <v>127453481.74583744</v>
      </c>
      <c r="V63" s="280">
        <f>+'PL"0"'!AB6+'PL"0"'!AB10</f>
        <v>127467780.07495646</v>
      </c>
      <c r="W63" s="280">
        <f>+'PL"0"'!AC6+'PL"0"'!AC10</f>
        <v>127482078.4040755</v>
      </c>
      <c r="X63" s="278"/>
      <c r="Y63" s="278"/>
    </row>
    <row r="64" spans="1:29" outlineLevel="1">
      <c r="A64" s="41"/>
      <c r="B64" s="46" t="s">
        <v>56</v>
      </c>
      <c r="C64" s="47">
        <f>+'PL"0"'!I61</f>
        <v>-45690643.653960481</v>
      </c>
      <c r="D64" s="281">
        <f>+'PL"0"'!J61</f>
        <v>-46100602.846118525</v>
      </c>
      <c r="E64" s="281">
        <f>+'PL"0"'!K61</f>
        <v>-46249807.466163278</v>
      </c>
      <c r="F64" s="281">
        <f>+'PL"0"'!L61</f>
        <v>-47219733.983127512</v>
      </c>
      <c r="G64" s="281">
        <f>+'PL"0"'!M61</f>
        <v>-48237993.629869401</v>
      </c>
      <c r="H64" s="281">
        <f>+'PL"0"'!N61</f>
        <v>-48995230.476766177</v>
      </c>
      <c r="I64" s="281">
        <f>+'PL"0"'!O61</f>
        <v>-49761879.283661112</v>
      </c>
      <c r="J64" s="281">
        <f>+'PL"0"'!P61</f>
        <v>-50634966.859797195</v>
      </c>
      <c r="K64" s="281">
        <f>+'PL"0"'!Q61</f>
        <v>-51647223.02405946</v>
      </c>
      <c r="L64" s="281">
        <f>+'PL"0"'!R61</f>
        <v>-52675522.574718878</v>
      </c>
      <c r="M64" s="281">
        <f>+'PL"0"'!S61</f>
        <v>-53728401.633846946</v>
      </c>
      <c r="N64" s="281">
        <f>+'PL"0"'!T61</f>
        <v>-53620129.436629437</v>
      </c>
      <c r="O64" s="281">
        <f>+'PL"0"'!U61</f>
        <v>-53783693.700681403</v>
      </c>
      <c r="P64" s="281">
        <f>+'PL"0"'!V61</f>
        <v>-53949144.704767957</v>
      </c>
      <c r="Q64" s="281">
        <f>+'PL"0"'!W61</f>
        <v>-54163787.053261265</v>
      </c>
      <c r="R64" s="281">
        <f>+'PL"0"'!X61</f>
        <v>-54383075.694269843</v>
      </c>
      <c r="S64" s="281">
        <f>+'PL"0"'!Y61</f>
        <v>-54607114.493396305</v>
      </c>
      <c r="T64" s="281">
        <f>+'PL"0"'!Z61</f>
        <v>-54836009.667049117</v>
      </c>
      <c r="U64" s="281">
        <f>+'PL"0"'!AA61</f>
        <v>-55069869.836295992</v>
      </c>
      <c r="V64" s="281">
        <f>+'PL"0"'!AB61</f>
        <v>-55308806.081965603</v>
      </c>
      <c r="W64" s="281">
        <f>+'PL"0"'!AC61</f>
        <v>-55552932.00102599</v>
      </c>
      <c r="X64" s="278"/>
      <c r="Y64" s="278"/>
    </row>
    <row r="65" spans="1:25" outlineLevel="1">
      <c r="A65" s="41"/>
      <c r="B65" s="46" t="s">
        <v>57</v>
      </c>
      <c r="C65" s="47">
        <f t="shared" ref="C65" si="132">+C66-C68</f>
        <v>-27851088.379999999</v>
      </c>
      <c r="D65" s="281">
        <f t="shared" ref="D65" si="133">+D66-D68</f>
        <v>-27851088.379999999</v>
      </c>
      <c r="E65" s="281">
        <f t="shared" ref="E65:P65" si="134">+E66-E68</f>
        <v>-27851088.379999999</v>
      </c>
      <c r="F65" s="281">
        <f t="shared" si="134"/>
        <v>-27851088.379999999</v>
      </c>
      <c r="G65" s="281">
        <f t="shared" si="134"/>
        <v>-27851088.379999999</v>
      </c>
      <c r="H65" s="281">
        <f t="shared" si="134"/>
        <v>-27851088.379999999</v>
      </c>
      <c r="I65" s="281">
        <f t="shared" si="134"/>
        <v>-27851088.379999999</v>
      </c>
      <c r="J65" s="281">
        <f t="shared" si="134"/>
        <v>-27851088.379999999</v>
      </c>
      <c r="K65" s="281">
        <f t="shared" si="134"/>
        <v>-27851088.379999999</v>
      </c>
      <c r="L65" s="281">
        <f t="shared" si="134"/>
        <v>-27851088.379999999</v>
      </c>
      <c r="M65" s="281">
        <f t="shared" si="134"/>
        <v>-27851088.379999999</v>
      </c>
      <c r="N65" s="281">
        <f t="shared" si="134"/>
        <v>-27851088.379999999</v>
      </c>
      <c r="O65" s="281">
        <f t="shared" si="134"/>
        <v>-27851088.379999999</v>
      </c>
      <c r="P65" s="281">
        <f t="shared" si="134"/>
        <v>-27851088.379999999</v>
      </c>
      <c r="Q65" s="281">
        <f t="shared" ref="Q65:W65" si="135">+Q66-Q68</f>
        <v>50664237.650666185</v>
      </c>
      <c r="R65" s="281">
        <f t="shared" si="135"/>
        <v>129883329.72992823</v>
      </c>
      <c r="S65" s="281">
        <f t="shared" si="135"/>
        <v>209820617.63168523</v>
      </c>
      <c r="T65" s="281">
        <f t="shared" si="135"/>
        <v>290490830.69025093</v>
      </c>
      <c r="U65" s="281">
        <f t="shared" si="135"/>
        <v>371909004.06568527</v>
      </c>
      <c r="V65" s="281">
        <f t="shared" si="135"/>
        <v>454090485.14128697</v>
      </c>
      <c r="W65" s="281">
        <f t="shared" si="135"/>
        <v>537050940.05605793</v>
      </c>
      <c r="X65" s="278"/>
      <c r="Y65" s="278"/>
    </row>
    <row r="66" spans="1:25" outlineLevel="1">
      <c r="A66" s="41"/>
      <c r="B66" s="300" t="s">
        <v>251</v>
      </c>
      <c r="C66" s="47">
        <f>+'BS"0"'!I79</f>
        <v>608873.73</v>
      </c>
      <c r="D66" s="281">
        <f>+'BS"0"'!J79</f>
        <v>608873.73</v>
      </c>
      <c r="E66" s="281">
        <f>+'BS"0"'!K79</f>
        <v>608873.73</v>
      </c>
      <c r="F66" s="281">
        <f>+'BS"0"'!L79</f>
        <v>608873.73</v>
      </c>
      <c r="G66" s="281">
        <f>+'BS"0"'!M79</f>
        <v>608873.73</v>
      </c>
      <c r="H66" s="281">
        <f>+'BS"0"'!N79</f>
        <v>608873.73</v>
      </c>
      <c r="I66" s="281">
        <f>+'BS"0"'!O79</f>
        <v>608873.73</v>
      </c>
      <c r="J66" s="281">
        <f>+'BS"0"'!P79</f>
        <v>608873.73</v>
      </c>
      <c r="K66" s="281">
        <f>+'BS"0"'!Q79</f>
        <v>608873.73</v>
      </c>
      <c r="L66" s="281">
        <f>+'BS"0"'!R79</f>
        <v>608873.73</v>
      </c>
      <c r="M66" s="281">
        <f>+'BS"0"'!S79</f>
        <v>608873.73</v>
      </c>
      <c r="N66" s="281">
        <f>+'BS"0"'!T79</f>
        <v>608873.73</v>
      </c>
      <c r="O66" s="281">
        <f>+'BS"0"'!U79</f>
        <v>608873.73</v>
      </c>
      <c r="P66" s="281">
        <f>+'BS"0"'!V79</f>
        <v>608873.73</v>
      </c>
      <c r="Q66" s="281">
        <f>+'BS"0"'!W79</f>
        <v>608873.73</v>
      </c>
      <c r="R66" s="281">
        <f>+'BS"0"'!X79</f>
        <v>608873.73</v>
      </c>
      <c r="S66" s="281">
        <f>+'BS"0"'!Y79</f>
        <v>608873.73</v>
      </c>
      <c r="T66" s="281">
        <f>+'BS"0"'!Z79</f>
        <v>608873.73</v>
      </c>
      <c r="U66" s="281">
        <f>+'BS"0"'!AA79</f>
        <v>608873.73</v>
      </c>
      <c r="V66" s="281">
        <f>+'BS"0"'!AB79</f>
        <v>608873.73</v>
      </c>
      <c r="W66" s="281">
        <f>+'BS"0"'!AC79</f>
        <v>608873.73</v>
      </c>
      <c r="X66" s="278"/>
      <c r="Y66" s="278"/>
    </row>
    <row r="67" spans="1:25" outlineLevel="1">
      <c r="A67" s="41"/>
      <c r="B67" s="46"/>
      <c r="C67" s="47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78"/>
      <c r="Y67" s="278"/>
    </row>
    <row r="68" spans="1:25" outlineLevel="1">
      <c r="A68" s="41"/>
      <c r="B68" s="46" t="s">
        <v>59</v>
      </c>
      <c r="C68" s="47">
        <f>+'BS"0"'!I41</f>
        <v>28459962.109999999</v>
      </c>
      <c r="D68" s="281">
        <f>+'BS"0"'!J41</f>
        <v>28459962.109999999</v>
      </c>
      <c r="E68" s="281">
        <f>+'BS"0"'!K41</f>
        <v>28459962.109999999</v>
      </c>
      <c r="F68" s="281">
        <f>+'BS"0"'!L41</f>
        <v>28459962.109999999</v>
      </c>
      <c r="G68" s="281">
        <f>+'BS"0"'!M41</f>
        <v>28459962.109999999</v>
      </c>
      <c r="H68" s="281">
        <f>+'BS"0"'!N41</f>
        <v>28459962.109999999</v>
      </c>
      <c r="I68" s="281">
        <f>+'BS"0"'!O41</f>
        <v>28459962.109999999</v>
      </c>
      <c r="J68" s="281">
        <f>+'BS"0"'!P41</f>
        <v>28459962.109999999</v>
      </c>
      <c r="K68" s="281">
        <f>+'BS"0"'!Q41</f>
        <v>28459962.109999999</v>
      </c>
      <c r="L68" s="281">
        <f>+'BS"0"'!R41</f>
        <v>28459962.109999999</v>
      </c>
      <c r="M68" s="281">
        <f>+'BS"0"'!S41</f>
        <v>28459962.109999999</v>
      </c>
      <c r="N68" s="281">
        <f>+'BS"0"'!T41</f>
        <v>28459962.109999999</v>
      </c>
      <c r="O68" s="281">
        <f>+'BS"0"'!U41</f>
        <v>28459962.109999999</v>
      </c>
      <c r="P68" s="281">
        <f>+'BS"0"'!V41</f>
        <v>28459962.109999999</v>
      </c>
      <c r="Q68" s="281">
        <f>+'BS"0"'!W41</f>
        <v>-50055363.920666188</v>
      </c>
      <c r="R68" s="281">
        <f>+'BS"0"'!X41</f>
        <v>-129274455.99992822</v>
      </c>
      <c r="S68" s="281">
        <f>+'BS"0"'!Y41</f>
        <v>-209211743.90168524</v>
      </c>
      <c r="T68" s="281">
        <f>+'BS"0"'!Z41</f>
        <v>-289881956.96025091</v>
      </c>
      <c r="U68" s="281">
        <f>+'BS"0"'!AA41</f>
        <v>-371300130.33568525</v>
      </c>
      <c r="V68" s="281">
        <f>+'BS"0"'!AB41</f>
        <v>-453481611.41128695</v>
      </c>
      <c r="W68" s="281">
        <f>+'BS"0"'!AC41</f>
        <v>-536442066.32605791</v>
      </c>
      <c r="X68" s="278"/>
      <c r="Y68" s="278"/>
    </row>
    <row r="69" spans="1:25"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</row>
    <row r="70" spans="1:25">
      <c r="C70" s="322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</row>
    <row r="71" spans="1:25" s="147" customFormat="1">
      <c r="B71" s="224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</row>
  </sheetData>
  <sheetProtection selectLockedCells="1"/>
  <conditionalFormatting sqref="AC3">
    <cfRule type="cellIs" dxfId="1" priority="1" operator="equal">
      <formula>"ERROR"</formula>
    </cfRule>
  </conditionalFormatting>
  <pageMargins left="0.70866141732283505" right="0.70866141732283505" top="0.74803149606299202" bottom="0.74803149606299202" header="0.31496062992126" footer="0.31496062992126"/>
  <pageSetup paperSize="9" scale="60" orientation="portrait" r:id="rId1"/>
  <headerFooter>
    <oddHeader>&amp;C&amp;F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A8FC5-F17B-48A3-B90B-0393773BF0EC}">
  <sheetPr>
    <tabColor theme="1" tint="0.34998626667073579"/>
  </sheetPr>
  <dimension ref="A1"/>
  <sheetViews>
    <sheetView workbookViewId="0"/>
  </sheetViews>
  <sheetFormatPr baseColWidth="10" defaultColWidth="8.83203125" defaultRowHeight="15"/>
  <cols>
    <col min="1" max="16384" width="8.83203125" style="63"/>
  </cols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263A-94C9-4D3F-B18F-F61809F48FFC}">
  <sheetPr>
    <tabColor rgb="FFFEF4EC"/>
  </sheetPr>
  <dimension ref="A2:AJ60"/>
  <sheetViews>
    <sheetView topLeftCell="D1" workbookViewId="0">
      <selection activeCell="J30" sqref="J30"/>
    </sheetView>
  </sheetViews>
  <sheetFormatPr baseColWidth="10" defaultColWidth="8.83203125" defaultRowHeight="15"/>
  <cols>
    <col min="1" max="1" width="5.5" style="63" customWidth="1"/>
    <col min="2" max="2" width="26.1640625" style="459" customWidth="1"/>
    <col min="3" max="3" width="8.83203125" style="459" customWidth="1"/>
    <col min="4" max="8" width="11" style="458" customWidth="1"/>
    <col min="9" max="29" width="11" style="460" customWidth="1"/>
    <col min="30" max="36" width="8.83203125" style="459"/>
    <col min="37" max="16384" width="8.83203125" style="63"/>
  </cols>
  <sheetData>
    <row r="2" spans="2:36" s="507" customFormat="1">
      <c r="B2" s="504"/>
      <c r="C2" s="504"/>
      <c r="D2" s="505">
        <v>43100</v>
      </c>
      <c r="E2" s="505">
        <f>EOMONTH(D2,12)</f>
        <v>43465</v>
      </c>
      <c r="F2" s="505">
        <f t="shared" ref="F2:S2" si="0">EOMONTH(E2,12)</f>
        <v>43830</v>
      </c>
      <c r="G2" s="505">
        <f t="shared" si="0"/>
        <v>44196</v>
      </c>
      <c r="H2" s="505">
        <f t="shared" si="0"/>
        <v>44561</v>
      </c>
      <c r="I2" s="504">
        <f t="shared" si="0"/>
        <v>44926</v>
      </c>
      <c r="J2" s="504">
        <f t="shared" si="0"/>
        <v>45291</v>
      </c>
      <c r="K2" s="504">
        <f t="shared" si="0"/>
        <v>45657</v>
      </c>
      <c r="L2" s="504">
        <f t="shared" si="0"/>
        <v>46022</v>
      </c>
      <c r="M2" s="504">
        <f t="shared" si="0"/>
        <v>46387</v>
      </c>
      <c r="N2" s="504">
        <f t="shared" si="0"/>
        <v>46752</v>
      </c>
      <c r="O2" s="504">
        <f t="shared" si="0"/>
        <v>47118</v>
      </c>
      <c r="P2" s="504">
        <f t="shared" si="0"/>
        <v>47483</v>
      </c>
      <c r="Q2" s="504">
        <f t="shared" si="0"/>
        <v>47848</v>
      </c>
      <c r="R2" s="504">
        <f t="shared" si="0"/>
        <v>48213</v>
      </c>
      <c r="S2" s="504">
        <f t="shared" si="0"/>
        <v>48579</v>
      </c>
      <c r="T2" s="504">
        <f t="shared" ref="T2" si="1">EOMONTH(S2,12)</f>
        <v>48944</v>
      </c>
      <c r="U2" s="504">
        <f t="shared" ref="U2" si="2">EOMONTH(T2,12)</f>
        <v>49309</v>
      </c>
      <c r="V2" s="504">
        <f t="shared" ref="V2:W2" si="3">EOMONTH(U2,12)</f>
        <v>49674</v>
      </c>
      <c r="W2" s="504">
        <f t="shared" si="3"/>
        <v>50040</v>
      </c>
      <c r="X2" s="504">
        <f t="shared" ref="X2" si="4">EOMONTH(W2,12)</f>
        <v>50405</v>
      </c>
      <c r="Y2" s="504">
        <f t="shared" ref="Y2" si="5">EOMONTH(X2,12)</f>
        <v>50770</v>
      </c>
      <c r="Z2" s="504">
        <f t="shared" ref="Z2" si="6">EOMONTH(Y2,12)</f>
        <v>51135</v>
      </c>
      <c r="AA2" s="504">
        <f t="shared" ref="AA2" si="7">EOMONTH(Z2,12)</f>
        <v>51501</v>
      </c>
      <c r="AB2" s="504">
        <f t="shared" ref="AB2" si="8">EOMONTH(AA2,12)</f>
        <v>51866</v>
      </c>
      <c r="AC2" s="504">
        <f t="shared" ref="AC2" si="9">EOMONTH(AB2,12)</f>
        <v>52231</v>
      </c>
      <c r="AD2" s="506"/>
      <c r="AE2" s="506"/>
      <c r="AF2" s="506"/>
      <c r="AG2" s="506"/>
      <c r="AH2" s="506"/>
      <c r="AI2" s="506"/>
      <c r="AJ2" s="506"/>
    </row>
    <row r="3" spans="2:36">
      <c r="B3" s="459" t="s">
        <v>287</v>
      </c>
      <c r="C3" s="459" t="s">
        <v>259</v>
      </c>
      <c r="D3" s="458">
        <f>SUMIF(FTE_data!$C$4:$C$430,"="&amp;$B3,FTE_data!$D$4:$D$430)</f>
        <v>578.55424999999991</v>
      </c>
      <c r="E3" s="458">
        <f>SUMIF(FTE_data!$C$4:$C$430,"="&amp;$B3,FTE_data!$F$4:$F$430)</f>
        <v>573.55775000000006</v>
      </c>
      <c r="F3" s="458">
        <f>SUMIF(FTE_data!$C$4:$C$430,"="&amp;$B3,FTE_data!$H$4:$H$430)</f>
        <v>612.25724999999977</v>
      </c>
      <c r="G3" s="458">
        <f>SUMIF(FTE_data!$C$4:$C$430,"="&amp;$B3,FTE_data!$J$4:$J$430)</f>
        <v>635.76341666666667</v>
      </c>
      <c r="H3" s="458">
        <f>SUMIF(FTE_data!$C$4:$C$430,"="&amp;$B3,FTE_data!$L$4:$L$430)</f>
        <v>661.24091666666652</v>
      </c>
      <c r="I3" s="460">
        <f>H3</f>
        <v>661.24091666666652</v>
      </c>
      <c r="J3" s="460">
        <f t="shared" ref="J3:V3" si="10">J47/J49</f>
        <v>654.55923997255638</v>
      </c>
      <c r="K3" s="460">
        <f t="shared" si="10"/>
        <v>655.0363683665712</v>
      </c>
      <c r="L3" s="460">
        <f t="shared" si="10"/>
        <v>661.91975354530007</v>
      </c>
      <c r="M3" s="460">
        <f t="shared" si="10"/>
        <v>671.54804005704989</v>
      </c>
      <c r="N3" s="460">
        <f t="shared" si="10"/>
        <v>656.27317868333375</v>
      </c>
      <c r="O3" s="460">
        <f t="shared" si="10"/>
        <v>644.12928519128877</v>
      </c>
      <c r="P3" s="460">
        <f t="shared" si="10"/>
        <v>641.37277503782309</v>
      </c>
      <c r="Q3" s="460">
        <f t="shared" si="10"/>
        <v>648.05068228593086</v>
      </c>
      <c r="R3" s="460">
        <f t="shared" si="10"/>
        <v>654.49468199068963</v>
      </c>
      <c r="S3" s="460">
        <f t="shared" si="10"/>
        <v>661.24091666666641</v>
      </c>
      <c r="T3" s="460">
        <f t="shared" si="10"/>
        <v>661.01189189509103</v>
      </c>
      <c r="U3" s="460">
        <f t="shared" si="10"/>
        <v>660.25585006581753</v>
      </c>
      <c r="V3" s="460">
        <f t="shared" si="10"/>
        <v>659.0958328369378</v>
      </c>
      <c r="W3" s="460">
        <f t="shared" ref="W3:AC3" si="11">W47/W49</f>
        <v>659.1937358359346</v>
      </c>
      <c r="X3" s="460">
        <f t="shared" si="11"/>
        <v>659.2916388349314</v>
      </c>
      <c r="Y3" s="460">
        <f t="shared" si="11"/>
        <v>659.38954183392832</v>
      </c>
      <c r="Z3" s="460">
        <f t="shared" si="11"/>
        <v>659.48744483292512</v>
      </c>
      <c r="AA3" s="460">
        <f t="shared" si="11"/>
        <v>659.58534783192192</v>
      </c>
      <c r="AB3" s="460">
        <f t="shared" si="11"/>
        <v>659.68325083091872</v>
      </c>
      <c r="AC3" s="460">
        <f t="shared" si="11"/>
        <v>659.78115382991564</v>
      </c>
    </row>
    <row r="4" spans="2:36">
      <c r="B4" s="459" t="s">
        <v>288</v>
      </c>
      <c r="C4" s="459" t="s">
        <v>259</v>
      </c>
      <c r="D4" s="458">
        <f>SUMIF(FTE_data!$C$4:$C$430,"="&amp;$B4,FTE_data!$D$4:$D$430)</f>
        <v>23.9</v>
      </c>
      <c r="E4" s="458">
        <f>SUMIF(FTE_data!$C$4:$C$430,"="&amp;$B4,FTE_data!$F$4:$F$430)</f>
        <v>23.572249999999997</v>
      </c>
      <c r="F4" s="458">
        <f>SUMIF(FTE_data!$C$4:$C$430,"="&amp;$B4,FTE_data!$H$4:$H$430)</f>
        <v>27.361250000000002</v>
      </c>
      <c r="G4" s="458">
        <f>SUMIF(FTE_data!$C$4:$C$430,"="&amp;$B4,FTE_data!$J$4:$J$430)</f>
        <v>32.713916666666663</v>
      </c>
      <c r="H4" s="458">
        <f>SUMIF(FTE_data!$C$4:$C$430,"="&amp;$B4,FTE_data!$L$4:$L$430)</f>
        <v>32.762333333333331</v>
      </c>
      <c r="I4" s="460">
        <f t="shared" ref="I4:I11" si="12">H4</f>
        <v>32.762333333333331</v>
      </c>
      <c r="J4" s="460">
        <f t="shared" ref="J4:W4" si="13">I4*(1+J39)</f>
        <v>32.762333333333331</v>
      </c>
      <c r="K4" s="460">
        <f t="shared" si="13"/>
        <v>32.762333333333331</v>
      </c>
      <c r="L4" s="460">
        <f t="shared" si="13"/>
        <v>32.762333333333331</v>
      </c>
      <c r="M4" s="460">
        <f t="shared" si="13"/>
        <v>32.762333333333331</v>
      </c>
      <c r="N4" s="460">
        <f t="shared" si="13"/>
        <v>32.762333333333331</v>
      </c>
      <c r="O4" s="460">
        <f t="shared" si="13"/>
        <v>32.762333333333331</v>
      </c>
      <c r="P4" s="460">
        <f t="shared" si="13"/>
        <v>32.762333333333331</v>
      </c>
      <c r="Q4" s="460">
        <f t="shared" si="13"/>
        <v>32.762333333333331</v>
      </c>
      <c r="R4" s="460">
        <f t="shared" si="13"/>
        <v>32.762333333333331</v>
      </c>
      <c r="S4" s="460">
        <f t="shared" si="13"/>
        <v>32.762333333333331</v>
      </c>
      <c r="T4" s="460">
        <f t="shared" si="13"/>
        <v>32.762333333333331</v>
      </c>
      <c r="U4" s="460">
        <f t="shared" si="13"/>
        <v>32.762333333333331</v>
      </c>
      <c r="V4" s="460">
        <f t="shared" si="13"/>
        <v>32.762333333333331</v>
      </c>
      <c r="W4" s="460">
        <f t="shared" si="13"/>
        <v>32.762333333333331</v>
      </c>
      <c r="X4" s="460">
        <f t="shared" ref="X4:AC4" si="14">W4*(1+X39)</f>
        <v>32.762333333333331</v>
      </c>
      <c r="Y4" s="460">
        <f t="shared" si="14"/>
        <v>32.762333333333331</v>
      </c>
      <c r="Z4" s="460">
        <f t="shared" si="14"/>
        <v>32.762333333333331</v>
      </c>
      <c r="AA4" s="460">
        <f t="shared" si="14"/>
        <v>32.762333333333331</v>
      </c>
      <c r="AB4" s="460">
        <f t="shared" si="14"/>
        <v>32.762333333333331</v>
      </c>
      <c r="AC4" s="460">
        <f t="shared" si="14"/>
        <v>32.762333333333331</v>
      </c>
    </row>
    <row r="5" spans="2:36">
      <c r="B5" s="459" t="s">
        <v>417</v>
      </c>
      <c r="C5" s="459" t="s">
        <v>259</v>
      </c>
      <c r="D5" s="458">
        <f>SUMIF(FTE_data!$C$4:$C$430,"="&amp;$B5,FTE_data!$D$4:$D$430)</f>
        <v>2.1666666666666665</v>
      </c>
      <c r="E5" s="458">
        <f>SUMIF(FTE_data!$C$4:$C$430,"="&amp;$B5,FTE_data!$F$4:$F$430)</f>
        <v>1.2</v>
      </c>
      <c r="F5" s="458">
        <f>SUMIF(FTE_data!$C$4:$C$430,"="&amp;$B5,FTE_data!$H$4:$H$430)</f>
        <v>1.2</v>
      </c>
      <c r="G5" s="458">
        <f>SUMIF(FTE_data!$C$4:$C$430,"="&amp;$B5,FTE_data!$J$4:$J$430)</f>
        <v>1.2</v>
      </c>
      <c r="H5" s="458">
        <f>SUMIF(FTE_data!$C$4:$C$430,"="&amp;$B5,FTE_data!$L$4:$L$430)</f>
        <v>1.2</v>
      </c>
      <c r="I5" s="460">
        <f t="shared" si="12"/>
        <v>1.2</v>
      </c>
      <c r="J5" s="460">
        <f t="shared" ref="J5:W5" si="15">I5*(1+J40)</f>
        <v>1.2</v>
      </c>
      <c r="K5" s="460">
        <f t="shared" si="15"/>
        <v>1.2</v>
      </c>
      <c r="L5" s="460">
        <f t="shared" si="15"/>
        <v>1.2</v>
      </c>
      <c r="M5" s="460">
        <f t="shared" si="15"/>
        <v>1.2</v>
      </c>
      <c r="N5" s="460">
        <f t="shared" si="15"/>
        <v>1.2</v>
      </c>
      <c r="O5" s="460">
        <f t="shared" si="15"/>
        <v>1.2</v>
      </c>
      <c r="P5" s="460">
        <f t="shared" si="15"/>
        <v>1.2</v>
      </c>
      <c r="Q5" s="460">
        <f t="shared" si="15"/>
        <v>1.2</v>
      </c>
      <c r="R5" s="460">
        <f t="shared" si="15"/>
        <v>1.2</v>
      </c>
      <c r="S5" s="460">
        <f t="shared" si="15"/>
        <v>1.2</v>
      </c>
      <c r="T5" s="460">
        <f t="shared" si="15"/>
        <v>1.2</v>
      </c>
      <c r="U5" s="460">
        <f t="shared" si="15"/>
        <v>1.2</v>
      </c>
      <c r="V5" s="460">
        <f t="shared" si="15"/>
        <v>1.2</v>
      </c>
      <c r="W5" s="460">
        <f t="shared" si="15"/>
        <v>1.2</v>
      </c>
      <c r="X5" s="460">
        <f t="shared" ref="X5:AC5" si="16">W5*(1+X40)</f>
        <v>1.2</v>
      </c>
      <c r="Y5" s="460">
        <f t="shared" si="16"/>
        <v>1.2</v>
      </c>
      <c r="Z5" s="460">
        <f t="shared" si="16"/>
        <v>1.2</v>
      </c>
      <c r="AA5" s="460">
        <f t="shared" si="16"/>
        <v>1.2</v>
      </c>
      <c r="AB5" s="460">
        <f t="shared" si="16"/>
        <v>1.2</v>
      </c>
      <c r="AC5" s="460">
        <f t="shared" si="16"/>
        <v>1.2</v>
      </c>
    </row>
    <row r="6" spans="2:36">
      <c r="B6" s="459" t="s">
        <v>418</v>
      </c>
      <c r="C6" s="459" t="s">
        <v>259</v>
      </c>
      <c r="D6" s="458">
        <f>SUMIF(FTE_data!$C$4:$C$430,"="&amp;$B6,FTE_data!$D$4:$D$430)</f>
        <v>195.35675000000001</v>
      </c>
      <c r="E6" s="458">
        <f>SUMIF(FTE_data!$C$4:$C$430,"="&amp;$B6,FTE_data!$F$4:$F$430)</f>
        <v>194.89724999999999</v>
      </c>
      <c r="F6" s="458">
        <f>SUMIF(FTE_data!$C$4:$C$430,"="&amp;$B6,FTE_data!$H$4:$H$430)</f>
        <v>194.99133333333327</v>
      </c>
      <c r="G6" s="458">
        <f>SUMIF(FTE_data!$C$4:$C$430,"="&amp;$B6,FTE_data!$J$4:$J$430)</f>
        <v>201.70749999999998</v>
      </c>
      <c r="H6" s="458">
        <f>SUMIF(FTE_data!$C$4:$C$430,"="&amp;$B6,FTE_data!$L$4:$L$430)</f>
        <v>206.52950000000001</v>
      </c>
      <c r="I6" s="460">
        <f t="shared" si="12"/>
        <v>206.52950000000001</v>
      </c>
      <c r="J6" s="460">
        <f t="shared" ref="J6:W6" si="17">I6*(1+J41)</f>
        <v>206.52950000000001</v>
      </c>
      <c r="K6" s="460">
        <f t="shared" si="17"/>
        <v>206.52950000000001</v>
      </c>
      <c r="L6" s="460">
        <f t="shared" si="17"/>
        <v>206.52950000000001</v>
      </c>
      <c r="M6" s="460">
        <f t="shared" si="17"/>
        <v>206.52950000000001</v>
      </c>
      <c r="N6" s="460">
        <f t="shared" si="17"/>
        <v>206.52950000000001</v>
      </c>
      <c r="O6" s="460">
        <f t="shared" si="17"/>
        <v>206.52950000000001</v>
      </c>
      <c r="P6" s="460">
        <f t="shared" si="17"/>
        <v>206.52950000000001</v>
      </c>
      <c r="Q6" s="460">
        <f t="shared" si="17"/>
        <v>206.52950000000001</v>
      </c>
      <c r="R6" s="460">
        <f t="shared" si="17"/>
        <v>206.52950000000001</v>
      </c>
      <c r="S6" s="460">
        <f t="shared" si="17"/>
        <v>206.52950000000001</v>
      </c>
      <c r="T6" s="460">
        <f t="shared" si="17"/>
        <v>206.52950000000001</v>
      </c>
      <c r="U6" s="460">
        <f t="shared" si="17"/>
        <v>206.52950000000001</v>
      </c>
      <c r="V6" s="460">
        <f t="shared" si="17"/>
        <v>206.52950000000001</v>
      </c>
      <c r="W6" s="460">
        <f t="shared" si="17"/>
        <v>206.52950000000001</v>
      </c>
      <c r="X6" s="460">
        <f t="shared" ref="X6:AC6" si="18">W6*(1+X41)</f>
        <v>206.52950000000001</v>
      </c>
      <c r="Y6" s="460">
        <f t="shared" si="18"/>
        <v>206.52950000000001</v>
      </c>
      <c r="Z6" s="460">
        <f t="shared" si="18"/>
        <v>206.52950000000001</v>
      </c>
      <c r="AA6" s="460">
        <f t="shared" si="18"/>
        <v>206.52950000000001</v>
      </c>
      <c r="AB6" s="460">
        <f t="shared" si="18"/>
        <v>206.52950000000001</v>
      </c>
      <c r="AC6" s="460">
        <f t="shared" si="18"/>
        <v>206.52950000000001</v>
      </c>
    </row>
    <row r="7" spans="2:36">
      <c r="B7" s="459" t="s">
        <v>289</v>
      </c>
      <c r="C7" s="459" t="s">
        <v>259</v>
      </c>
      <c r="D7" s="458">
        <f>SUMIF(FTE_data!$C$4:$C$430,"="&amp;$B7,FTE_data!$D$4:$D$430)</f>
        <v>1169.5315833333334</v>
      </c>
      <c r="E7" s="458">
        <f>SUMIF(FTE_data!$C$4:$C$430,"="&amp;$B7,FTE_data!$F$4:$F$430)</f>
        <v>1160.3738333333338</v>
      </c>
      <c r="F7" s="458">
        <f>SUMIF(FTE_data!$C$4:$C$430,"="&amp;$B7,FTE_data!$H$4:$H$430)</f>
        <v>1343.9427499999999</v>
      </c>
      <c r="G7" s="458">
        <f>SUMIF(FTE_data!$C$4:$C$430,"="&amp;$B7,FTE_data!$J$4:$J$430)</f>
        <v>1368.4370833333339</v>
      </c>
      <c r="H7" s="458">
        <f>SUMIF(FTE_data!$C$4:$C$430,"="&amp;$B7,FTE_data!$L$4:$L$430)</f>
        <v>1408.6758333333332</v>
      </c>
      <c r="I7" s="460">
        <f t="shared" si="12"/>
        <v>1408.6758333333332</v>
      </c>
      <c r="J7" s="460">
        <f t="shared" ref="J7:W7" si="19">J3*J50</f>
        <v>1394.4415107923337</v>
      </c>
      <c r="K7" s="460">
        <f t="shared" si="19"/>
        <v>1395.4579621659632</v>
      </c>
      <c r="L7" s="460">
        <f t="shared" si="19"/>
        <v>1410.1219947574129</v>
      </c>
      <c r="M7" s="460">
        <f t="shared" si="19"/>
        <v>1430.6336330781078</v>
      </c>
      <c r="N7" s="460">
        <f t="shared" si="19"/>
        <v>1398.092803355803</v>
      </c>
      <c r="O7" s="460">
        <f t="shared" si="19"/>
        <v>1372.2220369624381</v>
      </c>
      <c r="P7" s="460">
        <f t="shared" si="19"/>
        <v>1366.3497003606751</v>
      </c>
      <c r="Q7" s="460">
        <f t="shared" si="19"/>
        <v>1380.5759926552776</v>
      </c>
      <c r="R7" s="460">
        <f t="shared" si="19"/>
        <v>1394.3039795739649</v>
      </c>
      <c r="S7" s="460">
        <f t="shared" si="19"/>
        <v>1408.675833333333</v>
      </c>
      <c r="T7" s="460">
        <f t="shared" si="19"/>
        <v>1408.1879299794703</v>
      </c>
      <c r="U7" s="460">
        <f t="shared" si="19"/>
        <v>1406.5772948432548</v>
      </c>
      <c r="V7" s="460">
        <f t="shared" si="19"/>
        <v>1404.1060499529497</v>
      </c>
      <c r="W7" s="460">
        <f t="shared" si="19"/>
        <v>1404.3146177914205</v>
      </c>
      <c r="X7" s="460">
        <f t="shared" ref="X7:AC7" si="20">X3*X50</f>
        <v>1404.5231856298913</v>
      </c>
      <c r="Y7" s="460">
        <f t="shared" si="20"/>
        <v>1404.7317534683625</v>
      </c>
      <c r="Z7" s="460">
        <f t="shared" si="20"/>
        <v>1404.9403213068333</v>
      </c>
      <c r="AA7" s="460">
        <f t="shared" si="20"/>
        <v>1405.1488891453041</v>
      </c>
      <c r="AB7" s="460">
        <f t="shared" si="20"/>
        <v>1405.3574569837749</v>
      </c>
      <c r="AC7" s="460">
        <f t="shared" si="20"/>
        <v>1405.5660248222462</v>
      </c>
    </row>
    <row r="8" spans="2:36">
      <c r="B8" s="459" t="s">
        <v>290</v>
      </c>
      <c r="C8" s="459" t="s">
        <v>259</v>
      </c>
      <c r="D8" s="458">
        <f>SUMIF(FTE_data!$C$4:$C$430,"="&amp;$B8,FTE_data!$D$4:$D$430)</f>
        <v>455.4163333333334</v>
      </c>
      <c r="E8" s="458">
        <f>SUMIF(FTE_data!$C$4:$C$430,"="&amp;$B8,FTE_data!$F$4:$F$430)</f>
        <v>454.62150000000008</v>
      </c>
      <c r="F8" s="458">
        <f>SUMIF(FTE_data!$C$4:$C$430,"="&amp;$B8,FTE_data!$H$4:$H$430)</f>
        <v>267.5500833333333</v>
      </c>
      <c r="G8" s="458">
        <f>SUMIF(FTE_data!$C$4:$C$430,"="&amp;$B8,FTE_data!$J$4:$J$430)</f>
        <v>258.63116666666667</v>
      </c>
      <c r="H8" s="458">
        <f>SUMIF(FTE_data!$C$4:$C$430,"="&amp;$B8,FTE_data!$L$4:$L$430)</f>
        <v>292.27449999999999</v>
      </c>
      <c r="I8" s="460">
        <f t="shared" si="12"/>
        <v>292.27449999999999</v>
      </c>
      <c r="J8" s="460">
        <f t="shared" ref="J8:W8" si="21">I8*(1+J42)</f>
        <v>292.27449999999999</v>
      </c>
      <c r="K8" s="460">
        <f t="shared" si="21"/>
        <v>292.27449999999999</v>
      </c>
      <c r="L8" s="460">
        <f t="shared" si="21"/>
        <v>292.27449999999999</v>
      </c>
      <c r="M8" s="460">
        <f t="shared" si="21"/>
        <v>292.27449999999999</v>
      </c>
      <c r="N8" s="460">
        <f t="shared" si="21"/>
        <v>292.27449999999999</v>
      </c>
      <c r="O8" s="460">
        <f t="shared" si="21"/>
        <v>292.27449999999999</v>
      </c>
      <c r="P8" s="460">
        <f t="shared" si="21"/>
        <v>292.27449999999999</v>
      </c>
      <c r="Q8" s="460">
        <f t="shared" si="21"/>
        <v>292.27449999999999</v>
      </c>
      <c r="R8" s="460">
        <f t="shared" si="21"/>
        <v>292.27449999999999</v>
      </c>
      <c r="S8" s="460">
        <f t="shared" si="21"/>
        <v>292.27449999999999</v>
      </c>
      <c r="T8" s="460">
        <f t="shared" si="21"/>
        <v>292.27449999999999</v>
      </c>
      <c r="U8" s="460">
        <f t="shared" si="21"/>
        <v>292.27449999999999</v>
      </c>
      <c r="V8" s="460">
        <f t="shared" si="21"/>
        <v>292.27449999999999</v>
      </c>
      <c r="W8" s="460">
        <f t="shared" si="21"/>
        <v>292.27449999999999</v>
      </c>
      <c r="X8" s="460">
        <f t="shared" ref="X8:AC8" si="22">W8*(1+X42)</f>
        <v>292.27449999999999</v>
      </c>
      <c r="Y8" s="460">
        <f t="shared" si="22"/>
        <v>292.27449999999999</v>
      </c>
      <c r="Z8" s="460">
        <f t="shared" si="22"/>
        <v>292.27449999999999</v>
      </c>
      <c r="AA8" s="460">
        <f t="shared" si="22"/>
        <v>292.27449999999999</v>
      </c>
      <c r="AB8" s="460">
        <f t="shared" si="22"/>
        <v>292.27449999999999</v>
      </c>
      <c r="AC8" s="460">
        <f t="shared" si="22"/>
        <v>292.27449999999999</v>
      </c>
    </row>
    <row r="9" spans="2:36">
      <c r="B9" s="459" t="s">
        <v>292</v>
      </c>
      <c r="C9" s="459" t="s">
        <v>259</v>
      </c>
      <c r="D9" s="458">
        <f>SUMIF(FTE_data!$C$4:$C$430,"="&amp;$B9,FTE_data!$D$4:$D$430)</f>
        <v>160.60766666666669</v>
      </c>
      <c r="E9" s="458">
        <f>SUMIF(FTE_data!$C$4:$C$430,"="&amp;$B9,FTE_data!$F$4:$F$430)</f>
        <v>160.55625000000001</v>
      </c>
      <c r="F9" s="458">
        <f>SUMIF(FTE_data!$C$4:$C$430,"="&amp;$B9,FTE_data!$H$4:$H$430)</f>
        <v>153.67358333333334</v>
      </c>
      <c r="G9" s="458">
        <f>SUMIF(FTE_data!$C$4:$C$430,"="&amp;$B9,FTE_data!$J$4:$J$430)</f>
        <v>154.32333333333332</v>
      </c>
      <c r="H9" s="458">
        <f>SUMIF(FTE_data!$C$4:$C$430,"="&amp;$B9,FTE_data!$L$4:$L$430)</f>
        <v>154.49083333333334</v>
      </c>
      <c r="I9" s="460">
        <f t="shared" si="12"/>
        <v>154.49083333333334</v>
      </c>
      <c r="J9" s="460">
        <f t="shared" ref="J9:V9" si="23">J48/J51</f>
        <v>152.9069845336866</v>
      </c>
      <c r="K9" s="460">
        <f t="shared" si="23"/>
        <v>152.9956763757865</v>
      </c>
      <c r="L9" s="460">
        <f t="shared" si="23"/>
        <v>154.60720429741539</v>
      </c>
      <c r="M9" s="460">
        <f t="shared" si="23"/>
        <v>156.86050019524296</v>
      </c>
      <c r="N9" s="460">
        <f t="shared" si="23"/>
        <v>153.29740989446412</v>
      </c>
      <c r="O9" s="460">
        <f t="shared" si="23"/>
        <v>150.46601937132465</v>
      </c>
      <c r="P9" s="460">
        <f t="shared" si="23"/>
        <v>149.82792120421527</v>
      </c>
      <c r="Q9" s="460">
        <f t="shared" si="23"/>
        <v>151.39436846666442</v>
      </c>
      <c r="R9" s="460">
        <f t="shared" si="23"/>
        <v>152.90690835213817</v>
      </c>
      <c r="S9" s="460">
        <f t="shared" si="23"/>
        <v>154.49083333333334</v>
      </c>
      <c r="T9" s="460">
        <f t="shared" si="23"/>
        <v>146.65499827488142</v>
      </c>
      <c r="U9" s="460">
        <f t="shared" si="23"/>
        <v>146.53801707613127</v>
      </c>
      <c r="V9" s="460">
        <f t="shared" si="23"/>
        <v>146.44806669228396</v>
      </c>
      <c r="W9" s="460">
        <f t="shared" ref="W9:AC9" si="24">W48/W51</f>
        <v>146.44806669228396</v>
      </c>
      <c r="X9" s="460">
        <f t="shared" si="24"/>
        <v>146.44806669228396</v>
      </c>
      <c r="Y9" s="460">
        <f t="shared" si="24"/>
        <v>146.44806669228396</v>
      </c>
      <c r="Z9" s="460">
        <f t="shared" si="24"/>
        <v>146.44806669228396</v>
      </c>
      <c r="AA9" s="460">
        <f t="shared" si="24"/>
        <v>146.44806669228396</v>
      </c>
      <c r="AB9" s="460">
        <f t="shared" si="24"/>
        <v>146.44806669228396</v>
      </c>
      <c r="AC9" s="460">
        <f t="shared" si="24"/>
        <v>146.44806669228396</v>
      </c>
    </row>
    <row r="10" spans="2:36">
      <c r="B10" s="459" t="s">
        <v>419</v>
      </c>
      <c r="C10" s="459" t="s">
        <v>259</v>
      </c>
      <c r="D10" s="458">
        <f>SUMIF(FTE_data!$C$4:$C$430,"="&amp;$B10,FTE_data!$D$4:$D$430)</f>
        <v>179.59291666666664</v>
      </c>
      <c r="E10" s="458">
        <f>SUMIF(FTE_data!$C$4:$C$430,"="&amp;$B10,FTE_data!$F$4:$F$430)</f>
        <v>174.39099999999999</v>
      </c>
      <c r="F10" s="458">
        <f>SUMIF(FTE_data!$C$4:$C$430,"="&amp;$B10,FTE_data!$H$4:$H$430)</f>
        <v>177.27850000000001</v>
      </c>
      <c r="G10" s="458">
        <f>SUMIF(FTE_data!$C$4:$C$430,"="&amp;$B10,FTE_data!$J$4:$J$430)</f>
        <v>190.94466666666668</v>
      </c>
      <c r="H10" s="458">
        <f>SUMIF(FTE_data!$C$4:$C$430,"="&amp;$B10,FTE_data!$L$4:$L$430)</f>
        <v>224.66483333333329</v>
      </c>
      <c r="I10" s="460">
        <f t="shared" si="12"/>
        <v>224.66483333333329</v>
      </c>
      <c r="J10" s="460">
        <f t="shared" ref="J10:W10" si="25">I10*(1+J43)</f>
        <v>224.66483333333329</v>
      </c>
      <c r="K10" s="460">
        <f t="shared" si="25"/>
        <v>224.66483333333329</v>
      </c>
      <c r="L10" s="460">
        <f t="shared" si="25"/>
        <v>224.66483333333329</v>
      </c>
      <c r="M10" s="460">
        <f t="shared" si="25"/>
        <v>224.66483333333329</v>
      </c>
      <c r="N10" s="460">
        <f t="shared" si="25"/>
        <v>224.66483333333329</v>
      </c>
      <c r="O10" s="460">
        <f t="shared" si="25"/>
        <v>224.66483333333329</v>
      </c>
      <c r="P10" s="460">
        <f t="shared" si="25"/>
        <v>224.66483333333329</v>
      </c>
      <c r="Q10" s="460">
        <f t="shared" si="25"/>
        <v>224.66483333333329</v>
      </c>
      <c r="R10" s="460">
        <f t="shared" si="25"/>
        <v>224.66483333333329</v>
      </c>
      <c r="S10" s="460">
        <f t="shared" si="25"/>
        <v>224.66483333333329</v>
      </c>
      <c r="T10" s="460">
        <f t="shared" si="25"/>
        <v>224.66483333333329</v>
      </c>
      <c r="U10" s="460">
        <f t="shared" si="25"/>
        <v>224.66483333333329</v>
      </c>
      <c r="V10" s="460">
        <f t="shared" si="25"/>
        <v>224.66483333333329</v>
      </c>
      <c r="W10" s="460">
        <f t="shared" si="25"/>
        <v>224.66483333333329</v>
      </c>
      <c r="X10" s="460">
        <f t="shared" ref="X10:AC10" si="26">W10*(1+X43)</f>
        <v>224.66483333333329</v>
      </c>
      <c r="Y10" s="460">
        <f t="shared" si="26"/>
        <v>224.66483333333329</v>
      </c>
      <c r="Z10" s="460">
        <f t="shared" si="26"/>
        <v>224.66483333333329</v>
      </c>
      <c r="AA10" s="460">
        <f t="shared" si="26"/>
        <v>224.66483333333329</v>
      </c>
      <c r="AB10" s="460">
        <f t="shared" si="26"/>
        <v>224.66483333333329</v>
      </c>
      <c r="AC10" s="460">
        <f t="shared" si="26"/>
        <v>224.66483333333329</v>
      </c>
    </row>
    <row r="11" spans="2:36">
      <c r="B11" s="461" t="s">
        <v>293</v>
      </c>
      <c r="C11" s="461" t="s">
        <v>259</v>
      </c>
      <c r="D11" s="462">
        <f>SUMIF(FTE_data!$C$4:$C$430,"="&amp;$B11,FTE_data!$D$4:$D$430)</f>
        <v>396.98141666666669</v>
      </c>
      <c r="E11" s="462">
        <f>SUMIF(FTE_data!$C$4:$C$430,"="&amp;$B11,FTE_data!$F$4:$F$430)</f>
        <v>393.97191666666669</v>
      </c>
      <c r="F11" s="462">
        <f>SUMIF(FTE_data!$C$4:$C$430,"="&amp;$B11,FTE_data!$H$4:$H$430)</f>
        <v>398.36150000000004</v>
      </c>
      <c r="G11" s="462">
        <f>SUMIF(FTE_data!$C$4:$C$430,"="&amp;$B11,FTE_data!$J$4:$J$430)</f>
        <v>400.74616666666662</v>
      </c>
      <c r="H11" s="723">
        <f>SUMIF(FTE_data!$C$4:$C$430,"="&amp;$B11,FTE_data!$L$4:$L$430)</f>
        <v>470.43966666666648</v>
      </c>
      <c r="I11" s="460">
        <f t="shared" si="12"/>
        <v>470.43966666666648</v>
      </c>
      <c r="J11" s="463">
        <f t="shared" ref="J11:W11" si="27">I11*(1+J44)</f>
        <v>470.43966666666648</v>
      </c>
      <c r="K11" s="463">
        <f t="shared" si="27"/>
        <v>470.43966666666648</v>
      </c>
      <c r="L11" s="463">
        <f t="shared" si="27"/>
        <v>470.43966666666648</v>
      </c>
      <c r="M11" s="463">
        <f t="shared" si="27"/>
        <v>470.43966666666648</v>
      </c>
      <c r="N11" s="463">
        <f t="shared" si="27"/>
        <v>470.43966666666648</v>
      </c>
      <c r="O11" s="463">
        <f t="shared" si="27"/>
        <v>470.43966666666648</v>
      </c>
      <c r="P11" s="463">
        <f t="shared" si="27"/>
        <v>470.43966666666648</v>
      </c>
      <c r="Q11" s="463">
        <f t="shared" si="27"/>
        <v>470.43966666666648</v>
      </c>
      <c r="R11" s="463">
        <f t="shared" si="27"/>
        <v>470.43966666666648</v>
      </c>
      <c r="S11" s="463">
        <f t="shared" si="27"/>
        <v>470.43966666666648</v>
      </c>
      <c r="T11" s="463">
        <f t="shared" si="27"/>
        <v>470.43966666666648</v>
      </c>
      <c r="U11" s="463">
        <f t="shared" si="27"/>
        <v>470.43966666666648</v>
      </c>
      <c r="V11" s="463">
        <f t="shared" si="27"/>
        <v>470.43966666666648</v>
      </c>
      <c r="W11" s="463">
        <f t="shared" si="27"/>
        <v>470.43966666666648</v>
      </c>
      <c r="X11" s="463">
        <f t="shared" ref="X11:AC11" si="28">W11*(1+X44)</f>
        <v>470.43966666666648</v>
      </c>
      <c r="Y11" s="463">
        <f t="shared" si="28"/>
        <v>470.43966666666648</v>
      </c>
      <c r="Z11" s="463">
        <f t="shared" si="28"/>
        <v>470.43966666666648</v>
      </c>
      <c r="AA11" s="463">
        <f t="shared" si="28"/>
        <v>470.43966666666648</v>
      </c>
      <c r="AB11" s="463">
        <f t="shared" si="28"/>
        <v>470.43966666666648</v>
      </c>
      <c r="AC11" s="463">
        <f t="shared" si="28"/>
        <v>470.43966666666648</v>
      </c>
    </row>
    <row r="12" spans="2:36">
      <c r="B12" s="464"/>
      <c r="C12" s="464"/>
      <c r="D12" s="465">
        <f>SUM(D3:D11)</f>
        <v>3162.1075833333334</v>
      </c>
      <c r="E12" s="465">
        <f t="shared" ref="E12:I12" si="29">SUM(E3:E11)</f>
        <v>3137.1417500000011</v>
      </c>
      <c r="F12" s="465">
        <f t="shared" si="29"/>
        <v>3176.6162499999996</v>
      </c>
      <c r="G12" s="465">
        <f t="shared" si="29"/>
        <v>3244.4672500000006</v>
      </c>
      <c r="H12" s="465">
        <f t="shared" si="29"/>
        <v>3452.2784166666661</v>
      </c>
      <c r="I12" s="466">
        <f t="shared" si="29"/>
        <v>3452.2784166666661</v>
      </c>
      <c r="J12" s="466">
        <f t="shared" ref="J12" si="30">SUM(J3:J11)</f>
        <v>3429.7785686319098</v>
      </c>
      <c r="K12" s="466">
        <f t="shared" ref="K12" si="31">SUM(K3:K11)</f>
        <v>3431.3608402416539</v>
      </c>
      <c r="L12" s="466">
        <f t="shared" ref="L12" si="32">SUM(L3:L11)</f>
        <v>3454.5197859334621</v>
      </c>
      <c r="M12" s="466">
        <f t="shared" ref="M12" si="33">SUM(M3:M11)</f>
        <v>3486.9130066637335</v>
      </c>
      <c r="N12" s="466">
        <f t="shared" ref="N12" si="34">SUM(N3:N11)</f>
        <v>3435.5342252669343</v>
      </c>
      <c r="O12" s="466">
        <f t="shared" ref="O12" si="35">SUM(O3:O11)</f>
        <v>3394.6881748583851</v>
      </c>
      <c r="P12" s="466">
        <f t="shared" ref="P12" si="36">SUM(P3:P11)</f>
        <v>3385.421229936047</v>
      </c>
      <c r="Q12" s="466">
        <f t="shared" ref="Q12" si="37">SUM(Q3:Q11)</f>
        <v>3407.891876741206</v>
      </c>
      <c r="R12" s="466">
        <f t="shared" ref="R12" si="38">SUM(R3:R11)</f>
        <v>3429.5764032501256</v>
      </c>
      <c r="S12" s="466">
        <f t="shared" ref="S12:V12" si="39">SUM(S3:S11)</f>
        <v>3452.2784166666661</v>
      </c>
      <c r="T12" s="466">
        <f t="shared" si="39"/>
        <v>3443.7256534827761</v>
      </c>
      <c r="U12" s="466">
        <f t="shared" si="39"/>
        <v>3441.2419953185367</v>
      </c>
      <c r="V12" s="466">
        <f t="shared" si="39"/>
        <v>3437.5207828155048</v>
      </c>
      <c r="W12" s="466">
        <f t="shared" ref="W12:AC12" si="40">SUM(W3:W11)</f>
        <v>3437.8272536529726</v>
      </c>
      <c r="X12" s="466">
        <f t="shared" si="40"/>
        <v>3438.1337244904403</v>
      </c>
      <c r="Y12" s="466">
        <f t="shared" si="40"/>
        <v>3438.440195327908</v>
      </c>
      <c r="Z12" s="466">
        <f t="shared" si="40"/>
        <v>3438.7466661653757</v>
      </c>
      <c r="AA12" s="466">
        <f t="shared" si="40"/>
        <v>3439.0531370028434</v>
      </c>
      <c r="AB12" s="466">
        <f t="shared" si="40"/>
        <v>3439.3596078403111</v>
      </c>
      <c r="AC12" s="466">
        <f t="shared" si="40"/>
        <v>3439.6660786777793</v>
      </c>
    </row>
    <row r="15" spans="2:36">
      <c r="B15" s="459" t="s">
        <v>287</v>
      </c>
      <c r="C15" s="459" t="s">
        <v>295</v>
      </c>
      <c r="D15" s="458">
        <f>AVERAGEIF(FTE_data!$C$4:$C$430,"="&amp;$B15,FTE_data!$E$4:$E$430)</f>
        <v>2493.84527594255</v>
      </c>
      <c r="E15" s="458">
        <f>AVERAGEIF(FTE_data!$C$4:$C$430,"="&amp;$B15,FTE_data!$G$4:$G$430)</f>
        <v>2462.4713937709721</v>
      </c>
      <c r="F15" s="458">
        <f>AVERAGEIF(FTE_data!$C$4:$C$430,"="&amp;$B15,FTE_data!$I$4:$I$430)</f>
        <v>2323.3925190782434</v>
      </c>
      <c r="G15" s="458">
        <f>AVERAGEIF(FTE_data!$C$4:$C$430,"="&amp;$B15,FTE_data!$K$4:$K$430)</f>
        <v>2489.5720217204143</v>
      </c>
      <c r="H15" s="458">
        <f>AVERAGEIF(FTE_data!$C$4:$C$430,"="&amp;$B15,FTE_data!$M$4:$M$430)</f>
        <v>3067.5455097917506</v>
      </c>
      <c r="I15" s="460">
        <f>H15*(1+I29)</f>
        <v>3067.5455097917506</v>
      </c>
      <c r="J15" s="460">
        <f t="shared" ref="J15:O15" si="41">I15*(1+J29)</f>
        <v>3067.5455097917506</v>
      </c>
      <c r="K15" s="460">
        <f t="shared" si="41"/>
        <v>3067.5455097917506</v>
      </c>
      <c r="L15" s="460">
        <f t="shared" si="41"/>
        <v>3067.5455097917506</v>
      </c>
      <c r="M15" s="460">
        <f t="shared" si="41"/>
        <v>3067.5455097917506</v>
      </c>
      <c r="N15" s="460">
        <f t="shared" si="41"/>
        <v>3067.5455097917506</v>
      </c>
      <c r="O15" s="460">
        <f t="shared" si="41"/>
        <v>3067.5455097917506</v>
      </c>
      <c r="P15" s="460">
        <f t="shared" ref="P15:S15" si="42">O15*(1+P29)</f>
        <v>3067.5455097917506</v>
      </c>
      <c r="Q15" s="460">
        <f t="shared" si="42"/>
        <v>3067.5455097917506</v>
      </c>
      <c r="R15" s="460">
        <f t="shared" si="42"/>
        <v>3067.5455097917506</v>
      </c>
      <c r="S15" s="460">
        <f t="shared" si="42"/>
        <v>3067.5455097917506</v>
      </c>
      <c r="T15" s="460">
        <f t="shared" ref="T15:T23" si="43">S15*(1+T29)</f>
        <v>3067.5455097917506</v>
      </c>
      <c r="U15" s="460">
        <f t="shared" ref="U15:U23" si="44">T15*(1+U29)</f>
        <v>3067.5455097917506</v>
      </c>
      <c r="V15" s="460">
        <f t="shared" ref="V15:W23" si="45">U15*(1+V29)</f>
        <v>3067.5455097917506</v>
      </c>
      <c r="W15" s="460">
        <f t="shared" si="45"/>
        <v>3067.5455097917506</v>
      </c>
      <c r="X15" s="460">
        <f t="shared" ref="X15:X23" si="46">W15*(1+X29)</f>
        <v>3067.5455097917506</v>
      </c>
      <c r="Y15" s="460">
        <f t="shared" ref="Y15:Y23" si="47">X15*(1+Y29)</f>
        <v>3067.5455097917506</v>
      </c>
      <c r="Z15" s="460">
        <f t="shared" ref="Z15:Z23" si="48">Y15*(1+Z29)</f>
        <v>3067.5455097917506</v>
      </c>
      <c r="AA15" s="460">
        <f t="shared" ref="AA15:AA23" si="49">Z15*(1+AA29)</f>
        <v>3067.5455097917506</v>
      </c>
      <c r="AB15" s="460">
        <f t="shared" ref="AB15:AB23" si="50">AA15*(1+AB29)</f>
        <v>3067.5455097917506</v>
      </c>
      <c r="AC15" s="460">
        <f t="shared" ref="AC15:AC23" si="51">AB15*(1+AC29)</f>
        <v>3067.5455097917506</v>
      </c>
    </row>
    <row r="16" spans="2:36">
      <c r="B16" s="459" t="s">
        <v>288</v>
      </c>
      <c r="C16" s="459" t="s">
        <v>295</v>
      </c>
      <c r="D16" s="458">
        <f>AVERAGEIF(FTE_data!$C$4:$C$430,"="&amp;$B16,FTE_data!$E$4:$E$430)</f>
        <v>927.3032620420048</v>
      </c>
      <c r="E16" s="458">
        <f>AVERAGEIF(FTE_data!$C$4:$C$430,"="&amp;$B16,FTE_data!$G$4:$G$430)</f>
        <v>970.49970251126774</v>
      </c>
      <c r="F16" s="458">
        <f>AVERAGEIF(FTE_data!$C$4:$C$430,"="&amp;$B16,FTE_data!$I$4:$I$430)</f>
        <v>1834.3897770311548</v>
      </c>
      <c r="G16" s="458">
        <f>AVERAGEIF(FTE_data!$C$4:$C$430,"="&amp;$B16,FTE_data!$K$4:$K$430)</f>
        <v>1633.8720743894487</v>
      </c>
      <c r="H16" s="458">
        <f>AVERAGEIF(FTE_data!$C$4:$C$430,"="&amp;$B16,FTE_data!$M$4:$M$430)</f>
        <v>1790.4123399014709</v>
      </c>
      <c r="I16" s="460">
        <f t="shared" ref="I16:I23" si="52">H16*(1+I30)</f>
        <v>1790.4123399014709</v>
      </c>
      <c r="J16" s="460">
        <f t="shared" ref="J16:O16" si="53">I16*(1+J30)</f>
        <v>1790.4123399014709</v>
      </c>
      <c r="K16" s="460">
        <f t="shared" si="53"/>
        <v>1790.4123399014709</v>
      </c>
      <c r="L16" s="460">
        <f t="shared" si="53"/>
        <v>1790.4123399014709</v>
      </c>
      <c r="M16" s="460">
        <f t="shared" si="53"/>
        <v>1790.4123399014709</v>
      </c>
      <c r="N16" s="460">
        <f t="shared" si="53"/>
        <v>1790.4123399014709</v>
      </c>
      <c r="O16" s="460">
        <f t="shared" si="53"/>
        <v>1790.4123399014709</v>
      </c>
      <c r="P16" s="460">
        <f t="shared" ref="P16:S16" si="54">O16*(1+P30)</f>
        <v>1790.4123399014709</v>
      </c>
      <c r="Q16" s="460">
        <f t="shared" si="54"/>
        <v>1790.4123399014709</v>
      </c>
      <c r="R16" s="460">
        <f t="shared" si="54"/>
        <v>1790.4123399014709</v>
      </c>
      <c r="S16" s="460">
        <f t="shared" si="54"/>
        <v>1790.4123399014709</v>
      </c>
      <c r="T16" s="460">
        <f t="shared" si="43"/>
        <v>1790.4123399014709</v>
      </c>
      <c r="U16" s="460">
        <f t="shared" si="44"/>
        <v>1790.4123399014709</v>
      </c>
      <c r="V16" s="460">
        <f t="shared" si="45"/>
        <v>1790.4123399014709</v>
      </c>
      <c r="W16" s="460">
        <f t="shared" si="45"/>
        <v>1790.4123399014709</v>
      </c>
      <c r="X16" s="460">
        <f t="shared" si="46"/>
        <v>1790.4123399014709</v>
      </c>
      <c r="Y16" s="460">
        <f t="shared" si="47"/>
        <v>1790.4123399014709</v>
      </c>
      <c r="Z16" s="460">
        <f t="shared" si="48"/>
        <v>1790.4123399014709</v>
      </c>
      <c r="AA16" s="460">
        <f t="shared" si="49"/>
        <v>1790.4123399014709</v>
      </c>
      <c r="AB16" s="460">
        <f t="shared" si="50"/>
        <v>1790.4123399014709</v>
      </c>
      <c r="AC16" s="460">
        <f t="shared" si="51"/>
        <v>1790.4123399014709</v>
      </c>
    </row>
    <row r="17" spans="2:36">
      <c r="B17" s="459" t="s">
        <v>417</v>
      </c>
      <c r="C17" s="459" t="s">
        <v>295</v>
      </c>
      <c r="D17" s="458">
        <f>AVERAGEIF(FTE_data!$C$4:$C$430,"="&amp;$B17,FTE_data!$E$4:$E$430)</f>
        <v>1053.7407692307693</v>
      </c>
      <c r="E17" s="458">
        <f>AVERAGEIF(FTE_data!$C$4:$C$430,"="&amp;$B17,FTE_data!$G$4:$G$430)</f>
        <v>1158.2055555555555</v>
      </c>
      <c r="F17" s="458">
        <f>AVERAGEIF(FTE_data!$C$4:$C$430,"="&amp;$B17,FTE_data!$I$4:$I$430)</f>
        <v>1124.723611111111</v>
      </c>
      <c r="G17" s="458">
        <f>AVERAGEIF(FTE_data!$C$4:$C$430,"="&amp;$B17,FTE_data!$K$4:$K$430)</f>
        <v>1187.2145833333332</v>
      </c>
      <c r="H17" s="458">
        <f>AVERAGEIF(FTE_data!$C$4:$C$430,"="&amp;$B17,FTE_data!$M$4:$M$430)</f>
        <v>1547.6111111111109</v>
      </c>
      <c r="I17" s="460">
        <f t="shared" si="52"/>
        <v>1547.6111111111109</v>
      </c>
      <c r="J17" s="460">
        <f t="shared" ref="J17:O17" si="55">I17*(1+J31)</f>
        <v>1547.6111111111109</v>
      </c>
      <c r="K17" s="460">
        <f t="shared" si="55"/>
        <v>1547.6111111111109</v>
      </c>
      <c r="L17" s="460">
        <f t="shared" si="55"/>
        <v>1547.6111111111109</v>
      </c>
      <c r="M17" s="460">
        <f t="shared" si="55"/>
        <v>1547.6111111111109</v>
      </c>
      <c r="N17" s="460">
        <f t="shared" si="55"/>
        <v>1547.6111111111109</v>
      </c>
      <c r="O17" s="460">
        <f t="shared" si="55"/>
        <v>1547.6111111111109</v>
      </c>
      <c r="P17" s="460">
        <f t="shared" ref="P17:S17" si="56">O17*(1+P31)</f>
        <v>1547.6111111111109</v>
      </c>
      <c r="Q17" s="460">
        <f t="shared" si="56"/>
        <v>1547.6111111111109</v>
      </c>
      <c r="R17" s="460">
        <f t="shared" si="56"/>
        <v>1547.6111111111109</v>
      </c>
      <c r="S17" s="460">
        <f t="shared" si="56"/>
        <v>1547.6111111111109</v>
      </c>
      <c r="T17" s="460">
        <f t="shared" si="43"/>
        <v>1547.6111111111109</v>
      </c>
      <c r="U17" s="460">
        <f t="shared" si="44"/>
        <v>1547.6111111111109</v>
      </c>
      <c r="V17" s="460">
        <f t="shared" si="45"/>
        <v>1547.6111111111109</v>
      </c>
      <c r="W17" s="460">
        <f t="shared" si="45"/>
        <v>1547.6111111111109</v>
      </c>
      <c r="X17" s="460">
        <f t="shared" si="46"/>
        <v>1547.6111111111109</v>
      </c>
      <c r="Y17" s="460">
        <f t="shared" si="47"/>
        <v>1547.6111111111109</v>
      </c>
      <c r="Z17" s="460">
        <f t="shared" si="48"/>
        <v>1547.6111111111109</v>
      </c>
      <c r="AA17" s="460">
        <f t="shared" si="49"/>
        <v>1547.6111111111109</v>
      </c>
      <c r="AB17" s="460">
        <f t="shared" si="50"/>
        <v>1547.6111111111109</v>
      </c>
      <c r="AC17" s="460">
        <f t="shared" si="51"/>
        <v>1547.6111111111109</v>
      </c>
    </row>
    <row r="18" spans="2:36">
      <c r="B18" s="459" t="s">
        <v>418</v>
      </c>
      <c r="C18" s="459" t="s">
        <v>295</v>
      </c>
      <c r="D18" s="458">
        <f>AVERAGEIF(FTE_data!$C$4:$C$430,"="&amp;$B18,FTE_data!$E$4:$E$430)</f>
        <v>576.31906325388877</v>
      </c>
      <c r="E18" s="458">
        <f>AVERAGEIF(FTE_data!$C$4:$C$430,"="&amp;$B18,FTE_data!$G$4:$G$430)</f>
        <v>573.56318881899767</v>
      </c>
      <c r="F18" s="458">
        <f>AVERAGEIF(FTE_data!$C$4:$C$430,"="&amp;$B18,FTE_data!$I$4:$I$430)</f>
        <v>602.54060655774822</v>
      </c>
      <c r="G18" s="458">
        <f>AVERAGEIF(FTE_data!$C$4:$C$430,"="&amp;$B18,FTE_data!$K$4:$K$430)</f>
        <v>644.83131351347151</v>
      </c>
      <c r="H18" s="458">
        <f>AVERAGEIF(FTE_data!$C$4:$C$430,"="&amp;$B18,FTE_data!$M$4:$M$430)</f>
        <v>1284.8464239886182</v>
      </c>
      <c r="I18" s="460">
        <f t="shared" si="52"/>
        <v>1284.8464239886182</v>
      </c>
      <c r="J18" s="460">
        <f t="shared" ref="J18:O18" si="57">I18*(1+J32)</f>
        <v>1284.8464239886182</v>
      </c>
      <c r="K18" s="460">
        <f t="shared" si="57"/>
        <v>1284.8464239886182</v>
      </c>
      <c r="L18" s="460">
        <f t="shared" si="57"/>
        <v>1284.8464239886182</v>
      </c>
      <c r="M18" s="460">
        <f t="shared" si="57"/>
        <v>1284.8464239886182</v>
      </c>
      <c r="N18" s="460">
        <f t="shared" si="57"/>
        <v>1284.8464239886182</v>
      </c>
      <c r="O18" s="460">
        <f t="shared" si="57"/>
        <v>1284.8464239886182</v>
      </c>
      <c r="P18" s="460">
        <f t="shared" ref="P18:S18" si="58">O18*(1+P32)</f>
        <v>1284.8464239886182</v>
      </c>
      <c r="Q18" s="460">
        <f t="shared" si="58"/>
        <v>1284.8464239886182</v>
      </c>
      <c r="R18" s="460">
        <f t="shared" si="58"/>
        <v>1284.8464239886182</v>
      </c>
      <c r="S18" s="460">
        <f t="shared" si="58"/>
        <v>1284.8464239886182</v>
      </c>
      <c r="T18" s="460">
        <f t="shared" si="43"/>
        <v>1284.8464239886182</v>
      </c>
      <c r="U18" s="460">
        <f t="shared" si="44"/>
        <v>1284.8464239886182</v>
      </c>
      <c r="V18" s="460">
        <f t="shared" si="45"/>
        <v>1284.8464239886182</v>
      </c>
      <c r="W18" s="460">
        <f t="shared" si="45"/>
        <v>1284.8464239886182</v>
      </c>
      <c r="X18" s="460">
        <f t="shared" si="46"/>
        <v>1284.8464239886182</v>
      </c>
      <c r="Y18" s="460">
        <f t="shared" si="47"/>
        <v>1284.8464239886182</v>
      </c>
      <c r="Z18" s="460">
        <f t="shared" si="48"/>
        <v>1284.8464239886182</v>
      </c>
      <c r="AA18" s="460">
        <f t="shared" si="49"/>
        <v>1284.8464239886182</v>
      </c>
      <c r="AB18" s="460">
        <f t="shared" si="50"/>
        <v>1284.8464239886182</v>
      </c>
      <c r="AC18" s="460">
        <f t="shared" si="51"/>
        <v>1284.8464239886182</v>
      </c>
    </row>
    <row r="19" spans="2:36">
      <c r="B19" s="459" t="s">
        <v>289</v>
      </c>
      <c r="C19" s="459" t="s">
        <v>295</v>
      </c>
      <c r="D19" s="458">
        <f>AVERAGEIF(FTE_data!$C$4:$C$430,"="&amp;$B19,FTE_data!$E$4:$E$430)</f>
        <v>558.47538009754737</v>
      </c>
      <c r="E19" s="458">
        <f>AVERAGEIF(FTE_data!$C$4:$C$430,"="&amp;$B19,FTE_data!$G$4:$G$430)</f>
        <v>649.1482091435538</v>
      </c>
      <c r="F19" s="458">
        <f>AVERAGEIF(FTE_data!$C$4:$C$430,"="&amp;$B19,FTE_data!$I$4:$I$430)</f>
        <v>1063.1332173005283</v>
      </c>
      <c r="G19" s="458">
        <f>AVERAGEIF(FTE_data!$C$4:$C$430,"="&amp;$B19,FTE_data!$K$4:$K$430)</f>
        <v>1166.8658515432176</v>
      </c>
      <c r="H19" s="458">
        <f>AVERAGEIF(FTE_data!$C$4:$C$430,"="&amp;$B19,FTE_data!$M$4:$M$430)</f>
        <v>1440.8036738663432</v>
      </c>
      <c r="I19" s="460">
        <f t="shared" si="52"/>
        <v>1440.8036738663432</v>
      </c>
      <c r="J19" s="460">
        <f t="shared" ref="J19:O19" si="59">I19*(1+J33)</f>
        <v>1440.8036738663432</v>
      </c>
      <c r="K19" s="460">
        <f t="shared" si="59"/>
        <v>1440.8036738663432</v>
      </c>
      <c r="L19" s="460">
        <f t="shared" si="59"/>
        <v>1440.8036738663432</v>
      </c>
      <c r="M19" s="460">
        <f t="shared" si="59"/>
        <v>1440.8036738663432</v>
      </c>
      <c r="N19" s="460">
        <f t="shared" si="59"/>
        <v>1440.8036738663432</v>
      </c>
      <c r="O19" s="460">
        <f t="shared" si="59"/>
        <v>1440.8036738663432</v>
      </c>
      <c r="P19" s="460">
        <f t="shared" ref="P19:S19" si="60">O19*(1+P33)</f>
        <v>1440.8036738663432</v>
      </c>
      <c r="Q19" s="460">
        <f t="shared" si="60"/>
        <v>1440.8036738663432</v>
      </c>
      <c r="R19" s="460">
        <f t="shared" si="60"/>
        <v>1440.8036738663432</v>
      </c>
      <c r="S19" s="460">
        <f t="shared" si="60"/>
        <v>1440.8036738663432</v>
      </c>
      <c r="T19" s="460">
        <f t="shared" si="43"/>
        <v>1440.8036738663432</v>
      </c>
      <c r="U19" s="460">
        <f t="shared" si="44"/>
        <v>1440.8036738663432</v>
      </c>
      <c r="V19" s="460">
        <f t="shared" si="45"/>
        <v>1440.8036738663432</v>
      </c>
      <c r="W19" s="460">
        <f t="shared" si="45"/>
        <v>1440.8036738663432</v>
      </c>
      <c r="X19" s="460">
        <f t="shared" si="46"/>
        <v>1440.8036738663432</v>
      </c>
      <c r="Y19" s="460">
        <f t="shared" si="47"/>
        <v>1440.8036738663432</v>
      </c>
      <c r="Z19" s="460">
        <f t="shared" si="48"/>
        <v>1440.8036738663432</v>
      </c>
      <c r="AA19" s="460">
        <f t="shared" si="49"/>
        <v>1440.8036738663432</v>
      </c>
      <c r="AB19" s="460">
        <f t="shared" si="50"/>
        <v>1440.8036738663432</v>
      </c>
      <c r="AC19" s="460">
        <f t="shared" si="51"/>
        <v>1440.8036738663432</v>
      </c>
    </row>
    <row r="20" spans="2:36">
      <c r="B20" s="459" t="s">
        <v>290</v>
      </c>
      <c r="C20" s="459" t="s">
        <v>295</v>
      </c>
      <c r="D20" s="458">
        <f>AVERAGEIF(FTE_data!$C$4:$C$430,"="&amp;$B20,FTE_data!$E$4:$E$430)</f>
        <v>728.98415235931816</v>
      </c>
      <c r="E20" s="458">
        <f>AVERAGEIF(FTE_data!$C$4:$C$430,"="&amp;$B20,FTE_data!$G$4:$G$430)</f>
        <v>756.32800499810196</v>
      </c>
      <c r="F20" s="458">
        <f>AVERAGEIF(FTE_data!$C$4:$C$430,"="&amp;$B20,FTE_data!$I$4:$I$430)</f>
        <v>461.26072301939121</v>
      </c>
      <c r="G20" s="458">
        <f>AVERAGEIF(FTE_data!$C$4:$C$430,"="&amp;$B20,FTE_data!$K$4:$K$430)</f>
        <v>472.20947687378543</v>
      </c>
      <c r="H20" s="458">
        <f>AVERAGEIF(FTE_data!$C$4:$C$430,"="&amp;$B20,FTE_data!$M$4:$M$430)</f>
        <v>826.52666177377398</v>
      </c>
      <c r="I20" s="460">
        <f t="shared" si="52"/>
        <v>826.52666177377398</v>
      </c>
      <c r="J20" s="460">
        <f t="shared" ref="J20:O20" si="61">I20*(1+J34)</f>
        <v>826.52666177377398</v>
      </c>
      <c r="K20" s="460">
        <f t="shared" si="61"/>
        <v>826.52666177377398</v>
      </c>
      <c r="L20" s="460">
        <f t="shared" si="61"/>
        <v>826.52666177377398</v>
      </c>
      <c r="M20" s="460">
        <f t="shared" si="61"/>
        <v>826.52666177377398</v>
      </c>
      <c r="N20" s="460">
        <f t="shared" si="61"/>
        <v>826.52666177377398</v>
      </c>
      <c r="O20" s="460">
        <f t="shared" si="61"/>
        <v>826.52666177377398</v>
      </c>
      <c r="P20" s="460">
        <f t="shared" ref="P20:S20" si="62">O20*(1+P34)</f>
        <v>826.52666177377398</v>
      </c>
      <c r="Q20" s="460">
        <f t="shared" si="62"/>
        <v>826.52666177377398</v>
      </c>
      <c r="R20" s="460">
        <f t="shared" si="62"/>
        <v>826.52666177377398</v>
      </c>
      <c r="S20" s="460">
        <f t="shared" si="62"/>
        <v>826.52666177377398</v>
      </c>
      <c r="T20" s="460">
        <f t="shared" si="43"/>
        <v>826.52666177377398</v>
      </c>
      <c r="U20" s="460">
        <f t="shared" si="44"/>
        <v>826.52666177377398</v>
      </c>
      <c r="V20" s="460">
        <f t="shared" si="45"/>
        <v>826.52666177377398</v>
      </c>
      <c r="W20" s="460">
        <f t="shared" si="45"/>
        <v>826.52666177377398</v>
      </c>
      <c r="X20" s="460">
        <f t="shared" si="46"/>
        <v>826.52666177377398</v>
      </c>
      <c r="Y20" s="460">
        <f t="shared" si="47"/>
        <v>826.52666177377398</v>
      </c>
      <c r="Z20" s="460">
        <f t="shared" si="48"/>
        <v>826.52666177377398</v>
      </c>
      <c r="AA20" s="460">
        <f t="shared" si="49"/>
        <v>826.52666177377398</v>
      </c>
      <c r="AB20" s="460">
        <f t="shared" si="50"/>
        <v>826.52666177377398</v>
      </c>
      <c r="AC20" s="460">
        <f t="shared" si="51"/>
        <v>826.52666177377398</v>
      </c>
    </row>
    <row r="21" spans="2:36">
      <c r="B21" s="459" t="s">
        <v>292</v>
      </c>
      <c r="C21" s="459" t="s">
        <v>295</v>
      </c>
      <c r="D21" s="458">
        <f>AVERAGEIF(FTE_data!$C$4:$C$430,"="&amp;$B21,FTE_data!$E$4:$E$430)</f>
        <v>998.5874409567665</v>
      </c>
      <c r="E21" s="458">
        <f>AVERAGEIF(FTE_data!$C$4:$C$430,"="&amp;$B21,FTE_data!$G$4:$G$430)</f>
        <v>1095.9973435375534</v>
      </c>
      <c r="F21" s="458">
        <f>AVERAGEIF(FTE_data!$C$4:$C$430,"="&amp;$B21,FTE_data!$I$4:$I$430)</f>
        <v>1085.9578846127552</v>
      </c>
      <c r="G21" s="458">
        <f>AVERAGEIF(FTE_data!$C$4:$C$430,"="&amp;$B21,FTE_data!$K$4:$K$430)</f>
        <v>1337.9989175126955</v>
      </c>
      <c r="H21" s="458">
        <f>AVERAGEIF(FTE_data!$C$4:$C$430,"="&amp;$B21,FTE_data!$M$4:$M$430)</f>
        <v>1756.0209752551102</v>
      </c>
      <c r="I21" s="460">
        <f t="shared" si="52"/>
        <v>1756.0209752551102</v>
      </c>
      <c r="J21" s="460">
        <f t="shared" ref="J21:O21" si="63">I21*(1+J35)</f>
        <v>1756.0209752551102</v>
      </c>
      <c r="K21" s="460">
        <f t="shared" si="63"/>
        <v>1756.0209752551102</v>
      </c>
      <c r="L21" s="460">
        <f t="shared" si="63"/>
        <v>1756.0209752551102</v>
      </c>
      <c r="M21" s="460">
        <f t="shared" si="63"/>
        <v>1756.0209752551102</v>
      </c>
      <c r="N21" s="460">
        <f t="shared" si="63"/>
        <v>1756.0209752551102</v>
      </c>
      <c r="O21" s="460">
        <f t="shared" si="63"/>
        <v>1756.0209752551102</v>
      </c>
      <c r="P21" s="460">
        <f t="shared" ref="P21:S21" si="64">O21*(1+P35)</f>
        <v>1756.0209752551102</v>
      </c>
      <c r="Q21" s="460">
        <f t="shared" si="64"/>
        <v>1756.0209752551102</v>
      </c>
      <c r="R21" s="460">
        <f t="shared" si="64"/>
        <v>1756.0209752551102</v>
      </c>
      <c r="S21" s="460">
        <f t="shared" si="64"/>
        <v>1756.0209752551102</v>
      </c>
      <c r="T21" s="460">
        <f t="shared" si="43"/>
        <v>1756.0209752551102</v>
      </c>
      <c r="U21" s="460">
        <f t="shared" si="44"/>
        <v>1756.0209752551102</v>
      </c>
      <c r="V21" s="460">
        <f t="shared" si="45"/>
        <v>1756.0209752551102</v>
      </c>
      <c r="W21" s="460">
        <f t="shared" si="45"/>
        <v>1756.0209752551102</v>
      </c>
      <c r="X21" s="460">
        <f t="shared" si="46"/>
        <v>1756.0209752551102</v>
      </c>
      <c r="Y21" s="460">
        <f t="shared" si="47"/>
        <v>1756.0209752551102</v>
      </c>
      <c r="Z21" s="460">
        <f t="shared" si="48"/>
        <v>1756.0209752551102</v>
      </c>
      <c r="AA21" s="460">
        <f t="shared" si="49"/>
        <v>1756.0209752551102</v>
      </c>
      <c r="AB21" s="460">
        <f t="shared" si="50"/>
        <v>1756.0209752551102</v>
      </c>
      <c r="AC21" s="460">
        <f t="shared" si="51"/>
        <v>1756.0209752551102</v>
      </c>
    </row>
    <row r="22" spans="2:36">
      <c r="B22" s="459" t="s">
        <v>419</v>
      </c>
      <c r="C22" s="459" t="s">
        <v>295</v>
      </c>
      <c r="D22" s="458">
        <f>AVERAGEIF(FTE_data!$C$4:$C$430,"="&amp;$B22,FTE_data!$E$4:$E$430)</f>
        <v>1023.647692314235</v>
      </c>
      <c r="E22" s="458">
        <f>AVERAGEIF(FTE_data!$C$4:$C$430,"="&amp;$B22,FTE_data!$G$4:$G$430)</f>
        <v>1056.7336878024853</v>
      </c>
      <c r="F22" s="458">
        <f>AVERAGEIF(FTE_data!$C$4:$C$430,"="&amp;$B22,FTE_data!$I$4:$I$430)</f>
        <v>1127.8926355075637</v>
      </c>
      <c r="G22" s="458">
        <f>AVERAGEIF(FTE_data!$C$4:$C$430,"="&amp;$B22,FTE_data!$K$4:$K$430)</f>
        <v>1131.4255304389524</v>
      </c>
      <c r="H22" s="458">
        <f>AVERAGEIF(FTE_data!$C$4:$C$430,"="&amp;$B22,FTE_data!$M$4:$M$430)</f>
        <v>1416.3259106880118</v>
      </c>
      <c r="I22" s="460">
        <f t="shared" si="52"/>
        <v>1416.3259106880118</v>
      </c>
      <c r="J22" s="460">
        <f t="shared" ref="J22:O22" si="65">I22*(1+J36)</f>
        <v>1416.3259106880118</v>
      </c>
      <c r="K22" s="460">
        <f t="shared" si="65"/>
        <v>1416.3259106880118</v>
      </c>
      <c r="L22" s="460">
        <f t="shared" si="65"/>
        <v>1416.3259106880118</v>
      </c>
      <c r="M22" s="460">
        <f t="shared" si="65"/>
        <v>1416.3259106880118</v>
      </c>
      <c r="N22" s="460">
        <f t="shared" si="65"/>
        <v>1416.3259106880118</v>
      </c>
      <c r="O22" s="460">
        <f t="shared" si="65"/>
        <v>1416.3259106880118</v>
      </c>
      <c r="P22" s="460">
        <f t="shared" ref="P22:S22" si="66">O22*(1+P36)</f>
        <v>1416.3259106880118</v>
      </c>
      <c r="Q22" s="460">
        <f t="shared" si="66"/>
        <v>1416.3259106880118</v>
      </c>
      <c r="R22" s="460">
        <f t="shared" si="66"/>
        <v>1416.3259106880118</v>
      </c>
      <c r="S22" s="460">
        <f t="shared" si="66"/>
        <v>1416.3259106880118</v>
      </c>
      <c r="T22" s="460">
        <f t="shared" si="43"/>
        <v>1416.3259106880118</v>
      </c>
      <c r="U22" s="460">
        <f t="shared" si="44"/>
        <v>1416.3259106880118</v>
      </c>
      <c r="V22" s="460">
        <f t="shared" si="45"/>
        <v>1416.3259106880118</v>
      </c>
      <c r="W22" s="460">
        <f t="shared" si="45"/>
        <v>1416.3259106880118</v>
      </c>
      <c r="X22" s="460">
        <f t="shared" si="46"/>
        <v>1416.3259106880118</v>
      </c>
      <c r="Y22" s="460">
        <f t="shared" si="47"/>
        <v>1416.3259106880118</v>
      </c>
      <c r="Z22" s="460">
        <f t="shared" si="48"/>
        <v>1416.3259106880118</v>
      </c>
      <c r="AA22" s="460">
        <f t="shared" si="49"/>
        <v>1416.3259106880118</v>
      </c>
      <c r="AB22" s="460">
        <f t="shared" si="50"/>
        <v>1416.3259106880118</v>
      </c>
      <c r="AC22" s="460">
        <f t="shared" si="51"/>
        <v>1416.3259106880118</v>
      </c>
    </row>
    <row r="23" spans="2:36">
      <c r="B23" s="461" t="s">
        <v>293</v>
      </c>
      <c r="C23" s="461" t="s">
        <v>295</v>
      </c>
      <c r="D23" s="462">
        <f>AVERAGEIF(FTE_data!$C$4:$C$430,"="&amp;$B23,FTE_data!$E$4:$E$430)</f>
        <v>690.67479626487318</v>
      </c>
      <c r="E23" s="462">
        <f>AVERAGEIF(FTE_data!$C$4:$C$430,"="&amp;$B23,FTE_data!$G$4:$G$430)</f>
        <v>693.37684379089274</v>
      </c>
      <c r="F23" s="462">
        <f>AVERAGEIF(FTE_data!$C$4:$C$430,"="&amp;$B23,FTE_data!$I$4:$I$430)</f>
        <v>764.72217587291595</v>
      </c>
      <c r="G23" s="462">
        <f>AVERAGEIF(FTE_data!$C$4:$C$430,"="&amp;$B23,FTE_data!$K$4:$K$430)</f>
        <v>851.12675386915691</v>
      </c>
      <c r="H23" s="462">
        <f>AVERAGEIF(FTE_data!$C$4:$C$430,"="&amp;$B23,FTE_data!$M$4:$M$430)</f>
        <v>986.2272350488779</v>
      </c>
      <c r="I23" s="463">
        <f t="shared" si="52"/>
        <v>986.2272350488779</v>
      </c>
      <c r="J23" s="463">
        <f t="shared" ref="J23:O23" si="67">I23*(1+J37)</f>
        <v>986.2272350488779</v>
      </c>
      <c r="K23" s="463">
        <f t="shared" si="67"/>
        <v>986.2272350488779</v>
      </c>
      <c r="L23" s="463">
        <f t="shared" si="67"/>
        <v>986.2272350488779</v>
      </c>
      <c r="M23" s="463">
        <f t="shared" si="67"/>
        <v>986.2272350488779</v>
      </c>
      <c r="N23" s="463">
        <f t="shared" si="67"/>
        <v>986.2272350488779</v>
      </c>
      <c r="O23" s="463">
        <f t="shared" si="67"/>
        <v>986.2272350488779</v>
      </c>
      <c r="P23" s="463">
        <f t="shared" ref="P23:S23" si="68">O23*(1+P37)</f>
        <v>986.2272350488779</v>
      </c>
      <c r="Q23" s="463">
        <f t="shared" si="68"/>
        <v>986.2272350488779</v>
      </c>
      <c r="R23" s="463">
        <f t="shared" si="68"/>
        <v>986.2272350488779</v>
      </c>
      <c r="S23" s="463">
        <f t="shared" si="68"/>
        <v>986.2272350488779</v>
      </c>
      <c r="T23" s="463">
        <f t="shared" si="43"/>
        <v>986.2272350488779</v>
      </c>
      <c r="U23" s="463">
        <f t="shared" si="44"/>
        <v>986.2272350488779</v>
      </c>
      <c r="V23" s="463">
        <f t="shared" si="45"/>
        <v>986.2272350488779</v>
      </c>
      <c r="W23" s="463">
        <f t="shared" si="45"/>
        <v>986.2272350488779</v>
      </c>
      <c r="X23" s="463">
        <f t="shared" si="46"/>
        <v>986.2272350488779</v>
      </c>
      <c r="Y23" s="463">
        <f t="shared" si="47"/>
        <v>986.2272350488779</v>
      </c>
      <c r="Z23" s="463">
        <f t="shared" si="48"/>
        <v>986.2272350488779</v>
      </c>
      <c r="AA23" s="463">
        <f t="shared" si="49"/>
        <v>986.2272350488779</v>
      </c>
      <c r="AB23" s="463">
        <f t="shared" si="50"/>
        <v>986.2272350488779</v>
      </c>
      <c r="AC23" s="463">
        <f t="shared" si="51"/>
        <v>986.2272350488779</v>
      </c>
    </row>
    <row r="24" spans="2:36">
      <c r="B24" s="459" t="s">
        <v>421</v>
      </c>
      <c r="D24" s="458">
        <f>SUMPRODUCT(D15:D23,D3:D11)*12*(1+D26)</f>
        <v>47885587.3712712</v>
      </c>
      <c r="E24" s="458">
        <f t="shared" ref="E24:H24" si="69">SUMPRODUCT(E15:E23,E3:E11)*12*(1+E26)</f>
        <v>48931099.268409863</v>
      </c>
      <c r="F24" s="458">
        <f t="shared" si="69"/>
        <v>54211066.181560084</v>
      </c>
      <c r="G24" s="458">
        <f t="shared" si="69"/>
        <v>60479932.443097517</v>
      </c>
      <c r="H24" s="458">
        <f t="shared" si="69"/>
        <v>79419661.149999991</v>
      </c>
      <c r="I24" s="460">
        <f t="shared" ref="I24" si="70">SUMPRODUCT(I15:I23,I3:I11)*12*(1+I26)</f>
        <v>79419661.149999991</v>
      </c>
      <c r="J24" s="460">
        <f t="shared" ref="J24" si="71">SUMPRODUCT(J15:J23,J3:J11)*12*(1+J26)</f>
        <v>78807306.015097097</v>
      </c>
      <c r="K24" s="460">
        <f t="shared" ref="K24" si="72">SUMPRODUCT(K15:K23,K3:K11)*12*(1+K26)</f>
        <v>78850433.944673389</v>
      </c>
      <c r="L24" s="460">
        <f t="shared" ref="L24" si="73">SUMPRODUCT(L15:L23,L3:L11)*12*(1+L26)</f>
        <v>79480780.577125356</v>
      </c>
      <c r="M24" s="460">
        <f t="shared" ref="M24" si="74">SUMPRODUCT(M15:M23,M3:M11)*12*(1+M26)</f>
        <v>80362470.578004912</v>
      </c>
      <c r="N24" s="460">
        <f t="shared" ref="N24" si="75">SUMPRODUCT(N15:N23,N3:N11)*12*(1+N26)</f>
        <v>78963993.915943787</v>
      </c>
      <c r="O24" s="460">
        <f t="shared" ref="O24" si="76">SUMPRODUCT(O15:O23,O3:O11)*12*(1+O26)</f>
        <v>77852203.564411983</v>
      </c>
      <c r="P24" s="460">
        <f t="shared" ref="P24" si="77">SUMPRODUCT(P15:P23,P3:P11)*12*(1+P26)</f>
        <v>77599953.985064238</v>
      </c>
      <c r="Q24" s="460">
        <f t="shared" ref="Q24" si="78">SUMPRODUCT(Q15:Q23,Q3:Q11)*12*(1+Q26)</f>
        <v>78211558.258013308</v>
      </c>
      <c r="R24" s="460">
        <f t="shared" ref="R24" si="79">SUMPRODUCT(R15:R23,R3:R11)*12*(1+R26)</f>
        <v>78801763.416077808</v>
      </c>
      <c r="S24" s="460">
        <f t="shared" ref="S24:V24" si="80">SUMPRODUCT(S15:S23,S3:S11)*12*(1+S26)</f>
        <v>79419661.149999991</v>
      </c>
      <c r="T24" s="460">
        <f t="shared" si="80"/>
        <v>79207572.521066472</v>
      </c>
      <c r="U24" s="460">
        <f t="shared" si="80"/>
        <v>79139811.945839778</v>
      </c>
      <c r="V24" s="460">
        <f t="shared" si="80"/>
        <v>79038043.758405402</v>
      </c>
      <c r="W24" s="460">
        <f t="shared" ref="W24:AC24" si="81">SUMPRODUCT(W15:W23,W3:W11)*12*(1+W26)</f>
        <v>79046446.342982918</v>
      </c>
      <c r="X24" s="460">
        <f t="shared" si="81"/>
        <v>79054848.927560419</v>
      </c>
      <c r="Y24" s="460">
        <f t="shared" si="81"/>
        <v>79063251.512137949</v>
      </c>
      <c r="Z24" s="460">
        <f t="shared" si="81"/>
        <v>79071654.096715465</v>
      </c>
      <c r="AA24" s="460">
        <f t="shared" si="81"/>
        <v>79080056.681292951</v>
      </c>
      <c r="AB24" s="460">
        <f t="shared" si="81"/>
        <v>79088459.265870467</v>
      </c>
      <c r="AC24" s="460">
        <f t="shared" si="81"/>
        <v>79096861.850447983</v>
      </c>
    </row>
    <row r="25" spans="2:36" s="121" customFormat="1">
      <c r="B25" s="468" t="s">
        <v>422</v>
      </c>
      <c r="C25" s="468"/>
      <c r="D25" s="471">
        <f>'PL"0"'!D20/'PL"0"'!D18</f>
        <v>0.38516392670176264</v>
      </c>
      <c r="E25" s="471">
        <f>'PL"0"'!E20/'PL"0"'!E18</f>
        <v>0.38586044256027491</v>
      </c>
      <c r="F25" s="471">
        <f>'PL"0"'!F20/'PL"0"'!F18</f>
        <v>0.3871204503470923</v>
      </c>
      <c r="G25" s="471">
        <f>'PL"0"'!G20/'PL"0"'!G18</f>
        <v>0.43813156794959424</v>
      </c>
      <c r="H25" s="471">
        <f>'PL"0"'!H20/'PL"0"'!H18</f>
        <v>0.4363189659617428</v>
      </c>
      <c r="I25" s="503">
        <f>H25</f>
        <v>0.4363189659617428</v>
      </c>
      <c r="J25" s="503">
        <f t="shared" ref="J25:S25" si="82">I25</f>
        <v>0.4363189659617428</v>
      </c>
      <c r="K25" s="503">
        <f t="shared" si="82"/>
        <v>0.4363189659617428</v>
      </c>
      <c r="L25" s="503">
        <f t="shared" si="82"/>
        <v>0.4363189659617428</v>
      </c>
      <c r="M25" s="503">
        <f t="shared" si="82"/>
        <v>0.4363189659617428</v>
      </c>
      <c r="N25" s="503">
        <f t="shared" si="82"/>
        <v>0.4363189659617428</v>
      </c>
      <c r="O25" s="503">
        <f t="shared" si="82"/>
        <v>0.4363189659617428</v>
      </c>
      <c r="P25" s="503">
        <f t="shared" si="82"/>
        <v>0.4363189659617428</v>
      </c>
      <c r="Q25" s="503">
        <f t="shared" si="82"/>
        <v>0.4363189659617428</v>
      </c>
      <c r="R25" s="503">
        <f t="shared" si="82"/>
        <v>0.4363189659617428</v>
      </c>
      <c r="S25" s="503">
        <f t="shared" si="82"/>
        <v>0.4363189659617428</v>
      </c>
      <c r="T25" s="503">
        <f t="shared" ref="T25:T26" si="83">S25</f>
        <v>0.4363189659617428</v>
      </c>
      <c r="U25" s="503">
        <f t="shared" ref="U25:U26" si="84">T25</f>
        <v>0.4363189659617428</v>
      </c>
      <c r="V25" s="503">
        <f t="shared" ref="V25:W26" si="85">U25</f>
        <v>0.4363189659617428</v>
      </c>
      <c r="W25" s="503">
        <f t="shared" si="85"/>
        <v>0.4363189659617428</v>
      </c>
      <c r="X25" s="503">
        <f t="shared" ref="X25:X26" si="86">W25</f>
        <v>0.4363189659617428</v>
      </c>
      <c r="Y25" s="503">
        <f t="shared" ref="Y25:Y26" si="87">X25</f>
        <v>0.4363189659617428</v>
      </c>
      <c r="Z25" s="503">
        <f t="shared" ref="Z25:Z26" si="88">Y25</f>
        <v>0.4363189659617428</v>
      </c>
      <c r="AA25" s="503">
        <f t="shared" ref="AA25:AA26" si="89">Z25</f>
        <v>0.4363189659617428</v>
      </c>
      <c r="AB25" s="503">
        <f t="shared" ref="AB25:AB26" si="90">AA25</f>
        <v>0.4363189659617428</v>
      </c>
      <c r="AC25" s="503">
        <f t="shared" ref="AC25:AC26" si="91">AB25</f>
        <v>0.4363189659617428</v>
      </c>
      <c r="AD25" s="468"/>
      <c r="AE25" s="468"/>
      <c r="AF25" s="468"/>
      <c r="AG25" s="468"/>
      <c r="AH25" s="468"/>
      <c r="AI25" s="468"/>
      <c r="AJ25" s="468"/>
    </row>
    <row r="26" spans="2:36" s="121" customFormat="1">
      <c r="B26" s="468" t="s">
        <v>1042</v>
      </c>
      <c r="C26" s="468"/>
      <c r="D26" s="471">
        <v>0.25351926806291236</v>
      </c>
      <c r="E26" s="471">
        <v>0.24356824177183023</v>
      </c>
      <c r="F26" s="471">
        <v>0.18409794029999343</v>
      </c>
      <c r="G26" s="471">
        <v>0.18581360788957058</v>
      </c>
      <c r="H26" s="471">
        <v>0.16541888656210813</v>
      </c>
      <c r="I26" s="503">
        <f>H26</f>
        <v>0.16541888656210813</v>
      </c>
      <c r="J26" s="503">
        <f t="shared" ref="J26:S26" si="92">I26</f>
        <v>0.16541888656210813</v>
      </c>
      <c r="K26" s="503">
        <f t="shared" si="92"/>
        <v>0.16541888656210813</v>
      </c>
      <c r="L26" s="503">
        <f t="shared" si="92"/>
        <v>0.16541888656210813</v>
      </c>
      <c r="M26" s="503">
        <f t="shared" si="92"/>
        <v>0.16541888656210813</v>
      </c>
      <c r="N26" s="503">
        <f t="shared" si="92"/>
        <v>0.16541888656210813</v>
      </c>
      <c r="O26" s="503">
        <f t="shared" si="92"/>
        <v>0.16541888656210813</v>
      </c>
      <c r="P26" s="503">
        <f t="shared" si="92"/>
        <v>0.16541888656210813</v>
      </c>
      <c r="Q26" s="503">
        <f t="shared" si="92"/>
        <v>0.16541888656210813</v>
      </c>
      <c r="R26" s="503">
        <f t="shared" si="92"/>
        <v>0.16541888656210813</v>
      </c>
      <c r="S26" s="503">
        <f t="shared" si="92"/>
        <v>0.16541888656210813</v>
      </c>
      <c r="T26" s="503">
        <f t="shared" si="83"/>
        <v>0.16541888656210813</v>
      </c>
      <c r="U26" s="503">
        <f t="shared" si="84"/>
        <v>0.16541888656210813</v>
      </c>
      <c r="V26" s="503">
        <f t="shared" si="85"/>
        <v>0.16541888656210813</v>
      </c>
      <c r="W26" s="503">
        <f t="shared" si="85"/>
        <v>0.16541888656210813</v>
      </c>
      <c r="X26" s="503">
        <f t="shared" si="86"/>
        <v>0.16541888656210813</v>
      </c>
      <c r="Y26" s="503">
        <f t="shared" si="87"/>
        <v>0.16541888656210813</v>
      </c>
      <c r="Z26" s="503">
        <f t="shared" si="88"/>
        <v>0.16541888656210813</v>
      </c>
      <c r="AA26" s="503">
        <f t="shared" si="89"/>
        <v>0.16541888656210813</v>
      </c>
      <c r="AB26" s="503">
        <f t="shared" si="90"/>
        <v>0.16541888656210813</v>
      </c>
      <c r="AC26" s="503">
        <f t="shared" si="91"/>
        <v>0.16541888656210813</v>
      </c>
      <c r="AD26" s="468"/>
      <c r="AE26" s="468"/>
      <c r="AF26" s="468"/>
      <c r="AG26" s="468"/>
      <c r="AH26" s="468"/>
      <c r="AI26" s="468"/>
      <c r="AJ26" s="468"/>
    </row>
    <row r="27" spans="2:36" s="456" customFormat="1">
      <c r="B27" s="473" t="s">
        <v>423</v>
      </c>
      <c r="C27" s="473"/>
      <c r="D27" s="474">
        <f>D24*(1+D25)</f>
        <v>66329388.235610351</v>
      </c>
      <c r="E27" s="474">
        <f t="shared" ref="E27:H27" si="93">E24*(1+E25)</f>
        <v>67811674.887079239</v>
      </c>
      <c r="F27" s="474">
        <f t="shared" si="93"/>
        <v>75197278.535561651</v>
      </c>
      <c r="G27" s="474">
        <f t="shared" si="93"/>
        <v>86978100.073877364</v>
      </c>
      <c r="H27" s="474">
        <f t="shared" si="93"/>
        <v>114071965.57999998</v>
      </c>
      <c r="I27" s="475">
        <f t="shared" ref="I27:S27" si="94">I24*(1+I25)</f>
        <v>114071965.57999998</v>
      </c>
      <c r="J27" s="475">
        <f t="shared" si="94"/>
        <v>113192428.28583489</v>
      </c>
      <c r="K27" s="475">
        <f t="shared" si="94"/>
        <v>113254373.74904798</v>
      </c>
      <c r="L27" s="475">
        <f t="shared" si="94"/>
        <v>114159752.57236886</v>
      </c>
      <c r="M27" s="475">
        <f t="shared" si="94"/>
        <v>115426140.642731</v>
      </c>
      <c r="N27" s="475">
        <f t="shared" si="94"/>
        <v>113417482.08955772</v>
      </c>
      <c r="O27" s="475">
        <f t="shared" si="94"/>
        <v>111820596.52147932</v>
      </c>
      <c r="P27" s="475">
        <f t="shared" si="94"/>
        <v>111458285.66650629</v>
      </c>
      <c r="Q27" s="475">
        <f t="shared" si="94"/>
        <v>112336744.48340628</v>
      </c>
      <c r="R27" s="475">
        <f t="shared" si="94"/>
        <v>113184467.34574276</v>
      </c>
      <c r="S27" s="475">
        <f t="shared" si="94"/>
        <v>114071965.57999998</v>
      </c>
      <c r="T27" s="475">
        <f t="shared" ref="T27:V27" si="95">T24*(1+T25)</f>
        <v>113767338.65979795</v>
      </c>
      <c r="U27" s="475">
        <f t="shared" si="95"/>
        <v>113670012.86045536</v>
      </c>
      <c r="V27" s="475">
        <f t="shared" si="95"/>
        <v>113523841.28271183</v>
      </c>
      <c r="W27" s="475">
        <f t="shared" ref="W27:AC27" si="96">W24*(1+W25)</f>
        <v>113535910.07430361</v>
      </c>
      <c r="X27" s="475">
        <f t="shared" si="96"/>
        <v>113547978.86589538</v>
      </c>
      <c r="Y27" s="475">
        <f t="shared" si="96"/>
        <v>113560047.65748718</v>
      </c>
      <c r="Z27" s="475">
        <f t="shared" si="96"/>
        <v>113572116.44907896</v>
      </c>
      <c r="AA27" s="475">
        <f t="shared" si="96"/>
        <v>113584185.2406707</v>
      </c>
      <c r="AB27" s="475">
        <f t="shared" si="96"/>
        <v>113596254.03226249</v>
      </c>
      <c r="AC27" s="475">
        <f t="shared" si="96"/>
        <v>113608322.82385427</v>
      </c>
      <c r="AD27" s="472"/>
      <c r="AE27" s="472"/>
      <c r="AF27" s="472"/>
      <c r="AG27" s="472"/>
      <c r="AH27" s="472"/>
      <c r="AI27" s="472"/>
      <c r="AJ27" s="472"/>
    </row>
    <row r="29" spans="2:36" s="332" customFormat="1" ht="13.75" customHeight="1">
      <c r="B29" s="469" t="str">
        <f t="shared" ref="B29:B37" si="97">"rast mzda "&amp;TEXT(B15,"")</f>
        <v>rast mzda Lekár</v>
      </c>
      <c r="C29" s="470"/>
      <c r="D29" s="471"/>
      <c r="E29" s="471">
        <f>E15/D15-1</f>
        <v>-1.2580524731920284E-2</v>
      </c>
      <c r="F29" s="471">
        <f t="shared" ref="F29:H29" si="98">F15/E15-1</f>
        <v>-5.6479386946195809E-2</v>
      </c>
      <c r="G29" s="471">
        <f t="shared" si="98"/>
        <v>7.1524506202722549E-2</v>
      </c>
      <c r="H29" s="471">
        <f t="shared" si="98"/>
        <v>0.23215776970048396</v>
      </c>
      <c r="I29" s="503">
        <v>0</v>
      </c>
      <c r="J29" s="503">
        <v>0</v>
      </c>
      <c r="K29" s="503">
        <f>K$56</f>
        <v>0</v>
      </c>
      <c r="L29" s="503">
        <f>L$56</f>
        <v>0</v>
      </c>
      <c r="M29" s="503">
        <f>M$56</f>
        <v>0</v>
      </c>
      <c r="N29" s="503">
        <f t="shared" ref="N29:AC37" si="99">N$56</f>
        <v>0</v>
      </c>
      <c r="O29" s="503">
        <f t="shared" si="99"/>
        <v>0</v>
      </c>
      <c r="P29" s="503">
        <f t="shared" si="99"/>
        <v>0</v>
      </c>
      <c r="Q29" s="503">
        <f t="shared" si="99"/>
        <v>0</v>
      </c>
      <c r="R29" s="503">
        <f t="shared" si="99"/>
        <v>0</v>
      </c>
      <c r="S29" s="503">
        <f t="shared" si="99"/>
        <v>0</v>
      </c>
      <c r="T29" s="503">
        <f t="shared" si="99"/>
        <v>0</v>
      </c>
      <c r="U29" s="503">
        <f t="shared" si="99"/>
        <v>0</v>
      </c>
      <c r="V29" s="503">
        <f t="shared" si="99"/>
        <v>0</v>
      </c>
      <c r="W29" s="503">
        <f t="shared" si="99"/>
        <v>0</v>
      </c>
      <c r="X29" s="503">
        <f t="shared" si="99"/>
        <v>0</v>
      </c>
      <c r="Y29" s="503">
        <f t="shared" si="99"/>
        <v>0</v>
      </c>
      <c r="Z29" s="503">
        <f t="shared" si="99"/>
        <v>0</v>
      </c>
      <c r="AA29" s="503">
        <f t="shared" si="99"/>
        <v>0</v>
      </c>
      <c r="AB29" s="503">
        <f t="shared" si="99"/>
        <v>0</v>
      </c>
      <c r="AC29" s="503">
        <f t="shared" si="99"/>
        <v>0</v>
      </c>
      <c r="AD29" s="470"/>
      <c r="AE29" s="470"/>
      <c r="AF29" s="470"/>
      <c r="AG29" s="470"/>
      <c r="AH29" s="470"/>
      <c r="AI29" s="470"/>
      <c r="AJ29" s="470"/>
    </row>
    <row r="30" spans="2:36" s="332" customFormat="1">
      <c r="B30" s="469" t="str">
        <f t="shared" si="97"/>
        <v>rast mzda Farmaceut</v>
      </c>
      <c r="C30" s="470"/>
      <c r="D30" s="471"/>
      <c r="E30" s="471">
        <f t="shared" ref="E30:H37" si="100">E16/D16-1</f>
        <v>4.6582862626990629E-2</v>
      </c>
      <c r="F30" s="471">
        <f t="shared" si="100"/>
        <v>0.89014975716580103</v>
      </c>
      <c r="G30" s="471">
        <f t="shared" si="100"/>
        <v>-0.10931030316045021</v>
      </c>
      <c r="H30" s="471">
        <f t="shared" si="100"/>
        <v>9.5809376979846261E-2</v>
      </c>
      <c r="I30" s="503">
        <f>I29</f>
        <v>0</v>
      </c>
      <c r="J30" s="503">
        <f t="shared" ref="J30:J37" si="101">J29</f>
        <v>0</v>
      </c>
      <c r="K30" s="503">
        <f t="shared" ref="K30:AB37" si="102">K$56</f>
        <v>0</v>
      </c>
      <c r="L30" s="503">
        <f t="shared" si="102"/>
        <v>0</v>
      </c>
      <c r="M30" s="503">
        <f t="shared" si="102"/>
        <v>0</v>
      </c>
      <c r="N30" s="503">
        <f t="shared" si="102"/>
        <v>0</v>
      </c>
      <c r="O30" s="503">
        <f t="shared" si="102"/>
        <v>0</v>
      </c>
      <c r="P30" s="503">
        <f t="shared" si="102"/>
        <v>0</v>
      </c>
      <c r="Q30" s="503">
        <f t="shared" si="102"/>
        <v>0</v>
      </c>
      <c r="R30" s="503">
        <f t="shared" si="102"/>
        <v>0</v>
      </c>
      <c r="S30" s="503">
        <f t="shared" si="102"/>
        <v>0</v>
      </c>
      <c r="T30" s="503">
        <f t="shared" si="102"/>
        <v>0</v>
      </c>
      <c r="U30" s="503">
        <f t="shared" si="102"/>
        <v>0</v>
      </c>
      <c r="V30" s="503">
        <f t="shared" si="102"/>
        <v>0</v>
      </c>
      <c r="W30" s="503">
        <f t="shared" si="102"/>
        <v>0</v>
      </c>
      <c r="X30" s="503">
        <f t="shared" si="102"/>
        <v>0</v>
      </c>
      <c r="Y30" s="503">
        <f t="shared" si="102"/>
        <v>0</v>
      </c>
      <c r="Z30" s="503">
        <f t="shared" si="102"/>
        <v>0</v>
      </c>
      <c r="AA30" s="503">
        <f t="shared" si="102"/>
        <v>0</v>
      </c>
      <c r="AB30" s="503">
        <f t="shared" si="102"/>
        <v>0</v>
      </c>
      <c r="AC30" s="503">
        <f t="shared" si="99"/>
        <v>0</v>
      </c>
      <c r="AD30" s="470"/>
      <c r="AE30" s="470"/>
      <c r="AF30" s="470"/>
      <c r="AG30" s="470"/>
      <c r="AH30" s="470"/>
      <c r="AI30" s="470"/>
      <c r="AJ30" s="470"/>
    </row>
    <row r="31" spans="2:36" s="332" customFormat="1">
      <c r="B31" s="469" t="str">
        <f t="shared" si="97"/>
        <v>rast mzda Výskum</v>
      </c>
      <c r="C31" s="470"/>
      <c r="D31" s="471"/>
      <c r="E31" s="471">
        <f t="shared" si="100"/>
        <v>9.9137083213592936E-2</v>
      </c>
      <c r="F31" s="471">
        <f t="shared" si="100"/>
        <v>-2.8908464722727234E-2</v>
      </c>
      <c r="G31" s="471">
        <f t="shared" si="100"/>
        <v>5.5561181080290067E-2</v>
      </c>
      <c r="H31" s="600">
        <f t="shared" si="100"/>
        <v>0.30356477492543532</v>
      </c>
      <c r="I31" s="503">
        <f t="shared" ref="I31:I37" si="103">I30</f>
        <v>0</v>
      </c>
      <c r="J31" s="503">
        <f t="shared" si="101"/>
        <v>0</v>
      </c>
      <c r="K31" s="503">
        <f t="shared" si="102"/>
        <v>0</v>
      </c>
      <c r="L31" s="503">
        <f t="shared" si="102"/>
        <v>0</v>
      </c>
      <c r="M31" s="503">
        <f t="shared" si="102"/>
        <v>0</v>
      </c>
      <c r="N31" s="503">
        <f t="shared" si="99"/>
        <v>0</v>
      </c>
      <c r="O31" s="503">
        <f t="shared" si="99"/>
        <v>0</v>
      </c>
      <c r="P31" s="503">
        <f t="shared" si="99"/>
        <v>0</v>
      </c>
      <c r="Q31" s="503">
        <f t="shared" si="99"/>
        <v>0</v>
      </c>
      <c r="R31" s="503">
        <f t="shared" si="99"/>
        <v>0</v>
      </c>
      <c r="S31" s="503">
        <f t="shared" si="99"/>
        <v>0</v>
      </c>
      <c r="T31" s="503">
        <f t="shared" si="99"/>
        <v>0</v>
      </c>
      <c r="U31" s="503">
        <f t="shared" si="99"/>
        <v>0</v>
      </c>
      <c r="V31" s="503">
        <f t="shared" si="99"/>
        <v>0</v>
      </c>
      <c r="W31" s="503">
        <f t="shared" si="99"/>
        <v>0</v>
      </c>
      <c r="X31" s="503">
        <f t="shared" si="99"/>
        <v>0</v>
      </c>
      <c r="Y31" s="503">
        <f t="shared" si="99"/>
        <v>0</v>
      </c>
      <c r="Z31" s="503">
        <f t="shared" si="99"/>
        <v>0</v>
      </c>
      <c r="AA31" s="503">
        <f t="shared" si="99"/>
        <v>0</v>
      </c>
      <c r="AB31" s="503">
        <f t="shared" si="99"/>
        <v>0</v>
      </c>
      <c r="AC31" s="503">
        <f t="shared" si="99"/>
        <v>0</v>
      </c>
      <c r="AD31" s="470"/>
      <c r="AE31" s="470"/>
      <c r="AF31" s="470"/>
      <c r="AG31" s="470"/>
      <c r="AH31" s="470"/>
      <c r="AI31" s="470"/>
      <c r="AJ31" s="470"/>
    </row>
    <row r="32" spans="2:36" s="332" customFormat="1">
      <c r="B32" s="469" t="str">
        <f t="shared" si="97"/>
        <v>rast mzda Iné zdravotnícke</v>
      </c>
      <c r="C32" s="470"/>
      <c r="D32" s="471"/>
      <c r="E32" s="471">
        <f t="shared" si="100"/>
        <v>-4.7818554176075612E-3</v>
      </c>
      <c r="F32" s="471">
        <f t="shared" si="100"/>
        <v>5.0521752970961842E-2</v>
      </c>
      <c r="G32" s="471">
        <f t="shared" si="100"/>
        <v>7.0187314341062734E-2</v>
      </c>
      <c r="H32" s="600">
        <f t="shared" si="100"/>
        <v>0.9925310651989232</v>
      </c>
      <c r="I32" s="503">
        <f t="shared" si="103"/>
        <v>0</v>
      </c>
      <c r="J32" s="503">
        <f t="shared" si="101"/>
        <v>0</v>
      </c>
      <c r="K32" s="503">
        <f t="shared" si="102"/>
        <v>0</v>
      </c>
      <c r="L32" s="503">
        <f t="shared" si="102"/>
        <v>0</v>
      </c>
      <c r="M32" s="503">
        <f t="shared" si="102"/>
        <v>0</v>
      </c>
      <c r="N32" s="503">
        <f t="shared" si="99"/>
        <v>0</v>
      </c>
      <c r="O32" s="503">
        <f t="shared" si="99"/>
        <v>0</v>
      </c>
      <c r="P32" s="503">
        <f t="shared" si="99"/>
        <v>0</v>
      </c>
      <c r="Q32" s="503">
        <f t="shared" si="99"/>
        <v>0</v>
      </c>
      <c r="R32" s="503">
        <f t="shared" si="99"/>
        <v>0</v>
      </c>
      <c r="S32" s="503">
        <f t="shared" si="99"/>
        <v>0</v>
      </c>
      <c r="T32" s="503">
        <f t="shared" si="99"/>
        <v>0</v>
      </c>
      <c r="U32" s="503">
        <f t="shared" si="99"/>
        <v>0</v>
      </c>
      <c r="V32" s="503">
        <f t="shared" si="99"/>
        <v>0</v>
      </c>
      <c r="W32" s="503">
        <f t="shared" si="99"/>
        <v>0</v>
      </c>
      <c r="X32" s="503">
        <f t="shared" si="99"/>
        <v>0</v>
      </c>
      <c r="Y32" s="503">
        <f t="shared" si="99"/>
        <v>0</v>
      </c>
      <c r="Z32" s="503">
        <f t="shared" si="99"/>
        <v>0</v>
      </c>
      <c r="AA32" s="503">
        <f t="shared" si="99"/>
        <v>0</v>
      </c>
      <c r="AB32" s="503">
        <f t="shared" si="99"/>
        <v>0</v>
      </c>
      <c r="AC32" s="503">
        <f t="shared" si="99"/>
        <v>0</v>
      </c>
      <c r="AD32" s="470"/>
      <c r="AE32" s="470"/>
      <c r="AF32" s="470"/>
      <c r="AG32" s="470"/>
      <c r="AH32" s="470"/>
      <c r="AI32" s="470"/>
      <c r="AJ32" s="470"/>
    </row>
    <row r="33" spans="1:36" s="332" customFormat="1">
      <c r="B33" s="469" t="str">
        <f t="shared" si="97"/>
        <v>rast mzda Zdravotná sestra</v>
      </c>
      <c r="C33" s="470"/>
      <c r="D33" s="471"/>
      <c r="E33" s="471">
        <f t="shared" si="100"/>
        <v>0.1623577910098184</v>
      </c>
      <c r="F33" s="471">
        <f t="shared" si="100"/>
        <v>0.63773573172628906</v>
      </c>
      <c r="G33" s="471">
        <f t="shared" si="100"/>
        <v>9.7572564335901113E-2</v>
      </c>
      <c r="H33" s="471">
        <f t="shared" si="100"/>
        <v>0.23476376651252062</v>
      </c>
      <c r="I33" s="503">
        <f t="shared" si="103"/>
        <v>0</v>
      </c>
      <c r="J33" s="503">
        <f t="shared" si="101"/>
        <v>0</v>
      </c>
      <c r="K33" s="503">
        <f t="shared" si="102"/>
        <v>0</v>
      </c>
      <c r="L33" s="503">
        <f t="shared" si="102"/>
        <v>0</v>
      </c>
      <c r="M33" s="503">
        <f t="shared" si="102"/>
        <v>0</v>
      </c>
      <c r="N33" s="503">
        <f t="shared" si="99"/>
        <v>0</v>
      </c>
      <c r="O33" s="503">
        <f t="shared" si="99"/>
        <v>0</v>
      </c>
      <c r="P33" s="503">
        <f t="shared" si="99"/>
        <v>0</v>
      </c>
      <c r="Q33" s="503">
        <f t="shared" si="99"/>
        <v>0</v>
      </c>
      <c r="R33" s="503">
        <f t="shared" si="99"/>
        <v>0</v>
      </c>
      <c r="S33" s="503">
        <f t="shared" si="99"/>
        <v>0</v>
      </c>
      <c r="T33" s="503">
        <f t="shared" si="99"/>
        <v>0</v>
      </c>
      <c r="U33" s="503">
        <f t="shared" si="99"/>
        <v>0</v>
      </c>
      <c r="V33" s="503">
        <f t="shared" si="99"/>
        <v>0</v>
      </c>
      <c r="W33" s="503">
        <f t="shared" si="99"/>
        <v>0</v>
      </c>
      <c r="X33" s="503">
        <f t="shared" si="99"/>
        <v>0</v>
      </c>
      <c r="Y33" s="503">
        <f t="shared" si="99"/>
        <v>0</v>
      </c>
      <c r="Z33" s="503">
        <f t="shared" si="99"/>
        <v>0</v>
      </c>
      <c r="AA33" s="503">
        <f t="shared" si="99"/>
        <v>0</v>
      </c>
      <c r="AB33" s="503">
        <f t="shared" si="99"/>
        <v>0</v>
      </c>
      <c r="AC33" s="503">
        <f t="shared" si="99"/>
        <v>0</v>
      </c>
      <c r="AD33" s="470"/>
      <c r="AE33" s="470"/>
      <c r="AF33" s="470"/>
      <c r="AG33" s="470"/>
      <c r="AH33" s="470"/>
      <c r="AI33" s="470"/>
      <c r="AJ33" s="470"/>
    </row>
    <row r="34" spans="1:36" s="332" customFormat="1">
      <c r="B34" s="469" t="str">
        <f t="shared" si="97"/>
        <v>rast mzda NLZP</v>
      </c>
      <c r="C34" s="470"/>
      <c r="D34" s="471"/>
      <c r="E34" s="471">
        <f t="shared" si="100"/>
        <v>3.7509529597161917E-2</v>
      </c>
      <c r="F34" s="471">
        <f t="shared" si="100"/>
        <v>-0.39013137161230893</v>
      </c>
      <c r="G34" s="471">
        <f t="shared" si="100"/>
        <v>2.3736583905787922E-2</v>
      </c>
      <c r="H34" s="471">
        <f t="shared" si="100"/>
        <v>0.75033899625587619</v>
      </c>
      <c r="I34" s="503">
        <f t="shared" si="103"/>
        <v>0</v>
      </c>
      <c r="J34" s="503">
        <f t="shared" si="101"/>
        <v>0</v>
      </c>
      <c r="K34" s="503">
        <f t="shared" si="102"/>
        <v>0</v>
      </c>
      <c r="L34" s="503">
        <f t="shared" si="102"/>
        <v>0</v>
      </c>
      <c r="M34" s="503">
        <f t="shared" si="102"/>
        <v>0</v>
      </c>
      <c r="N34" s="503">
        <f t="shared" si="99"/>
        <v>0</v>
      </c>
      <c r="O34" s="503">
        <f t="shared" si="99"/>
        <v>0</v>
      </c>
      <c r="P34" s="503">
        <f t="shared" si="99"/>
        <v>0</v>
      </c>
      <c r="Q34" s="503">
        <f t="shared" si="99"/>
        <v>0</v>
      </c>
      <c r="R34" s="503">
        <f t="shared" si="99"/>
        <v>0</v>
      </c>
      <c r="S34" s="503">
        <f t="shared" si="99"/>
        <v>0</v>
      </c>
      <c r="T34" s="503">
        <f t="shared" si="99"/>
        <v>0</v>
      </c>
      <c r="U34" s="503">
        <f t="shared" si="99"/>
        <v>0</v>
      </c>
      <c r="V34" s="503">
        <f t="shared" si="99"/>
        <v>0</v>
      </c>
      <c r="W34" s="503">
        <f t="shared" si="99"/>
        <v>0</v>
      </c>
      <c r="X34" s="503">
        <f t="shared" si="99"/>
        <v>0</v>
      </c>
      <c r="Y34" s="503">
        <f t="shared" si="99"/>
        <v>0</v>
      </c>
      <c r="Z34" s="503">
        <f t="shared" si="99"/>
        <v>0</v>
      </c>
      <c r="AA34" s="503">
        <f t="shared" si="99"/>
        <v>0</v>
      </c>
      <c r="AB34" s="503">
        <f t="shared" si="99"/>
        <v>0</v>
      </c>
      <c r="AC34" s="503">
        <f t="shared" si="99"/>
        <v>0</v>
      </c>
      <c r="AD34" s="470"/>
      <c r="AE34" s="470"/>
      <c r="AF34" s="470"/>
      <c r="AG34" s="470"/>
      <c r="AH34" s="470"/>
      <c r="AI34" s="470"/>
      <c r="AJ34" s="470"/>
    </row>
    <row r="35" spans="1:36" s="332" customFormat="1">
      <c r="B35" s="469" t="str">
        <f t="shared" si="97"/>
        <v>rast mzda Laborant</v>
      </c>
      <c r="C35" s="470"/>
      <c r="D35" s="471"/>
      <c r="E35" s="471">
        <f t="shared" si="100"/>
        <v>9.754769445874123E-2</v>
      </c>
      <c r="F35" s="471">
        <f t="shared" si="100"/>
        <v>-9.1601124619462571E-3</v>
      </c>
      <c r="G35" s="471">
        <f t="shared" si="100"/>
        <v>0.23209098296644926</v>
      </c>
      <c r="H35" s="471">
        <f t="shared" si="100"/>
        <v>0.31242331534879475</v>
      </c>
      <c r="I35" s="503">
        <f t="shared" si="103"/>
        <v>0</v>
      </c>
      <c r="J35" s="503">
        <f t="shared" si="101"/>
        <v>0</v>
      </c>
      <c r="K35" s="503">
        <f t="shared" si="102"/>
        <v>0</v>
      </c>
      <c r="L35" s="503">
        <f t="shared" si="102"/>
        <v>0</v>
      </c>
      <c r="M35" s="503">
        <f t="shared" si="102"/>
        <v>0</v>
      </c>
      <c r="N35" s="503">
        <f t="shared" si="99"/>
        <v>0</v>
      </c>
      <c r="O35" s="503">
        <f t="shared" si="99"/>
        <v>0</v>
      </c>
      <c r="P35" s="503">
        <f t="shared" si="99"/>
        <v>0</v>
      </c>
      <c r="Q35" s="503">
        <f t="shared" si="99"/>
        <v>0</v>
      </c>
      <c r="R35" s="503">
        <f t="shared" si="99"/>
        <v>0</v>
      </c>
      <c r="S35" s="503">
        <f t="shared" si="99"/>
        <v>0</v>
      </c>
      <c r="T35" s="503">
        <f t="shared" si="99"/>
        <v>0</v>
      </c>
      <c r="U35" s="503">
        <f t="shared" si="99"/>
        <v>0</v>
      </c>
      <c r="V35" s="503">
        <f t="shared" si="99"/>
        <v>0</v>
      </c>
      <c r="W35" s="503">
        <f t="shared" si="99"/>
        <v>0</v>
      </c>
      <c r="X35" s="503">
        <f t="shared" si="99"/>
        <v>0</v>
      </c>
      <c r="Y35" s="503">
        <f t="shared" si="99"/>
        <v>0</v>
      </c>
      <c r="Z35" s="503">
        <f t="shared" si="99"/>
        <v>0</v>
      </c>
      <c r="AA35" s="503">
        <f t="shared" si="99"/>
        <v>0</v>
      </c>
      <c r="AB35" s="503">
        <f t="shared" si="99"/>
        <v>0</v>
      </c>
      <c r="AC35" s="503">
        <f t="shared" si="99"/>
        <v>0</v>
      </c>
      <c r="AD35" s="470"/>
      <c r="AE35" s="470"/>
      <c r="AF35" s="470"/>
      <c r="AG35" s="470"/>
      <c r="AH35" s="470"/>
      <c r="AI35" s="470"/>
      <c r="AJ35" s="470"/>
    </row>
    <row r="36" spans="1:36" s="332" customFormat="1">
      <c r="B36" s="469" t="str">
        <f t="shared" si="97"/>
        <v>rast mzda Admin</v>
      </c>
      <c r="C36" s="470"/>
      <c r="D36" s="471"/>
      <c r="E36" s="471">
        <f t="shared" si="100"/>
        <v>3.2321662752397229E-2</v>
      </c>
      <c r="F36" s="471">
        <f t="shared" si="100"/>
        <v>6.7338581637399919E-2</v>
      </c>
      <c r="G36" s="471">
        <f t="shared" si="100"/>
        <v>3.132297188729094E-3</v>
      </c>
      <c r="H36" s="471">
        <f t="shared" si="100"/>
        <v>0.2518065684256996</v>
      </c>
      <c r="I36" s="503">
        <f t="shared" si="103"/>
        <v>0</v>
      </c>
      <c r="J36" s="503">
        <f t="shared" si="101"/>
        <v>0</v>
      </c>
      <c r="K36" s="503">
        <f t="shared" si="102"/>
        <v>0</v>
      </c>
      <c r="L36" s="503">
        <f t="shared" si="102"/>
        <v>0</v>
      </c>
      <c r="M36" s="503">
        <f t="shared" si="102"/>
        <v>0</v>
      </c>
      <c r="N36" s="503">
        <f t="shared" si="99"/>
        <v>0</v>
      </c>
      <c r="O36" s="503">
        <f t="shared" si="99"/>
        <v>0</v>
      </c>
      <c r="P36" s="503">
        <f t="shared" si="99"/>
        <v>0</v>
      </c>
      <c r="Q36" s="503">
        <f t="shared" si="99"/>
        <v>0</v>
      </c>
      <c r="R36" s="503">
        <f t="shared" si="99"/>
        <v>0</v>
      </c>
      <c r="S36" s="503">
        <f t="shared" si="99"/>
        <v>0</v>
      </c>
      <c r="T36" s="503">
        <f t="shared" si="99"/>
        <v>0</v>
      </c>
      <c r="U36" s="503">
        <f t="shared" si="99"/>
        <v>0</v>
      </c>
      <c r="V36" s="503">
        <f t="shared" si="99"/>
        <v>0</v>
      </c>
      <c r="W36" s="503">
        <f t="shared" si="99"/>
        <v>0</v>
      </c>
      <c r="X36" s="503">
        <f t="shared" si="99"/>
        <v>0</v>
      </c>
      <c r="Y36" s="503">
        <f t="shared" si="99"/>
        <v>0</v>
      </c>
      <c r="Z36" s="503">
        <f t="shared" si="99"/>
        <v>0</v>
      </c>
      <c r="AA36" s="503">
        <f t="shared" si="99"/>
        <v>0</v>
      </c>
      <c r="AB36" s="503">
        <f t="shared" si="99"/>
        <v>0</v>
      </c>
      <c r="AC36" s="503">
        <f t="shared" si="99"/>
        <v>0</v>
      </c>
      <c r="AD36" s="470"/>
      <c r="AE36" s="470"/>
      <c r="AF36" s="470"/>
      <c r="AG36" s="470"/>
      <c r="AH36" s="470"/>
      <c r="AI36" s="470"/>
      <c r="AJ36" s="470"/>
    </row>
    <row r="37" spans="1:36" s="332" customFormat="1">
      <c r="B37" s="469" t="str">
        <f t="shared" si="97"/>
        <v>rast mzda THP</v>
      </c>
      <c r="C37" s="470"/>
      <c r="D37" s="471"/>
      <c r="E37" s="471">
        <f t="shared" si="100"/>
        <v>3.9121849249923457E-3</v>
      </c>
      <c r="F37" s="471">
        <f t="shared" si="100"/>
        <v>0.10289546401918703</v>
      </c>
      <c r="G37" s="471">
        <f t="shared" si="100"/>
        <v>0.11298819456570852</v>
      </c>
      <c r="H37" s="471">
        <f t="shared" si="100"/>
        <v>0.1587313294589372</v>
      </c>
      <c r="I37" s="503">
        <f t="shared" si="103"/>
        <v>0</v>
      </c>
      <c r="J37" s="503">
        <f t="shared" si="101"/>
        <v>0</v>
      </c>
      <c r="K37" s="503">
        <f t="shared" si="102"/>
        <v>0</v>
      </c>
      <c r="L37" s="503">
        <f t="shared" si="102"/>
        <v>0</v>
      </c>
      <c r="M37" s="503">
        <f t="shared" si="102"/>
        <v>0</v>
      </c>
      <c r="N37" s="503">
        <f t="shared" si="99"/>
        <v>0</v>
      </c>
      <c r="O37" s="503">
        <f t="shared" si="99"/>
        <v>0</v>
      </c>
      <c r="P37" s="503">
        <f t="shared" si="99"/>
        <v>0</v>
      </c>
      <c r="Q37" s="503">
        <f t="shared" si="99"/>
        <v>0</v>
      </c>
      <c r="R37" s="503">
        <f t="shared" si="99"/>
        <v>0</v>
      </c>
      <c r="S37" s="503">
        <f t="shared" si="99"/>
        <v>0</v>
      </c>
      <c r="T37" s="503">
        <f t="shared" si="99"/>
        <v>0</v>
      </c>
      <c r="U37" s="503">
        <f t="shared" si="99"/>
        <v>0</v>
      </c>
      <c r="V37" s="503">
        <f t="shared" si="99"/>
        <v>0</v>
      </c>
      <c r="W37" s="503">
        <f t="shared" si="99"/>
        <v>0</v>
      </c>
      <c r="X37" s="503">
        <f t="shared" si="99"/>
        <v>0</v>
      </c>
      <c r="Y37" s="503">
        <f t="shared" si="99"/>
        <v>0</v>
      </c>
      <c r="Z37" s="503">
        <f t="shared" si="99"/>
        <v>0</v>
      </c>
      <c r="AA37" s="503">
        <f t="shared" si="99"/>
        <v>0</v>
      </c>
      <c r="AB37" s="503">
        <f t="shared" si="99"/>
        <v>0</v>
      </c>
      <c r="AC37" s="503">
        <f t="shared" si="99"/>
        <v>0</v>
      </c>
      <c r="AD37" s="470"/>
      <c r="AE37" s="470"/>
      <c r="AF37" s="470"/>
      <c r="AG37" s="470"/>
      <c r="AH37" s="470"/>
      <c r="AI37" s="470"/>
      <c r="AJ37" s="470"/>
    </row>
    <row r="38" spans="1:36">
      <c r="B38" s="467"/>
    </row>
    <row r="39" spans="1:36" s="332" customFormat="1">
      <c r="B39" s="469" t="str">
        <f>"FTE "&amp;TEXT(B16,"")</f>
        <v>FTE Farmaceut</v>
      </c>
      <c r="C39" s="470"/>
      <c r="D39" s="471"/>
      <c r="E39" s="471">
        <f t="shared" ref="E39:H41" si="104">E4/D4-1</f>
        <v>-1.3713389121339015E-2</v>
      </c>
      <c r="F39" s="471">
        <f t="shared" si="104"/>
        <v>0.16073985300512272</v>
      </c>
      <c r="G39" s="471">
        <f t="shared" si="104"/>
        <v>0.19562946380982815</v>
      </c>
      <c r="H39" s="471">
        <f t="shared" si="104"/>
        <v>1.4800021397620711E-3</v>
      </c>
      <c r="I39" s="503">
        <v>0</v>
      </c>
      <c r="J39" s="503">
        <f>I39</f>
        <v>0</v>
      </c>
      <c r="K39" s="503">
        <f t="shared" ref="K39:V39" si="105">J39</f>
        <v>0</v>
      </c>
      <c r="L39" s="503">
        <f t="shared" si="105"/>
        <v>0</v>
      </c>
      <c r="M39" s="503">
        <f t="shared" si="105"/>
        <v>0</v>
      </c>
      <c r="N39" s="503">
        <f t="shared" si="105"/>
        <v>0</v>
      </c>
      <c r="O39" s="503">
        <f t="shared" si="105"/>
        <v>0</v>
      </c>
      <c r="P39" s="503">
        <f t="shared" si="105"/>
        <v>0</v>
      </c>
      <c r="Q39" s="503">
        <f t="shared" si="105"/>
        <v>0</v>
      </c>
      <c r="R39" s="503">
        <f t="shared" si="105"/>
        <v>0</v>
      </c>
      <c r="S39" s="503">
        <f t="shared" si="105"/>
        <v>0</v>
      </c>
      <c r="T39" s="503">
        <f t="shared" si="105"/>
        <v>0</v>
      </c>
      <c r="U39" s="503">
        <f t="shared" si="105"/>
        <v>0</v>
      </c>
      <c r="V39" s="503">
        <f t="shared" si="105"/>
        <v>0</v>
      </c>
      <c r="W39" s="503">
        <f t="shared" ref="W39:AC39" si="106">V39</f>
        <v>0</v>
      </c>
      <c r="X39" s="503">
        <f t="shared" si="106"/>
        <v>0</v>
      </c>
      <c r="Y39" s="503">
        <f t="shared" si="106"/>
        <v>0</v>
      </c>
      <c r="Z39" s="503">
        <f t="shared" si="106"/>
        <v>0</v>
      </c>
      <c r="AA39" s="503">
        <f t="shared" si="106"/>
        <v>0</v>
      </c>
      <c r="AB39" s="503">
        <f t="shared" si="106"/>
        <v>0</v>
      </c>
      <c r="AC39" s="503">
        <f t="shared" si="106"/>
        <v>0</v>
      </c>
      <c r="AD39" s="470"/>
      <c r="AE39" s="470"/>
      <c r="AF39" s="470"/>
      <c r="AG39" s="470"/>
      <c r="AH39" s="470"/>
      <c r="AI39" s="470"/>
      <c r="AJ39" s="470"/>
    </row>
    <row r="40" spans="1:36" s="332" customFormat="1">
      <c r="B40" s="469" t="str">
        <f>"FTE "&amp;TEXT(B17,"")</f>
        <v>FTE Výskum</v>
      </c>
      <c r="C40" s="470"/>
      <c r="D40" s="471"/>
      <c r="E40" s="471">
        <f t="shared" si="104"/>
        <v>-0.44615384615384612</v>
      </c>
      <c r="F40" s="471">
        <f t="shared" si="104"/>
        <v>0</v>
      </c>
      <c r="G40" s="471">
        <f t="shared" si="104"/>
        <v>0</v>
      </c>
      <c r="H40" s="471">
        <f t="shared" si="104"/>
        <v>0</v>
      </c>
      <c r="I40" s="503">
        <v>0</v>
      </c>
      <c r="J40" s="503">
        <f t="shared" ref="J40:V44" si="107">I40</f>
        <v>0</v>
      </c>
      <c r="K40" s="503">
        <f t="shared" si="107"/>
        <v>0</v>
      </c>
      <c r="L40" s="503">
        <f t="shared" si="107"/>
        <v>0</v>
      </c>
      <c r="M40" s="503">
        <f t="shared" si="107"/>
        <v>0</v>
      </c>
      <c r="N40" s="503">
        <f t="shared" si="107"/>
        <v>0</v>
      </c>
      <c r="O40" s="503">
        <f t="shared" si="107"/>
        <v>0</v>
      </c>
      <c r="P40" s="503">
        <f t="shared" si="107"/>
        <v>0</v>
      </c>
      <c r="Q40" s="503">
        <f t="shared" si="107"/>
        <v>0</v>
      </c>
      <c r="R40" s="503">
        <f t="shared" si="107"/>
        <v>0</v>
      </c>
      <c r="S40" s="503">
        <f t="shared" si="107"/>
        <v>0</v>
      </c>
      <c r="T40" s="503">
        <f t="shared" si="107"/>
        <v>0</v>
      </c>
      <c r="U40" s="503">
        <f t="shared" si="107"/>
        <v>0</v>
      </c>
      <c r="V40" s="503">
        <f t="shared" si="107"/>
        <v>0</v>
      </c>
      <c r="W40" s="503">
        <f t="shared" ref="W40:AC40" si="108">V40</f>
        <v>0</v>
      </c>
      <c r="X40" s="503">
        <f t="shared" si="108"/>
        <v>0</v>
      </c>
      <c r="Y40" s="503">
        <f t="shared" si="108"/>
        <v>0</v>
      </c>
      <c r="Z40" s="503">
        <f t="shared" si="108"/>
        <v>0</v>
      </c>
      <c r="AA40" s="503">
        <f t="shared" si="108"/>
        <v>0</v>
      </c>
      <c r="AB40" s="503">
        <f t="shared" si="108"/>
        <v>0</v>
      </c>
      <c r="AC40" s="503">
        <f t="shared" si="108"/>
        <v>0</v>
      </c>
      <c r="AD40" s="470"/>
      <c r="AE40" s="470"/>
      <c r="AF40" s="470"/>
      <c r="AG40" s="470"/>
      <c r="AH40" s="470"/>
      <c r="AI40" s="470"/>
      <c r="AJ40" s="470"/>
    </row>
    <row r="41" spans="1:36" s="332" customFormat="1">
      <c r="B41" s="469" t="str">
        <f>"FTE "&amp;TEXT(B18,"")</f>
        <v>FTE Iné zdravotnícke</v>
      </c>
      <c r="C41" s="470"/>
      <c r="D41" s="471"/>
      <c r="E41" s="471">
        <f t="shared" si="104"/>
        <v>-2.3521071066140431E-3</v>
      </c>
      <c r="F41" s="471">
        <f t="shared" si="104"/>
        <v>4.8273299563383887E-4</v>
      </c>
      <c r="G41" s="471">
        <f t="shared" si="104"/>
        <v>3.4443411160154369E-2</v>
      </c>
      <c r="H41" s="471">
        <f t="shared" si="104"/>
        <v>2.3905903350148305E-2</v>
      </c>
      <c r="I41" s="503">
        <v>0</v>
      </c>
      <c r="J41" s="503">
        <f t="shared" si="107"/>
        <v>0</v>
      </c>
      <c r="K41" s="503">
        <f t="shared" si="107"/>
        <v>0</v>
      </c>
      <c r="L41" s="503">
        <f t="shared" si="107"/>
        <v>0</v>
      </c>
      <c r="M41" s="503">
        <f t="shared" si="107"/>
        <v>0</v>
      </c>
      <c r="N41" s="503">
        <f t="shared" si="107"/>
        <v>0</v>
      </c>
      <c r="O41" s="503">
        <f t="shared" si="107"/>
        <v>0</v>
      </c>
      <c r="P41" s="503">
        <f t="shared" si="107"/>
        <v>0</v>
      </c>
      <c r="Q41" s="503">
        <f t="shared" si="107"/>
        <v>0</v>
      </c>
      <c r="R41" s="503">
        <f t="shared" si="107"/>
        <v>0</v>
      </c>
      <c r="S41" s="503">
        <f t="shared" si="107"/>
        <v>0</v>
      </c>
      <c r="T41" s="503">
        <f t="shared" si="107"/>
        <v>0</v>
      </c>
      <c r="U41" s="503">
        <f t="shared" si="107"/>
        <v>0</v>
      </c>
      <c r="V41" s="503">
        <f t="shared" si="107"/>
        <v>0</v>
      </c>
      <c r="W41" s="503">
        <f t="shared" ref="W41:AC41" si="109">V41</f>
        <v>0</v>
      </c>
      <c r="X41" s="503">
        <f t="shared" si="109"/>
        <v>0</v>
      </c>
      <c r="Y41" s="503">
        <f t="shared" si="109"/>
        <v>0</v>
      </c>
      <c r="Z41" s="503">
        <f t="shared" si="109"/>
        <v>0</v>
      </c>
      <c r="AA41" s="503">
        <f t="shared" si="109"/>
        <v>0</v>
      </c>
      <c r="AB41" s="503">
        <f t="shared" si="109"/>
        <v>0</v>
      </c>
      <c r="AC41" s="503">
        <f t="shared" si="109"/>
        <v>0</v>
      </c>
      <c r="AD41" s="470"/>
      <c r="AE41" s="470"/>
      <c r="AF41" s="470"/>
      <c r="AG41" s="470"/>
      <c r="AH41" s="470"/>
      <c r="AI41" s="470"/>
      <c r="AJ41" s="470"/>
    </row>
    <row r="42" spans="1:36" s="332" customFormat="1">
      <c r="B42" s="469" t="str">
        <f>"FTE "&amp;TEXT(B20,"")</f>
        <v>FTE NLZP</v>
      </c>
      <c r="C42" s="470"/>
      <c r="D42" s="471"/>
      <c r="E42" s="471">
        <f>E8/D8-1</f>
        <v>-1.7452894750517034E-3</v>
      </c>
      <c r="F42" s="471">
        <f>F8/E8-1</f>
        <v>-0.41148827467831317</v>
      </c>
      <c r="G42" s="471">
        <f>G8/F8-1</f>
        <v>-3.333550322821166E-2</v>
      </c>
      <c r="H42" s="471">
        <f>H8/G8-1</f>
        <v>0.13008228577762271</v>
      </c>
      <c r="I42" s="503">
        <v>0</v>
      </c>
      <c r="J42" s="503">
        <f t="shared" si="107"/>
        <v>0</v>
      </c>
      <c r="K42" s="503">
        <f t="shared" si="107"/>
        <v>0</v>
      </c>
      <c r="L42" s="503">
        <f t="shared" si="107"/>
        <v>0</v>
      </c>
      <c r="M42" s="503">
        <f t="shared" si="107"/>
        <v>0</v>
      </c>
      <c r="N42" s="503">
        <f t="shared" si="107"/>
        <v>0</v>
      </c>
      <c r="O42" s="503">
        <f t="shared" si="107"/>
        <v>0</v>
      </c>
      <c r="P42" s="503">
        <f t="shared" si="107"/>
        <v>0</v>
      </c>
      <c r="Q42" s="503">
        <f t="shared" si="107"/>
        <v>0</v>
      </c>
      <c r="R42" s="503">
        <f t="shared" si="107"/>
        <v>0</v>
      </c>
      <c r="S42" s="503">
        <f t="shared" si="107"/>
        <v>0</v>
      </c>
      <c r="T42" s="503">
        <f t="shared" si="107"/>
        <v>0</v>
      </c>
      <c r="U42" s="503">
        <f t="shared" si="107"/>
        <v>0</v>
      </c>
      <c r="V42" s="503">
        <f t="shared" si="107"/>
        <v>0</v>
      </c>
      <c r="W42" s="503">
        <f t="shared" ref="W42:AC42" si="110">V42</f>
        <v>0</v>
      </c>
      <c r="X42" s="503">
        <f t="shared" si="110"/>
        <v>0</v>
      </c>
      <c r="Y42" s="503">
        <f t="shared" si="110"/>
        <v>0</v>
      </c>
      <c r="Z42" s="503">
        <f t="shared" si="110"/>
        <v>0</v>
      </c>
      <c r="AA42" s="503">
        <f t="shared" si="110"/>
        <v>0</v>
      </c>
      <c r="AB42" s="503">
        <f t="shared" si="110"/>
        <v>0</v>
      </c>
      <c r="AC42" s="503">
        <f t="shared" si="110"/>
        <v>0</v>
      </c>
      <c r="AD42" s="470"/>
      <c r="AE42" s="470"/>
      <c r="AF42" s="470"/>
      <c r="AG42" s="470"/>
      <c r="AH42" s="470"/>
      <c r="AI42" s="470"/>
      <c r="AJ42" s="470"/>
    </row>
    <row r="43" spans="1:36" s="332" customFormat="1">
      <c r="B43" s="469" t="str">
        <f>"FTE "&amp;TEXT(B22,"")</f>
        <v>FTE Admin</v>
      </c>
      <c r="C43" s="470"/>
      <c r="D43" s="471"/>
      <c r="E43" s="471">
        <f t="shared" ref="E43:H44" si="111">E10/D10-1</f>
        <v>-2.8965043628762177E-2</v>
      </c>
      <c r="F43" s="471">
        <f t="shared" si="111"/>
        <v>1.6557620519407568E-2</v>
      </c>
      <c r="G43" s="471">
        <f t="shared" si="111"/>
        <v>7.7088686257310801E-2</v>
      </c>
      <c r="H43" s="471">
        <f t="shared" si="111"/>
        <v>0.17659653582015</v>
      </c>
      <c r="I43" s="503">
        <v>0</v>
      </c>
      <c r="J43" s="503">
        <f t="shared" si="107"/>
        <v>0</v>
      </c>
      <c r="K43" s="503">
        <f t="shared" si="107"/>
        <v>0</v>
      </c>
      <c r="L43" s="503">
        <f t="shared" si="107"/>
        <v>0</v>
      </c>
      <c r="M43" s="503">
        <f t="shared" si="107"/>
        <v>0</v>
      </c>
      <c r="N43" s="503">
        <f t="shared" si="107"/>
        <v>0</v>
      </c>
      <c r="O43" s="503">
        <f t="shared" si="107"/>
        <v>0</v>
      </c>
      <c r="P43" s="503">
        <f t="shared" si="107"/>
        <v>0</v>
      </c>
      <c r="Q43" s="503">
        <f t="shared" si="107"/>
        <v>0</v>
      </c>
      <c r="R43" s="503">
        <f t="shared" si="107"/>
        <v>0</v>
      </c>
      <c r="S43" s="503">
        <f t="shared" si="107"/>
        <v>0</v>
      </c>
      <c r="T43" s="503">
        <f t="shared" si="107"/>
        <v>0</v>
      </c>
      <c r="U43" s="503">
        <f t="shared" si="107"/>
        <v>0</v>
      </c>
      <c r="V43" s="503">
        <f t="shared" si="107"/>
        <v>0</v>
      </c>
      <c r="W43" s="503">
        <f t="shared" ref="W43:AC43" si="112">V43</f>
        <v>0</v>
      </c>
      <c r="X43" s="503">
        <f t="shared" si="112"/>
        <v>0</v>
      </c>
      <c r="Y43" s="503">
        <f t="shared" si="112"/>
        <v>0</v>
      </c>
      <c r="Z43" s="503">
        <f t="shared" si="112"/>
        <v>0</v>
      </c>
      <c r="AA43" s="503">
        <f t="shared" si="112"/>
        <v>0</v>
      </c>
      <c r="AB43" s="503">
        <f t="shared" si="112"/>
        <v>0</v>
      </c>
      <c r="AC43" s="503">
        <f t="shared" si="112"/>
        <v>0</v>
      </c>
      <c r="AD43" s="470"/>
      <c r="AE43" s="470"/>
      <c r="AF43" s="470"/>
      <c r="AG43" s="470"/>
      <c r="AH43" s="470"/>
      <c r="AI43" s="470"/>
      <c r="AJ43" s="470"/>
    </row>
    <row r="44" spans="1:36" s="332" customFormat="1">
      <c r="B44" s="508" t="str">
        <f>"FTE "&amp;TEXT(B23,"")</f>
        <v>FTE THP</v>
      </c>
      <c r="C44" s="509"/>
      <c r="D44" s="510"/>
      <c r="E44" s="510">
        <f t="shared" si="111"/>
        <v>-7.5809593941950082E-3</v>
      </c>
      <c r="F44" s="510">
        <f t="shared" si="111"/>
        <v>1.1141868614577666E-2</v>
      </c>
      <c r="G44" s="510">
        <f t="shared" si="111"/>
        <v>5.9861875875719672E-3</v>
      </c>
      <c r="H44" s="510">
        <f t="shared" si="111"/>
        <v>0.17390933662497043</v>
      </c>
      <c r="I44" s="511">
        <v>0</v>
      </c>
      <c r="J44" s="511">
        <f t="shared" si="107"/>
        <v>0</v>
      </c>
      <c r="K44" s="511">
        <f t="shared" si="107"/>
        <v>0</v>
      </c>
      <c r="L44" s="511">
        <f t="shared" si="107"/>
        <v>0</v>
      </c>
      <c r="M44" s="511">
        <f t="shared" si="107"/>
        <v>0</v>
      </c>
      <c r="N44" s="511">
        <f t="shared" si="107"/>
        <v>0</v>
      </c>
      <c r="O44" s="511">
        <f t="shared" si="107"/>
        <v>0</v>
      </c>
      <c r="P44" s="511">
        <f t="shared" si="107"/>
        <v>0</v>
      </c>
      <c r="Q44" s="511">
        <f t="shared" si="107"/>
        <v>0</v>
      </c>
      <c r="R44" s="511">
        <f t="shared" si="107"/>
        <v>0</v>
      </c>
      <c r="S44" s="511">
        <f t="shared" si="107"/>
        <v>0</v>
      </c>
      <c r="T44" s="511">
        <f t="shared" si="107"/>
        <v>0</v>
      </c>
      <c r="U44" s="511">
        <f t="shared" si="107"/>
        <v>0</v>
      </c>
      <c r="V44" s="511">
        <f t="shared" si="107"/>
        <v>0</v>
      </c>
      <c r="W44" s="511">
        <f t="shared" ref="W44:AC44" si="113">V44</f>
        <v>0</v>
      </c>
      <c r="X44" s="511">
        <f t="shared" si="113"/>
        <v>0</v>
      </c>
      <c r="Y44" s="511">
        <f t="shared" si="113"/>
        <v>0</v>
      </c>
      <c r="Z44" s="511">
        <f t="shared" si="113"/>
        <v>0</v>
      </c>
      <c r="AA44" s="511">
        <f t="shared" si="113"/>
        <v>0</v>
      </c>
      <c r="AB44" s="511">
        <f t="shared" si="113"/>
        <v>0</v>
      </c>
      <c r="AC44" s="511">
        <f t="shared" si="113"/>
        <v>0</v>
      </c>
      <c r="AD44" s="470"/>
      <c r="AE44" s="470"/>
      <c r="AF44" s="470"/>
      <c r="AG44" s="470"/>
      <c r="AH44" s="470"/>
      <c r="AI44" s="470"/>
      <c r="AJ44" s="470"/>
    </row>
    <row r="46" spans="1:36">
      <c r="B46" s="757" t="s">
        <v>3065</v>
      </c>
      <c r="C46" s="754"/>
      <c r="D46" s="755"/>
      <c r="E46" s="755"/>
      <c r="F46" s="755"/>
      <c r="G46" s="755"/>
      <c r="H46" s="755"/>
      <c r="I46" s="830"/>
      <c r="J46" s="830"/>
      <c r="K46" s="830"/>
      <c r="L46" s="830"/>
      <c r="M46" s="830"/>
      <c r="N46" s="830"/>
      <c r="O46" s="830"/>
      <c r="P46" s="830"/>
      <c r="Q46" s="830"/>
      <c r="R46" s="830"/>
      <c r="S46" s="830"/>
      <c r="T46" s="830"/>
      <c r="U46" s="830"/>
      <c r="V46" s="830"/>
      <c r="W46" s="830"/>
      <c r="X46" s="830"/>
      <c r="Y46" s="830"/>
      <c r="Z46" s="830"/>
      <c r="AA46" s="830"/>
      <c r="AB46" s="830"/>
      <c r="AC46" s="830"/>
      <c r="AD46" s="169"/>
      <c r="AE46" s="169"/>
      <c r="AF46" s="169"/>
      <c r="AG46" s="169"/>
      <c r="AH46" s="169"/>
      <c r="AI46" s="169"/>
    </row>
    <row r="47" spans="1:36">
      <c r="A47" s="829">
        <v>0.3</v>
      </c>
      <c r="B47" s="828" t="s">
        <v>3135</v>
      </c>
      <c r="D47" s="458">
        <f>'Revenues"0"'!C40+'Revenues"0"'!C50*$A$47</f>
        <v>0</v>
      </c>
      <c r="E47" s="458">
        <f>'Revenues"0"'!D40+'Revenues"0"'!D50*$A$47</f>
        <v>0</v>
      </c>
      <c r="F47" s="458">
        <f>'Revenues"0"'!E40+'Revenues"0"'!E50*$A$47</f>
        <v>53289.708301205588</v>
      </c>
      <c r="G47" s="458">
        <f>'Revenues"0"'!F40+'Revenues"0"'!F50*$A$47</f>
        <v>43510.549266741327</v>
      </c>
      <c r="H47" s="458">
        <f>'Revenues"0"'!G40+'Revenues"0"'!G50*$A$47</f>
        <v>52224.84330120559</v>
      </c>
      <c r="I47" s="70">
        <f>'Revenues"0"'!H40+'Revenues"0"'!H50*$A$47</f>
        <v>53303.756178325188</v>
      </c>
      <c r="J47" s="70">
        <f>'Revenues"0"'!I40+'Revenues"0"'!I50*$A$47</f>
        <v>52765.134843213855</v>
      </c>
      <c r="K47" s="70">
        <f>'Revenues"0"'!J40+'Revenues"0"'!J50*$A$47</f>
        <v>52803.596975455344</v>
      </c>
      <c r="L47" s="70">
        <f>'Revenues"0"'!K40+'Revenues"0"'!K50*$A$47</f>
        <v>52850.404597664863</v>
      </c>
      <c r="M47" s="70">
        <f>'Revenues"0"'!L40+'Revenues"0"'!L50*$A$47</f>
        <v>53103.702504978501</v>
      </c>
      <c r="N47" s="70">
        <f>'Revenues"0"'!M40+'Revenues"0"'!M50*$A$47</f>
        <v>51392.079556698132</v>
      </c>
      <c r="O47" s="70">
        <f>'Revenues"0"'!N40+'Revenues"0"'!N50*$A$47</f>
        <v>49946.685472840712</v>
      </c>
      <c r="P47" s="70">
        <f>'Revenues"0"'!O40+'Revenues"0"'!O50*$A$47</f>
        <v>49240.639413217737</v>
      </c>
      <c r="Q47" s="70">
        <f>'Revenues"0"'!P40+'Revenues"0"'!P50*$A$47</f>
        <v>49255.899667361511</v>
      </c>
      <c r="R47" s="70">
        <f>'Revenues"0"'!Q40+'Revenues"0"'!Q50*$A$47</f>
        <v>49243.309425140586</v>
      </c>
      <c r="S47" s="70">
        <f>'Revenues"0"'!R40+'Revenues"0"'!R50*$A$47</f>
        <v>49243.334431643954</v>
      </c>
      <c r="T47" s="70">
        <f>'Revenues"0"'!S40+'Revenues"0"'!S50*$A$47</f>
        <v>49226.278706362056</v>
      </c>
      <c r="U47" s="70">
        <f>'Revenues"0"'!T40+'Revenues"0"'!T50*$A$47</f>
        <v>49169.975444260694</v>
      </c>
      <c r="V47" s="70">
        <f>'Revenues"0"'!U40+'Revenues"0"'!U50*$A$47</f>
        <v>49083.587692219953</v>
      </c>
      <c r="W47" s="70">
        <f>'Revenues"0"'!V40+'Revenues"0"'!V50*$A$47</f>
        <v>49090.878635656671</v>
      </c>
      <c r="X47" s="70">
        <f>'Revenues"0"'!W40+'Revenues"0"'!W50*$A$47</f>
        <v>49098.169579093388</v>
      </c>
      <c r="Y47" s="70">
        <f>'Revenues"0"'!X40+'Revenues"0"'!X50*$A$47</f>
        <v>49105.460522530113</v>
      </c>
      <c r="Z47" s="70">
        <f>'Revenues"0"'!Y40+'Revenues"0"'!Y50*$A$47</f>
        <v>49112.75146596683</v>
      </c>
      <c r="AA47" s="70">
        <f>'Revenues"0"'!Z40+'Revenues"0"'!Z50*$A$47</f>
        <v>49120.042409403555</v>
      </c>
      <c r="AB47" s="70">
        <f>'Revenues"0"'!AA40+'Revenues"0"'!AA50*$A$47</f>
        <v>49127.333352840273</v>
      </c>
      <c r="AC47" s="70">
        <f>'Revenues"0"'!AB40+'Revenues"0"'!AB50*$A$47</f>
        <v>49134.624296276997</v>
      </c>
      <c r="AD47" s="169"/>
      <c r="AE47" s="169"/>
      <c r="AF47" s="169"/>
      <c r="AG47" s="169"/>
      <c r="AH47" s="169"/>
      <c r="AI47" s="169"/>
    </row>
    <row r="48" spans="1:36">
      <c r="B48" s="758" t="s">
        <v>3067</v>
      </c>
      <c r="D48" s="458">
        <f>'Revenues"0"'!C55</f>
        <v>0</v>
      </c>
      <c r="E48" s="458">
        <f>'Revenues"0"'!D55</f>
        <v>0</v>
      </c>
      <c r="F48" s="458">
        <f>'Revenues"0"'!E55</f>
        <v>581507</v>
      </c>
      <c r="G48" s="458">
        <f>'Revenues"0"'!F55</f>
        <v>412794</v>
      </c>
      <c r="H48" s="458">
        <f>'Revenues"0"'!G55</f>
        <v>585417.85</v>
      </c>
      <c r="I48" s="460">
        <f>'Revenues"0"'!H55</f>
        <v>623113.06985093723</v>
      </c>
      <c r="J48" s="460">
        <f>'Revenues"0"'!I55</f>
        <v>616724.87926102558</v>
      </c>
      <c r="K48" s="460">
        <f>'Revenues"0"'!J55</f>
        <v>617082.60304831574</v>
      </c>
      <c r="L48" s="460">
        <f>'Revenues"0"'!K55</f>
        <v>617537.73441555526</v>
      </c>
      <c r="M48" s="460">
        <f>'Revenues"0"'!L55</f>
        <v>620405.13531157305</v>
      </c>
      <c r="N48" s="460">
        <f>'Revenues"0"'!M55</f>
        <v>600319.12753859325</v>
      </c>
      <c r="O48" s="460">
        <f>'Revenues"0"'!N55</f>
        <v>583348.49284269707</v>
      </c>
      <c r="P48" s="460">
        <f>'Revenues"0"'!O55</f>
        <v>575016.77920491539</v>
      </c>
      <c r="Q48" s="460">
        <f>'Revenues"0"'!P55</f>
        <v>575109.4799217144</v>
      </c>
      <c r="R48" s="460">
        <f>'Revenues"0"'!Q55</f>
        <v>574877.02037797368</v>
      </c>
      <c r="S48" s="460">
        <f>'Revenues"0"'!R55</f>
        <v>574791.88117466937</v>
      </c>
      <c r="T48" s="460">
        <f>'Revenues"0"'!S55</f>
        <v>574507.42238071526</v>
      </c>
      <c r="U48" s="460">
        <f>'Revenues"0"'!T55</f>
        <v>573765.06810137827</v>
      </c>
      <c r="V48" s="460">
        <f>'Revenues"0"'!U55</f>
        <v>572671.93021378247</v>
      </c>
      <c r="W48" s="460">
        <f>'Revenues"0"'!V55</f>
        <v>572671.93021378247</v>
      </c>
      <c r="X48" s="460">
        <f>'Revenues"0"'!W55</f>
        <v>572671.93021378247</v>
      </c>
      <c r="Y48" s="460">
        <f>'Revenues"0"'!X55</f>
        <v>572671.93021378247</v>
      </c>
      <c r="Z48" s="460">
        <f>'Revenues"0"'!Y55</f>
        <v>572671.93021378247</v>
      </c>
      <c r="AA48" s="460">
        <f>'Revenues"0"'!Z55</f>
        <v>572671.93021378247</v>
      </c>
      <c r="AB48" s="460">
        <f>'Revenues"0"'!AA55</f>
        <v>572671.93021378247</v>
      </c>
      <c r="AC48" s="460">
        <f>'Revenues"0"'!AB55</f>
        <v>572671.93021378247</v>
      </c>
    </row>
    <row r="49" spans="2:36">
      <c r="B49" s="758" t="s">
        <v>3066</v>
      </c>
      <c r="D49" s="623">
        <f t="shared" ref="D49:I49" si="114">D47/D3</f>
        <v>0</v>
      </c>
      <c r="E49" s="623">
        <f t="shared" si="114"/>
        <v>0</v>
      </c>
      <c r="F49" s="623">
        <f t="shared" si="114"/>
        <v>87.038100898283531</v>
      </c>
      <c r="G49" s="623">
        <f t="shared" si="114"/>
        <v>68.438271416856438</v>
      </c>
      <c r="H49" s="623">
        <f t="shared" si="114"/>
        <v>78.980053993743226</v>
      </c>
      <c r="I49" s="623">
        <f t="shared" si="114"/>
        <v>80.611702686262788</v>
      </c>
      <c r="J49" s="760">
        <f t="shared" ref="J49:K49" si="115">I49</f>
        <v>80.611702686262788</v>
      </c>
      <c r="K49" s="760">
        <f t="shared" si="115"/>
        <v>80.611702686262788</v>
      </c>
      <c r="L49" s="759">
        <f>K49+($S$49-$K$49)/COUNT($L$48:$S$48)</f>
        <v>79.844126594792613</v>
      </c>
      <c r="M49" s="759">
        <f t="shared" ref="M49:R49" si="116">L49+($S$49-$K$49)/COUNT($L$48:$S$48)</f>
        <v>79.076550503322437</v>
      </c>
      <c r="N49" s="759">
        <f t="shared" si="116"/>
        <v>78.308974411852262</v>
      </c>
      <c r="O49" s="759">
        <f t="shared" si="116"/>
        <v>77.541398320382086</v>
      </c>
      <c r="P49" s="759">
        <f t="shared" si="116"/>
        <v>76.773822228911911</v>
      </c>
      <c r="Q49" s="759">
        <f t="shared" si="116"/>
        <v>76.006246137441735</v>
      </c>
      <c r="R49" s="759">
        <f t="shared" si="116"/>
        <v>75.23867004597156</v>
      </c>
      <c r="S49" s="761">
        <f>I49*(S47/I47)</f>
        <v>74.471093954501413</v>
      </c>
      <c r="T49" s="759">
        <f>S49</f>
        <v>74.471093954501413</v>
      </c>
      <c r="U49" s="759">
        <f t="shared" ref="U49:V49" si="117">T49</f>
        <v>74.471093954501413</v>
      </c>
      <c r="V49" s="759">
        <f t="shared" si="117"/>
        <v>74.471093954501413</v>
      </c>
      <c r="W49" s="759">
        <f t="shared" ref="W49:AC49" si="118">V49</f>
        <v>74.471093954501413</v>
      </c>
      <c r="X49" s="759">
        <f t="shared" si="118"/>
        <v>74.471093954501413</v>
      </c>
      <c r="Y49" s="759">
        <f t="shared" si="118"/>
        <v>74.471093954501413</v>
      </c>
      <c r="Z49" s="759">
        <f t="shared" si="118"/>
        <v>74.471093954501413</v>
      </c>
      <c r="AA49" s="759">
        <f t="shared" si="118"/>
        <v>74.471093954501413</v>
      </c>
      <c r="AB49" s="759">
        <f t="shared" si="118"/>
        <v>74.471093954501413</v>
      </c>
      <c r="AC49" s="759">
        <f t="shared" si="118"/>
        <v>74.471093954501413</v>
      </c>
    </row>
    <row r="50" spans="2:36">
      <c r="B50" s="758" t="s">
        <v>3068</v>
      </c>
      <c r="D50" s="623">
        <f t="shared" ref="D50:I50" si="119">D7/D3</f>
        <v>2.0214726334364213</v>
      </c>
      <c r="E50" s="623">
        <f t="shared" si="119"/>
        <v>2.0231159518519863</v>
      </c>
      <c r="F50" s="623">
        <f t="shared" si="119"/>
        <v>2.1950622062866554</v>
      </c>
      <c r="G50" s="623">
        <f t="shared" si="119"/>
        <v>2.1524313092881391</v>
      </c>
      <c r="H50" s="623">
        <f t="shared" si="119"/>
        <v>2.1303518851109615</v>
      </c>
      <c r="I50" s="623">
        <f t="shared" si="119"/>
        <v>2.1303518851109615</v>
      </c>
      <c r="J50" s="760">
        <f t="shared" ref="J50:K51" si="120">I50</f>
        <v>2.1303518851109615</v>
      </c>
      <c r="K50" s="760">
        <f t="shared" si="120"/>
        <v>2.1303518851109615</v>
      </c>
      <c r="L50" s="759">
        <f>K50+($S$50-$K$50)/COUNT($L$48:$S$48)</f>
        <v>2.1303518851109615</v>
      </c>
      <c r="M50" s="759">
        <f t="shared" ref="M50:R50" si="121">L50+($S$50-$K$50)/COUNT($L$48:$S$48)</f>
        <v>2.1303518851109615</v>
      </c>
      <c r="N50" s="759">
        <f t="shared" si="121"/>
        <v>2.1303518851109615</v>
      </c>
      <c r="O50" s="759">
        <f t="shared" si="121"/>
        <v>2.1303518851109615</v>
      </c>
      <c r="P50" s="759">
        <f t="shared" si="121"/>
        <v>2.1303518851109615</v>
      </c>
      <c r="Q50" s="759">
        <f t="shared" si="121"/>
        <v>2.1303518851109615</v>
      </c>
      <c r="R50" s="759">
        <f t="shared" si="121"/>
        <v>2.1303518851109615</v>
      </c>
      <c r="S50" s="761">
        <f t="shared" ref="S50" si="122">I50</f>
        <v>2.1303518851109615</v>
      </c>
      <c r="T50" s="759">
        <v>2.1303518851109615</v>
      </c>
      <c r="U50" s="759">
        <v>2.1303518851109615</v>
      </c>
      <c r="V50" s="759">
        <v>2.1303518851109615</v>
      </c>
      <c r="W50" s="759">
        <v>2.1303518851109615</v>
      </c>
      <c r="X50" s="759">
        <v>2.1303518851109615</v>
      </c>
      <c r="Y50" s="759">
        <v>2.1303518851109615</v>
      </c>
      <c r="Z50" s="759">
        <v>2.1303518851109615</v>
      </c>
      <c r="AA50" s="759">
        <v>2.1303518851109615</v>
      </c>
      <c r="AB50" s="759">
        <v>2.1303518851109615</v>
      </c>
      <c r="AC50" s="759">
        <v>2.1303518851109615</v>
      </c>
    </row>
    <row r="51" spans="2:36">
      <c r="B51" s="758" t="s">
        <v>3069</v>
      </c>
      <c r="D51" s="458">
        <f t="shared" ref="D51:I51" si="123">D48/D9</f>
        <v>0</v>
      </c>
      <c r="E51" s="458">
        <f t="shared" si="123"/>
        <v>0</v>
      </c>
      <c r="F51" s="458">
        <f t="shared" si="123"/>
        <v>3784.0400893018373</v>
      </c>
      <c r="G51" s="458">
        <f t="shared" si="123"/>
        <v>2674.8644620601767</v>
      </c>
      <c r="H51" s="458">
        <f t="shared" si="123"/>
        <v>3789.3371235618074</v>
      </c>
      <c r="I51" s="458">
        <f t="shared" si="123"/>
        <v>4033.3336056676753</v>
      </c>
      <c r="J51" s="760">
        <f t="shared" si="120"/>
        <v>4033.3336056676753</v>
      </c>
      <c r="K51" s="760">
        <f t="shared" si="120"/>
        <v>4033.3336056676753</v>
      </c>
      <c r="L51" s="460">
        <f>K51+($S$51-$K$51)/COUNT($L$48:$S$48)</f>
        <v>3994.2364731439538</v>
      </c>
      <c r="M51" s="460">
        <f t="shared" ref="M51:R51" si="124">L51+($S$51-$K$51)/COUNT($L$48:$S$48)</f>
        <v>3955.1393406202324</v>
      </c>
      <c r="N51" s="460">
        <f t="shared" si="124"/>
        <v>3916.0422080965109</v>
      </c>
      <c r="O51" s="460">
        <f t="shared" si="124"/>
        <v>3876.9450755727894</v>
      </c>
      <c r="P51" s="460">
        <f t="shared" si="124"/>
        <v>3837.8479430490679</v>
      </c>
      <c r="Q51" s="460">
        <f t="shared" si="124"/>
        <v>3798.7508105253464</v>
      </c>
      <c r="R51" s="460">
        <f t="shared" si="124"/>
        <v>3759.6536780016249</v>
      </c>
      <c r="S51" s="761">
        <f>I51*(S48/I48)</f>
        <v>3720.5565454779044</v>
      </c>
      <c r="T51" s="460">
        <v>3917.4077197416259</v>
      </c>
      <c r="U51" s="460">
        <v>3915.4690335634104</v>
      </c>
      <c r="V51" s="460">
        <v>3910.4096294905571</v>
      </c>
      <c r="W51" s="460">
        <v>3910.4096294905571</v>
      </c>
      <c r="X51" s="460">
        <v>3910.4096294905571</v>
      </c>
      <c r="Y51" s="460">
        <v>3910.4096294905571</v>
      </c>
      <c r="Z51" s="460">
        <v>3910.4096294905571</v>
      </c>
      <c r="AA51" s="460">
        <v>3910.4096294905571</v>
      </c>
      <c r="AB51" s="460">
        <v>3910.4096294905571</v>
      </c>
      <c r="AC51" s="460">
        <v>3910.4096294905571</v>
      </c>
    </row>
    <row r="52" spans="2:36">
      <c r="I52" s="568" t="s">
        <v>3070</v>
      </c>
    </row>
    <row r="55" spans="2:36">
      <c r="B55" s="461"/>
      <c r="C55" s="461"/>
      <c r="D55" s="462"/>
      <c r="E55" s="462"/>
      <c r="F55" s="462"/>
      <c r="G55" s="462"/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3"/>
      <c r="AB55" s="463"/>
      <c r="AC55" s="463"/>
    </row>
    <row r="56" spans="2:36">
      <c r="B56" s="464" t="s">
        <v>2899</v>
      </c>
      <c r="C56" s="464"/>
      <c r="D56" s="465"/>
      <c r="E56" s="465"/>
      <c r="F56" s="465"/>
      <c r="G56" s="465"/>
      <c r="H56" s="465"/>
      <c r="I56" s="667">
        <v>0</v>
      </c>
      <c r="J56" s="667">
        <v>0</v>
      </c>
      <c r="K56" s="667">
        <f>J56</f>
        <v>0</v>
      </c>
      <c r="L56" s="667">
        <f t="shared" ref="L56:AC56" si="125">K56</f>
        <v>0</v>
      </c>
      <c r="M56" s="667">
        <f t="shared" si="125"/>
        <v>0</v>
      </c>
      <c r="N56" s="667">
        <f t="shared" si="125"/>
        <v>0</v>
      </c>
      <c r="O56" s="667">
        <f t="shared" si="125"/>
        <v>0</v>
      </c>
      <c r="P56" s="667">
        <f t="shared" si="125"/>
        <v>0</v>
      </c>
      <c r="Q56" s="667">
        <f t="shared" si="125"/>
        <v>0</v>
      </c>
      <c r="R56" s="667">
        <f t="shared" si="125"/>
        <v>0</v>
      </c>
      <c r="S56" s="667">
        <f t="shared" si="125"/>
        <v>0</v>
      </c>
      <c r="T56" s="667">
        <f t="shared" si="125"/>
        <v>0</v>
      </c>
      <c r="U56" s="667">
        <f t="shared" si="125"/>
        <v>0</v>
      </c>
      <c r="V56" s="667">
        <f t="shared" si="125"/>
        <v>0</v>
      </c>
      <c r="W56" s="667">
        <f t="shared" si="125"/>
        <v>0</v>
      </c>
      <c r="X56" s="667">
        <f t="shared" si="125"/>
        <v>0</v>
      </c>
      <c r="Y56" s="667">
        <f t="shared" si="125"/>
        <v>0</v>
      </c>
      <c r="Z56" s="667">
        <f t="shared" si="125"/>
        <v>0</v>
      </c>
      <c r="AA56" s="667">
        <f t="shared" si="125"/>
        <v>0</v>
      </c>
      <c r="AB56" s="667">
        <f t="shared" si="125"/>
        <v>0</v>
      </c>
      <c r="AC56" s="667">
        <f t="shared" si="125"/>
        <v>0</v>
      </c>
    </row>
    <row r="58" spans="2:36" s="121" customFormat="1">
      <c r="B58" s="989" t="s">
        <v>3253</v>
      </c>
      <c r="C58" s="468"/>
      <c r="D58" s="471"/>
      <c r="E58" s="471"/>
      <c r="F58" s="471"/>
      <c r="G58" s="471"/>
      <c r="H58" s="1047">
        <f>25.2%+9.4%</f>
        <v>0.34599999999999997</v>
      </c>
      <c r="I58" s="503">
        <f>I25</f>
        <v>0.4363189659617428</v>
      </c>
      <c r="J58" s="503">
        <f t="shared" ref="J58:AC58" si="126">J25</f>
        <v>0.4363189659617428</v>
      </c>
      <c r="K58" s="503">
        <f t="shared" si="126"/>
        <v>0.4363189659617428</v>
      </c>
      <c r="L58" s="503">
        <f t="shared" si="126"/>
        <v>0.4363189659617428</v>
      </c>
      <c r="M58" s="503">
        <f t="shared" si="126"/>
        <v>0.4363189659617428</v>
      </c>
      <c r="N58" s="503">
        <f t="shared" si="126"/>
        <v>0.4363189659617428</v>
      </c>
      <c r="O58" s="503">
        <f t="shared" si="126"/>
        <v>0.4363189659617428</v>
      </c>
      <c r="P58" s="503">
        <f t="shared" si="126"/>
        <v>0.4363189659617428</v>
      </c>
      <c r="Q58" s="503">
        <f t="shared" si="126"/>
        <v>0.4363189659617428</v>
      </c>
      <c r="R58" s="503">
        <f t="shared" si="126"/>
        <v>0.4363189659617428</v>
      </c>
      <c r="S58" s="503">
        <f t="shared" si="126"/>
        <v>0.4363189659617428</v>
      </c>
      <c r="T58" s="503">
        <f t="shared" si="126"/>
        <v>0.4363189659617428</v>
      </c>
      <c r="U58" s="503">
        <f t="shared" si="126"/>
        <v>0.4363189659617428</v>
      </c>
      <c r="V58" s="503">
        <f t="shared" si="126"/>
        <v>0.4363189659617428</v>
      </c>
      <c r="W58" s="503">
        <f t="shared" si="126"/>
        <v>0.4363189659617428</v>
      </c>
      <c r="X58" s="503">
        <f t="shared" si="126"/>
        <v>0.4363189659617428</v>
      </c>
      <c r="Y58" s="503">
        <f t="shared" si="126"/>
        <v>0.4363189659617428</v>
      </c>
      <c r="Z58" s="503">
        <f t="shared" si="126"/>
        <v>0.4363189659617428</v>
      </c>
      <c r="AA58" s="503">
        <f t="shared" si="126"/>
        <v>0.4363189659617428</v>
      </c>
      <c r="AB58" s="503">
        <f t="shared" si="126"/>
        <v>0.4363189659617428</v>
      </c>
      <c r="AC58" s="503">
        <f t="shared" si="126"/>
        <v>0.4363189659617428</v>
      </c>
      <c r="AD58" s="468"/>
      <c r="AE58" s="468"/>
      <c r="AF58" s="468"/>
      <c r="AG58" s="468"/>
      <c r="AH58" s="468"/>
      <c r="AI58" s="468"/>
      <c r="AJ58" s="468"/>
    </row>
    <row r="59" spans="2:36">
      <c r="B59" s="990" t="s">
        <v>3250</v>
      </c>
      <c r="I59" s="460">
        <f>I58*(I24)</f>
        <v>34652304.429999992</v>
      </c>
      <c r="J59" s="460">
        <f t="shared" ref="J59:AC59" si="127">J58*(J24)</f>
        <v>34385122.270737797</v>
      </c>
      <c r="K59" s="460">
        <f t="shared" si="127"/>
        <v>34403939.804374598</v>
      </c>
      <c r="L59" s="460">
        <f t="shared" si="127"/>
        <v>34678971.995243505</v>
      </c>
      <c r="M59" s="460">
        <f t="shared" si="127"/>
        <v>35063670.064726084</v>
      </c>
      <c r="N59" s="460">
        <f t="shared" si="127"/>
        <v>34453488.173613943</v>
      </c>
      <c r="O59" s="460">
        <f t="shared" si="127"/>
        <v>33968392.957067341</v>
      </c>
      <c r="P59" s="460">
        <f t="shared" si="127"/>
        <v>33858331.681442052</v>
      </c>
      <c r="Q59" s="460">
        <f t="shared" si="127"/>
        <v>34125186.225392975</v>
      </c>
      <c r="R59" s="460">
        <f t="shared" si="127"/>
        <v>34382703.929664962</v>
      </c>
      <c r="S59" s="460">
        <f t="shared" si="127"/>
        <v>34652304.429999992</v>
      </c>
      <c r="T59" s="460">
        <f t="shared" si="127"/>
        <v>34559766.13873148</v>
      </c>
      <c r="U59" s="460">
        <f t="shared" si="127"/>
        <v>34530200.914615594</v>
      </c>
      <c r="V59" s="460">
        <f t="shared" si="127"/>
        <v>34485797.524306424</v>
      </c>
      <c r="W59" s="460">
        <f t="shared" si="127"/>
        <v>34489463.731320694</v>
      </c>
      <c r="X59" s="460">
        <f t="shared" si="127"/>
        <v>34493129.938334957</v>
      </c>
      <c r="Y59" s="460">
        <f t="shared" si="127"/>
        <v>34496796.145349227</v>
      </c>
      <c r="Z59" s="460">
        <f t="shared" si="127"/>
        <v>34500462.352363497</v>
      </c>
      <c r="AA59" s="460">
        <f t="shared" si="127"/>
        <v>34504128.559377752</v>
      </c>
      <c r="AB59" s="460">
        <f t="shared" si="127"/>
        <v>34507794.766392015</v>
      </c>
      <c r="AC59" s="460">
        <f t="shared" si="127"/>
        <v>34511460.973406285</v>
      </c>
    </row>
    <row r="60" spans="2:36">
      <c r="H60" s="458" t="s">
        <v>3254</v>
      </c>
      <c r="I60" s="634">
        <f>IF(Scenarios_Summary!$C$45=1,0,1)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499D2-7770-4B68-9CB9-8DC98E3B9CA0}">
  <sheetPr>
    <tabColor rgb="FFFEF4EC"/>
  </sheetPr>
  <dimension ref="B1:AD97"/>
  <sheetViews>
    <sheetView topLeftCell="A64" workbookViewId="0">
      <selection activeCell="I88" sqref="I88"/>
    </sheetView>
  </sheetViews>
  <sheetFormatPr baseColWidth="10" defaultColWidth="8.83203125" defaultRowHeight="15"/>
  <cols>
    <col min="1" max="1" width="2.6640625" style="69" customWidth="1"/>
    <col min="2" max="2" width="33.33203125" style="69" customWidth="1"/>
    <col min="3" max="7" width="11.83203125" style="458" customWidth="1"/>
    <col min="8" max="28" width="11.83203125" style="69" customWidth="1"/>
    <col min="29" max="16384" width="8.83203125" style="69"/>
  </cols>
  <sheetData>
    <row r="1" spans="2:29"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</row>
    <row r="2" spans="2:29" s="592" customFormat="1">
      <c r="C2" s="605">
        <v>43100</v>
      </c>
      <c r="D2" s="605">
        <f>EOMONTH(C2,12)</f>
        <v>43465</v>
      </c>
      <c r="E2" s="605">
        <f t="shared" ref="E2:J2" si="0">EOMONTH(D2,12)</f>
        <v>43830</v>
      </c>
      <c r="F2" s="605">
        <f t="shared" si="0"/>
        <v>44196</v>
      </c>
      <c r="G2" s="606">
        <f t="shared" si="0"/>
        <v>44561</v>
      </c>
      <c r="H2" s="592">
        <f t="shared" si="0"/>
        <v>44926</v>
      </c>
      <c r="I2" s="592">
        <f t="shared" si="0"/>
        <v>45291</v>
      </c>
      <c r="J2" s="592">
        <f t="shared" si="0"/>
        <v>45657</v>
      </c>
      <c r="K2" s="592">
        <f t="shared" ref="K2" si="1">EOMONTH(J2,12)</f>
        <v>46022</v>
      </c>
      <c r="L2" s="592">
        <f t="shared" ref="L2" si="2">EOMONTH(K2,12)</f>
        <v>46387</v>
      </c>
      <c r="M2" s="592">
        <f t="shared" ref="M2" si="3">EOMONTH(L2,12)</f>
        <v>46752</v>
      </c>
      <c r="N2" s="592">
        <f t="shared" ref="N2" si="4">EOMONTH(M2,12)</f>
        <v>47118</v>
      </c>
      <c r="O2" s="592">
        <f t="shared" ref="O2" si="5">EOMONTH(N2,12)</f>
        <v>47483</v>
      </c>
      <c r="P2" s="592">
        <f t="shared" ref="P2" si="6">EOMONTH(O2,12)</f>
        <v>47848</v>
      </c>
      <c r="Q2" s="592">
        <f t="shared" ref="Q2" si="7">EOMONTH(P2,12)</f>
        <v>48213</v>
      </c>
      <c r="R2" s="592">
        <f t="shared" ref="R2" si="8">EOMONTH(Q2,12)</f>
        <v>48579</v>
      </c>
      <c r="S2" s="592">
        <f t="shared" ref="S2" si="9">EOMONTH(R2,12)</f>
        <v>48944</v>
      </c>
      <c r="T2" s="592">
        <f t="shared" ref="T2" si="10">EOMONTH(S2,12)</f>
        <v>49309</v>
      </c>
      <c r="U2" s="592">
        <f t="shared" ref="U2" si="11">EOMONTH(T2,12)</f>
        <v>49674</v>
      </c>
      <c r="V2" s="592">
        <f t="shared" ref="V2" si="12">EOMONTH(U2,12)</f>
        <v>50040</v>
      </c>
      <c r="W2" s="592">
        <f t="shared" ref="W2" si="13">EOMONTH(V2,12)</f>
        <v>50405</v>
      </c>
      <c r="X2" s="592">
        <f t="shared" ref="X2" si="14">EOMONTH(W2,12)</f>
        <v>50770</v>
      </c>
      <c r="Y2" s="592">
        <f t="shared" ref="Y2" si="15">EOMONTH(X2,12)</f>
        <v>51135</v>
      </c>
      <c r="Z2" s="592">
        <f t="shared" ref="Z2" si="16">EOMONTH(Y2,12)</f>
        <v>51501</v>
      </c>
      <c r="AA2" s="592">
        <f t="shared" ref="AA2" si="17">EOMONTH(Z2,12)</f>
        <v>51866</v>
      </c>
      <c r="AB2" s="592">
        <f t="shared" ref="AB2" si="18">EOMONTH(AA2,12)</f>
        <v>52231</v>
      </c>
    </row>
    <row r="3" spans="2:29" s="457" customFormat="1">
      <c r="B3" s="598" t="s">
        <v>2838</v>
      </c>
      <c r="C3" s="608">
        <f>C4+C16+C17</f>
        <v>87226423.650000051</v>
      </c>
      <c r="D3" s="608">
        <f>D4+D16+D17</f>
        <v>92750781.050000027</v>
      </c>
      <c r="E3" s="608">
        <f>E4+E16+E17</f>
        <v>102457789.18999997</v>
      </c>
      <c r="F3" s="608">
        <f>F4+F16+F17</f>
        <v>108230558.54000005</v>
      </c>
      <c r="G3" s="609">
        <f>G4+G16+G17</f>
        <v>123632577.04000004</v>
      </c>
      <c r="H3" s="598">
        <f t="shared" ref="H3:U3" si="19">H4+H16+H17</f>
        <v>130215164.43800318</v>
      </c>
      <c r="I3" s="598">
        <f t="shared" si="19"/>
        <v>128948775.60151677</v>
      </c>
      <c r="J3" s="598">
        <f t="shared" si="19"/>
        <v>129069874.03548084</v>
      </c>
      <c r="K3" s="598">
        <f t="shared" si="19"/>
        <v>129211091.0037151</v>
      </c>
      <c r="L3" s="598">
        <f t="shared" si="19"/>
        <v>129849253.64596398</v>
      </c>
      <c r="M3" s="598">
        <f t="shared" si="19"/>
        <v>125758265.19331159</v>
      </c>
      <c r="N3" s="598">
        <f t="shared" si="19"/>
        <v>122306372.17075793</v>
      </c>
      <c r="O3" s="598">
        <f t="shared" si="19"/>
        <v>120633276.45960185</v>
      </c>
      <c r="P3" s="598">
        <f t="shared" si="19"/>
        <v>120696716.39917848</v>
      </c>
      <c r="Q3" s="598">
        <f t="shared" si="19"/>
        <v>120693077.93326066</v>
      </c>
      <c r="R3" s="598">
        <f t="shared" si="19"/>
        <v>120719823.04783361</v>
      </c>
      <c r="S3" s="598">
        <f t="shared" si="19"/>
        <v>120705400.21825412</v>
      </c>
      <c r="T3" s="598">
        <f t="shared" si="19"/>
        <v>120596344.58143619</v>
      </c>
      <c r="U3" s="598">
        <f t="shared" si="19"/>
        <v>120414687.0475817</v>
      </c>
      <c r="V3" s="598">
        <f t="shared" ref="V3:AB3" si="20">V4+V16+V17</f>
        <v>120428564.64733374</v>
      </c>
      <c r="W3" s="598">
        <f t="shared" si="20"/>
        <v>120442442.24708578</v>
      </c>
      <c r="X3" s="598">
        <f t="shared" si="20"/>
        <v>120456319.84683783</v>
      </c>
      <c r="Y3" s="598">
        <f t="shared" si="20"/>
        <v>120470197.44658987</v>
      </c>
      <c r="Z3" s="598">
        <f t="shared" si="20"/>
        <v>120484075.0463419</v>
      </c>
      <c r="AA3" s="598">
        <f t="shared" si="20"/>
        <v>120497952.64609393</v>
      </c>
      <c r="AB3" s="598">
        <f t="shared" si="20"/>
        <v>120511830.24584597</v>
      </c>
    </row>
    <row r="4" spans="2:29" s="457" customFormat="1">
      <c r="B4" s="593" t="s">
        <v>2837</v>
      </c>
      <c r="C4" s="610">
        <f>-SUM(Ucto_HK_summ!D692:D769)</f>
        <v>85404705.280000046</v>
      </c>
      <c r="D4" s="610">
        <f>-SUM(Ucto_HK_summ!E692:E769)</f>
        <v>90862180.170000017</v>
      </c>
      <c r="E4" s="610">
        <f>-SUM(Ucto_HK_summ!F692:F769)</f>
        <v>100520072.16999997</v>
      </c>
      <c r="F4" s="610">
        <f>-SUM(Ucto_HK_summ!G692:G769)</f>
        <v>106702458.69000004</v>
      </c>
      <c r="G4" s="611">
        <f>-SUM(Ucto_HK_summ!H692:H769)</f>
        <v>121758961.49000004</v>
      </c>
      <c r="H4" s="457">
        <f>SUM(H5:H15)</f>
        <v>128133582.95118144</v>
      </c>
      <c r="I4" s="457">
        <f t="shared" ref="I4:U4" si="21">SUM(I5:I15)</f>
        <v>126843223.12661356</v>
      </c>
      <c r="J4" s="457">
        <f t="shared" si="21"/>
        <v>126931123.20901176</v>
      </c>
      <c r="K4" s="457">
        <f t="shared" si="21"/>
        <v>127038948.59428693</v>
      </c>
      <c r="L4" s="457">
        <f t="shared" si="21"/>
        <v>127639872.7458465</v>
      </c>
      <c r="M4" s="457">
        <f t="shared" si="21"/>
        <v>123548621.07087426</v>
      </c>
      <c r="N4" s="457">
        <f t="shared" si="21"/>
        <v>120093348.96306707</v>
      </c>
      <c r="O4" s="457">
        <f t="shared" si="21"/>
        <v>118403712.14131536</v>
      </c>
      <c r="P4" s="457">
        <f t="shared" si="21"/>
        <v>118436465.8698054</v>
      </c>
      <c r="Q4" s="457">
        <f t="shared" si="21"/>
        <v>118402721.06352061</v>
      </c>
      <c r="R4" s="457">
        <f t="shared" si="21"/>
        <v>118399099.1397683</v>
      </c>
      <c r="S4" s="457">
        <f t="shared" si="21"/>
        <v>118354697.98355296</v>
      </c>
      <c r="T4" s="457">
        <f t="shared" si="21"/>
        <v>118216599.73427141</v>
      </c>
      <c r="U4" s="457">
        <f t="shared" si="21"/>
        <v>118006688.63126901</v>
      </c>
      <c r="V4" s="457">
        <f t="shared" ref="V4:AB4" si="22">SUM(V5:V15)</f>
        <v>118020428.82904331</v>
      </c>
      <c r="W4" s="457">
        <f t="shared" si="22"/>
        <v>118034169.0268176</v>
      </c>
      <c r="X4" s="457">
        <f t="shared" si="22"/>
        <v>118047909.22459191</v>
      </c>
      <c r="Y4" s="457">
        <f t="shared" si="22"/>
        <v>118061649.4223662</v>
      </c>
      <c r="Z4" s="457">
        <f t="shared" si="22"/>
        <v>118075389.62014049</v>
      </c>
      <c r="AA4" s="457">
        <f t="shared" si="22"/>
        <v>118089129.81791478</v>
      </c>
      <c r="AB4" s="457">
        <f t="shared" si="22"/>
        <v>118102870.01568907</v>
      </c>
      <c r="AC4" s="812"/>
    </row>
    <row r="5" spans="2:29">
      <c r="B5" s="594" t="s">
        <v>2839</v>
      </c>
      <c r="C5" s="458">
        <f>-(Ucto_HK_summ!D692+Ucto_HK_summ!D718+Ucto_HK_summ!D743)-SUM(Ucto_HK_summ!D702+Ucto_HK_summ!D754+Ucto_HK_summ!D728)</f>
        <v>50662794.759999998</v>
      </c>
      <c r="D5" s="458">
        <f>-(Ucto_HK_summ!E692+Ucto_HK_summ!E718+Ucto_HK_summ!E743)-SUM(Ucto_HK_summ!E702+Ucto_HK_summ!E754+Ucto_HK_summ!E728)</f>
        <v>54155291.370000005</v>
      </c>
      <c r="E5" s="458">
        <f>-(Ucto_HK_summ!F692+Ucto_HK_summ!F718+Ucto_HK_summ!F743)-SUM(Ucto_HK_summ!F702+Ucto_HK_summ!F754+Ucto_HK_summ!F728)</f>
        <v>55093378.289999999</v>
      </c>
      <c r="F5" s="458">
        <f>-(Ucto_HK_summ!G692+Ucto_HK_summ!G718+Ucto_HK_summ!G743)-SUM(Ucto_HK_summ!G702+Ucto_HK_summ!G754+Ucto_HK_summ!G728)</f>
        <v>61753343.170000002</v>
      </c>
      <c r="G5" s="607">
        <f>-(Ucto_HK_summ!H692+Ucto_HK_summ!H718+Ucto_HK_summ!H743)-SUM(Ucto_HK_summ!H702+Ucto_HK_summ!H754+Ucto_HK_summ!H728)</f>
        <v>72317008.75</v>
      </c>
      <c r="H5" s="69">
        <f t="shared" ref="H5:U5" si="23">H40*H68</f>
        <v>72336072.477030277</v>
      </c>
      <c r="I5" s="69">
        <f t="shared" si="23"/>
        <v>71610422.283361688</v>
      </c>
      <c r="J5" s="69">
        <f t="shared" si="23"/>
        <v>71667911.618767142</v>
      </c>
      <c r="K5" s="69">
        <f t="shared" si="23"/>
        <v>71736734.874350905</v>
      </c>
      <c r="L5" s="69">
        <f t="shared" si="23"/>
        <v>72085867.124888763</v>
      </c>
      <c r="M5" s="69">
        <f t="shared" si="23"/>
        <v>69767560.901250228</v>
      </c>
      <c r="N5" s="69">
        <f t="shared" si="23"/>
        <v>67810357.43266201</v>
      </c>
      <c r="O5" s="69">
        <f t="shared" si="23"/>
        <v>66856716.602821603</v>
      </c>
      <c r="P5" s="69">
        <f t="shared" si="23"/>
        <v>66882362.342672966</v>
      </c>
      <c r="Q5" s="69">
        <f t="shared" si="23"/>
        <v>66870189.95399522</v>
      </c>
      <c r="R5" s="69">
        <f t="shared" si="23"/>
        <v>66875145.78371457</v>
      </c>
      <c r="S5" s="69">
        <f t="shared" si="23"/>
        <v>66856901.879609019</v>
      </c>
      <c r="T5" s="69">
        <f t="shared" si="23"/>
        <v>66785344.958975196</v>
      </c>
      <c r="U5" s="69">
        <f t="shared" si="23"/>
        <v>66672909.931630798</v>
      </c>
      <c r="V5" s="69">
        <f t="shared" ref="V5:AB5" si="24">V40*V68</f>
        <v>66687714.422635593</v>
      </c>
      <c r="W5" s="69">
        <f t="shared" si="24"/>
        <v>66702518.913640387</v>
      </c>
      <c r="X5" s="69">
        <f t="shared" si="24"/>
        <v>66717323.40464519</v>
      </c>
      <c r="Y5" s="69">
        <f t="shared" si="24"/>
        <v>66732127.895649977</v>
      </c>
      <c r="Z5" s="69">
        <f t="shared" si="24"/>
        <v>66746932.386654779</v>
      </c>
      <c r="AA5" s="69">
        <f t="shared" si="24"/>
        <v>66761736.877659567</v>
      </c>
      <c r="AB5" s="69">
        <f t="shared" si="24"/>
        <v>66776541.368664362</v>
      </c>
      <c r="AC5" s="812"/>
    </row>
    <row r="6" spans="2:29">
      <c r="B6" s="594" t="s">
        <v>2823</v>
      </c>
      <c r="C6" s="458">
        <f>-(Ucto_HK_summ!D693+Ucto_HK_summ!D696+Ucto_HK_summ!D713+Ucto_HK_summ!D714+Ucto_HK_summ!D719+Ucto_HK_summ!D721+Ucto_HK_summ!D738+Ucto_HK_summ!D739+Ucto_HK_summ!D744+Ucto_HK_summ!D748)</f>
        <v>3014023.87</v>
      </c>
      <c r="D6" s="458">
        <f>-(Ucto_HK_summ!E693+Ucto_HK_summ!E696+Ucto_HK_summ!E713+Ucto_HK_summ!E714+Ucto_HK_summ!E719+Ucto_HK_summ!E721+Ucto_HK_summ!E738+Ucto_HK_summ!E739+Ucto_HK_summ!E744+Ucto_HK_summ!E748)</f>
        <v>2511468.35</v>
      </c>
      <c r="E6" s="458">
        <f>-(Ucto_HK_summ!F693+Ucto_HK_summ!F696+Ucto_HK_summ!F713+Ucto_HK_summ!F714+Ucto_HK_summ!F719+Ucto_HK_summ!F721+Ucto_HK_summ!F738+Ucto_HK_summ!F739+Ucto_HK_summ!F744+Ucto_HK_summ!F748)</f>
        <v>2418607.4700000002</v>
      </c>
      <c r="F6" s="458">
        <f>-(Ucto_HK_summ!G693+Ucto_HK_summ!G696+Ucto_HK_summ!G713+Ucto_HK_summ!G714+Ucto_HK_summ!G719+Ucto_HK_summ!G721+Ucto_HK_summ!G738+Ucto_HK_summ!G739+Ucto_HK_summ!G744+Ucto_HK_summ!G748)</f>
        <v>1911977.92</v>
      </c>
      <c r="G6" s="607">
        <f>-(Ucto_HK_summ!H693+Ucto_HK_summ!H696+Ucto_HK_summ!H713+Ucto_HK_summ!H714+Ucto_HK_summ!H719+Ucto_HK_summ!H721+Ucto_HK_summ!H738+Ucto_HK_summ!H739+Ucto_HK_summ!H744+Ucto_HK_summ!H748)</f>
        <v>1595269.98</v>
      </c>
      <c r="H6" s="69">
        <f>H50*H69</f>
        <v>2857592.3436642741</v>
      </c>
      <c r="I6" s="69">
        <f t="shared" ref="I6:U6" si="25">I50*I69</f>
        <v>2824309.4858764317</v>
      </c>
      <c r="J6" s="69">
        <f t="shared" si="25"/>
        <v>2821958.721184175</v>
      </c>
      <c r="K6" s="69">
        <f t="shared" si="25"/>
        <v>2820048.153173266</v>
      </c>
      <c r="L6" s="69">
        <f t="shared" si="25"/>
        <v>2829131.9788498697</v>
      </c>
      <c r="M6" s="69">
        <f t="shared" si="25"/>
        <v>2733656.4376620981</v>
      </c>
      <c r="N6" s="69">
        <f t="shared" si="25"/>
        <v>2652606.8269067449</v>
      </c>
      <c r="O6" s="69">
        <f t="shared" si="25"/>
        <v>2611003.7460183692</v>
      </c>
      <c r="P6" s="69">
        <f t="shared" si="25"/>
        <v>2607707.0294602294</v>
      </c>
      <c r="Q6" s="69">
        <f t="shared" si="25"/>
        <v>2602936.8488874156</v>
      </c>
      <c r="R6" s="69">
        <f t="shared" si="25"/>
        <v>2598835.7606104794</v>
      </c>
      <c r="S6" s="69">
        <f t="shared" si="25"/>
        <v>2593835.8677037316</v>
      </c>
      <c r="T6" s="69">
        <f t="shared" si="25"/>
        <v>2586775.2661699993</v>
      </c>
      <c r="U6" s="69">
        <f t="shared" si="25"/>
        <v>2578145.0490361718</v>
      </c>
      <c r="V6" s="69">
        <f t="shared" ref="V6:AB6" si="26">V50*V69</f>
        <v>2574443.1592044998</v>
      </c>
      <c r="W6" s="69">
        <f t="shared" si="26"/>
        <v>2570741.2693728278</v>
      </c>
      <c r="X6" s="69">
        <f t="shared" si="26"/>
        <v>2567039.3795411554</v>
      </c>
      <c r="Y6" s="69">
        <f t="shared" si="26"/>
        <v>2563337.4897094839</v>
      </c>
      <c r="Z6" s="69">
        <f t="shared" si="26"/>
        <v>2559635.5998778115</v>
      </c>
      <c r="AA6" s="69">
        <f t="shared" si="26"/>
        <v>2555933.7100461395</v>
      </c>
      <c r="AB6" s="69">
        <f t="shared" si="26"/>
        <v>2552231.8202144676</v>
      </c>
      <c r="AC6" s="812"/>
    </row>
    <row r="7" spans="2:29">
      <c r="B7" s="594" t="s">
        <v>2824</v>
      </c>
      <c r="C7" s="458">
        <f>-(Ucto_HK_summ!D697+Ucto_HK_summ!D698+Ucto_HK_summ!D723+Ucto_HK_summ!D724+Ucto_HK_summ!D749+Ucto_HK_summ!D750)</f>
        <v>4976702.7</v>
      </c>
      <c r="D7" s="458">
        <f>-(Ucto_HK_summ!E697+Ucto_HK_summ!E698+Ucto_HK_summ!E723+Ucto_HK_summ!E724+Ucto_HK_summ!E749+Ucto_HK_summ!E750)</f>
        <v>5329128.5</v>
      </c>
      <c r="E7" s="458">
        <f>-(Ucto_HK_summ!F697+Ucto_HK_summ!F698+Ucto_HK_summ!F723+Ucto_HK_summ!F724+Ucto_HK_summ!F749+Ucto_HK_summ!F750)</f>
        <v>6240939.9399999995</v>
      </c>
      <c r="F7" s="458">
        <f>-(Ucto_HK_summ!G697+Ucto_HK_summ!G698+Ucto_HK_summ!G723+Ucto_HK_summ!G724+Ucto_HK_summ!G749+Ucto_HK_summ!G750)</f>
        <v>8314690.3000000007</v>
      </c>
      <c r="G7" s="607">
        <f>-(Ucto_HK_summ!H697+Ucto_HK_summ!H698+Ucto_HK_summ!H723+Ucto_HK_summ!H724+Ucto_HK_summ!H749+Ucto_HK_summ!H750)</f>
        <v>8843158.2299999986</v>
      </c>
      <c r="H7" s="69">
        <f>H54*H71</f>
        <v>9412571.6731611099</v>
      </c>
      <c r="I7" s="69">
        <f t="shared" ref="I7:U7" si="27">I54*I71</f>
        <v>9316073.4536586031</v>
      </c>
      <c r="J7" s="69">
        <f t="shared" si="27"/>
        <v>9321477.1290908474</v>
      </c>
      <c r="K7" s="69">
        <f t="shared" si="27"/>
        <v>9328352.2161691356</v>
      </c>
      <c r="L7" s="69">
        <f t="shared" si="27"/>
        <v>9371666.3717459254</v>
      </c>
      <c r="M7" s="69">
        <f t="shared" si="27"/>
        <v>9068252.75881036</v>
      </c>
      <c r="N7" s="69">
        <f t="shared" si="27"/>
        <v>8811899.0998309869</v>
      </c>
      <c r="O7" s="69">
        <f t="shared" si="27"/>
        <v>8686042.5650055595</v>
      </c>
      <c r="P7" s="69">
        <f t="shared" si="27"/>
        <v>8687442.8760939334</v>
      </c>
      <c r="Q7" s="69">
        <f t="shared" si="27"/>
        <v>8683931.407273205</v>
      </c>
      <c r="R7" s="69">
        <f t="shared" si="27"/>
        <v>8682645.3182918113</v>
      </c>
      <c r="S7" s="69">
        <f t="shared" si="27"/>
        <v>8678348.363347834</v>
      </c>
      <c r="T7" s="69">
        <f t="shared" si="27"/>
        <v>8667134.5673303474</v>
      </c>
      <c r="U7" s="69">
        <f t="shared" si="27"/>
        <v>8650621.9322830606</v>
      </c>
      <c r="V7" s="69">
        <f t="shared" ref="V7:AB7" si="28">V54*V71</f>
        <v>8650621.9322830606</v>
      </c>
      <c r="W7" s="69">
        <f t="shared" si="28"/>
        <v>8650621.9322830606</v>
      </c>
      <c r="X7" s="69">
        <f t="shared" si="28"/>
        <v>8650621.9322830606</v>
      </c>
      <c r="Y7" s="69">
        <f t="shared" si="28"/>
        <v>8650621.9322830606</v>
      </c>
      <c r="Z7" s="69">
        <f t="shared" si="28"/>
        <v>8650621.9322830606</v>
      </c>
      <c r="AA7" s="69">
        <f t="shared" si="28"/>
        <v>8650621.9322830606</v>
      </c>
      <c r="AB7" s="69">
        <f t="shared" si="28"/>
        <v>8650621.9322830606</v>
      </c>
      <c r="AC7" s="812"/>
    </row>
    <row r="8" spans="2:29">
      <c r="B8" s="594" t="s">
        <v>2825</v>
      </c>
      <c r="C8" s="458">
        <f>-(Ucto_HK_summ!D699+Ucto_HK_summ!D725+Ucto_HK_summ!D751)</f>
        <v>288874.31</v>
      </c>
      <c r="D8" s="458">
        <f>-(Ucto_HK_summ!E699+Ucto_HK_summ!E725+Ucto_HK_summ!E751)</f>
        <v>210225.91</v>
      </c>
      <c r="E8" s="458">
        <f>-(Ucto_HK_summ!F699+Ucto_HK_summ!F725+Ucto_HK_summ!F751)</f>
        <v>153734.39000000001</v>
      </c>
      <c r="F8" s="458">
        <f>-(Ucto_HK_summ!G699+Ucto_HK_summ!G725+Ucto_HK_summ!G751)</f>
        <v>142811.92000000001</v>
      </c>
      <c r="G8" s="607">
        <f>-(Ucto_HK_summ!H699+Ucto_HK_summ!H725+Ucto_HK_summ!H751)</f>
        <v>145163.93</v>
      </c>
      <c r="H8" s="69">
        <f t="shared" ref="H8:U8" si="29">G8*(1+H78)</f>
        <v>148067.20859999998</v>
      </c>
      <c r="I8" s="69">
        <f t="shared" si="29"/>
        <v>148067.20859999998</v>
      </c>
      <c r="J8" s="69">
        <f t="shared" si="29"/>
        <v>148067.20859999998</v>
      </c>
      <c r="K8" s="69">
        <f t="shared" si="29"/>
        <v>148067.20859999998</v>
      </c>
      <c r="L8" s="69">
        <f t="shared" si="29"/>
        <v>148067.20859999998</v>
      </c>
      <c r="M8" s="69">
        <f t="shared" si="29"/>
        <v>148067.20859999998</v>
      </c>
      <c r="N8" s="69">
        <f t="shared" si="29"/>
        <v>148067.20859999998</v>
      </c>
      <c r="O8" s="69">
        <f t="shared" si="29"/>
        <v>148067.20859999998</v>
      </c>
      <c r="P8" s="69">
        <f t="shared" si="29"/>
        <v>148067.20859999998</v>
      </c>
      <c r="Q8" s="69">
        <f t="shared" si="29"/>
        <v>148067.20859999998</v>
      </c>
      <c r="R8" s="69">
        <f t="shared" si="29"/>
        <v>148067.20859999998</v>
      </c>
      <c r="S8" s="69">
        <f t="shared" si="29"/>
        <v>148067.20859999998</v>
      </c>
      <c r="T8" s="69">
        <f t="shared" si="29"/>
        <v>148067.20859999998</v>
      </c>
      <c r="U8" s="69">
        <f t="shared" si="29"/>
        <v>148067.20859999998</v>
      </c>
      <c r="V8" s="69">
        <f t="shared" ref="V8:AB8" si="30">U8*(1+V78)</f>
        <v>148067.20859999998</v>
      </c>
      <c r="W8" s="69">
        <f t="shared" si="30"/>
        <v>148067.20859999998</v>
      </c>
      <c r="X8" s="69">
        <f t="shared" si="30"/>
        <v>148067.20859999998</v>
      </c>
      <c r="Y8" s="69">
        <f t="shared" si="30"/>
        <v>148067.20859999998</v>
      </c>
      <c r="Z8" s="69">
        <f t="shared" si="30"/>
        <v>148067.20859999998</v>
      </c>
      <c r="AA8" s="69">
        <f t="shared" si="30"/>
        <v>148067.20859999998</v>
      </c>
      <c r="AB8" s="69">
        <f t="shared" si="30"/>
        <v>148067.20859999998</v>
      </c>
      <c r="AC8" s="812"/>
    </row>
    <row r="9" spans="2:29">
      <c r="B9" s="594" t="s">
        <v>2826</v>
      </c>
      <c r="C9" s="458">
        <f>-(Ucto_HK_summ!D700+Ucto_HK_summ!D726+Ucto_HK_summ!D752)</f>
        <v>686131.66</v>
      </c>
      <c r="D9" s="458">
        <f>-(Ucto_HK_summ!E700+Ucto_HK_summ!E726+Ucto_HK_summ!E752)</f>
        <v>730338.22</v>
      </c>
      <c r="E9" s="458">
        <f>-(Ucto_HK_summ!F700+Ucto_HK_summ!F726+Ucto_HK_summ!F752)</f>
        <v>732250.22</v>
      </c>
      <c r="F9" s="458">
        <f>-(Ucto_HK_summ!G700+Ucto_HK_summ!G726+Ucto_HK_summ!G752)</f>
        <v>634793.66</v>
      </c>
      <c r="G9" s="607">
        <f>-(Ucto_HK_summ!H700+Ucto_HK_summ!H726+Ucto_HK_summ!H752)</f>
        <v>665365.01</v>
      </c>
      <c r="H9" s="69">
        <f t="shared" ref="H9:U9" si="31">G9*(1+H77)</f>
        <v>678672.31020000007</v>
      </c>
      <c r="I9" s="69">
        <f t="shared" si="31"/>
        <v>678672.31020000007</v>
      </c>
      <c r="J9" s="69">
        <f t="shared" si="31"/>
        <v>678672.31020000007</v>
      </c>
      <c r="K9" s="69">
        <f t="shared" si="31"/>
        <v>678672.31020000007</v>
      </c>
      <c r="L9" s="69">
        <f t="shared" si="31"/>
        <v>678672.31020000007</v>
      </c>
      <c r="M9" s="69">
        <f t="shared" si="31"/>
        <v>678672.31020000007</v>
      </c>
      <c r="N9" s="69">
        <f t="shared" si="31"/>
        <v>678672.31020000007</v>
      </c>
      <c r="O9" s="69">
        <f t="shared" si="31"/>
        <v>678672.31020000007</v>
      </c>
      <c r="P9" s="69">
        <f t="shared" si="31"/>
        <v>678672.31020000007</v>
      </c>
      <c r="Q9" s="69">
        <f t="shared" si="31"/>
        <v>678672.31020000007</v>
      </c>
      <c r="R9" s="69">
        <f t="shared" si="31"/>
        <v>678672.31020000007</v>
      </c>
      <c r="S9" s="69">
        <f t="shared" si="31"/>
        <v>678672.31020000007</v>
      </c>
      <c r="T9" s="69">
        <f t="shared" si="31"/>
        <v>678672.31020000007</v>
      </c>
      <c r="U9" s="69">
        <f t="shared" si="31"/>
        <v>678672.31020000007</v>
      </c>
      <c r="V9" s="69">
        <f t="shared" ref="V9:AB9" si="32">U9*(1+V77)</f>
        <v>678672.31020000007</v>
      </c>
      <c r="W9" s="69">
        <f t="shared" si="32"/>
        <v>678672.31020000007</v>
      </c>
      <c r="X9" s="69">
        <f t="shared" si="32"/>
        <v>678672.31020000007</v>
      </c>
      <c r="Y9" s="69">
        <f t="shared" si="32"/>
        <v>678672.31020000007</v>
      </c>
      <c r="Z9" s="69">
        <f t="shared" si="32"/>
        <v>678672.31020000007</v>
      </c>
      <c r="AA9" s="69">
        <f t="shared" si="32"/>
        <v>678672.31020000007</v>
      </c>
      <c r="AB9" s="69">
        <f t="shared" si="32"/>
        <v>678672.31020000007</v>
      </c>
      <c r="AC9" s="812"/>
    </row>
    <row r="10" spans="2:29">
      <c r="B10" s="594" t="s">
        <v>2827</v>
      </c>
      <c r="C10" s="458">
        <f>-SUM(Ucto_HK_summ!D703:D704,Ucto_HK_summ!D729:D730,Ucto_HK_summ!D755:D756)</f>
        <v>10986534.77</v>
      </c>
      <c r="D10" s="458">
        <f>-SUM(Ucto_HK_summ!E703:E704,Ucto_HK_summ!E729:E730,Ucto_HK_summ!E755:E756)</f>
        <v>12459451.75</v>
      </c>
      <c r="E10" s="458">
        <f>-SUM(Ucto_HK_summ!F703:F704,Ucto_HK_summ!F729:F730,Ucto_HK_summ!F755:F756)</f>
        <v>11703576.99</v>
      </c>
      <c r="F10" s="458">
        <f>-SUM(Ucto_HK_summ!G703:G704,Ucto_HK_summ!G729:G730,Ucto_HK_summ!G755:G756)</f>
        <v>11116342.190000001</v>
      </c>
      <c r="G10" s="607">
        <f>-SUM(Ucto_HK_summ!H703:H704,Ucto_HK_summ!H729:H730,Ucto_HK_summ!H755:H756)</f>
        <v>14096753.570000002</v>
      </c>
      <c r="H10" s="69">
        <f>H55*H70</f>
        <v>15004447.493247533</v>
      </c>
      <c r="I10" s="69">
        <f t="shared" ref="I10:U10" si="33">I55*I70</f>
        <v>14850621.045174286</v>
      </c>
      <c r="J10" s="69">
        <f t="shared" si="33"/>
        <v>14859234.967820404</v>
      </c>
      <c r="K10" s="69">
        <f t="shared" si="33"/>
        <v>14870194.446978671</v>
      </c>
      <c r="L10" s="69">
        <f t="shared" si="33"/>
        <v>14939240.930302607</v>
      </c>
      <c r="M10" s="69">
        <f t="shared" si="33"/>
        <v>14455573.577520657</v>
      </c>
      <c r="N10" s="69">
        <f t="shared" si="33"/>
        <v>14046923.832326621</v>
      </c>
      <c r="O10" s="69">
        <f t="shared" si="33"/>
        <v>13846297.708665349</v>
      </c>
      <c r="P10" s="69">
        <f t="shared" si="33"/>
        <v>13848529.92478325</v>
      </c>
      <c r="Q10" s="69">
        <f t="shared" si="33"/>
        <v>13842932.341957398</v>
      </c>
      <c r="R10" s="69">
        <f t="shared" si="33"/>
        <v>13840882.205686141</v>
      </c>
      <c r="S10" s="69">
        <f t="shared" si="33"/>
        <v>13834032.490531076</v>
      </c>
      <c r="T10" s="69">
        <f t="shared" si="33"/>
        <v>13816156.736764004</v>
      </c>
      <c r="U10" s="69">
        <f t="shared" si="33"/>
        <v>13789834.178578481</v>
      </c>
      <c r="V10" s="69">
        <f t="shared" ref="V10:AB10" si="34">V55*V70</f>
        <v>13789834.178578481</v>
      </c>
      <c r="W10" s="69">
        <f t="shared" si="34"/>
        <v>13789834.178578481</v>
      </c>
      <c r="X10" s="69">
        <f t="shared" si="34"/>
        <v>13789834.178578481</v>
      </c>
      <c r="Y10" s="69">
        <f t="shared" si="34"/>
        <v>13789834.178578481</v>
      </c>
      <c r="Z10" s="69">
        <f t="shared" si="34"/>
        <v>13789834.178578481</v>
      </c>
      <c r="AA10" s="69">
        <f t="shared" si="34"/>
        <v>13789834.178578481</v>
      </c>
      <c r="AB10" s="69">
        <f t="shared" si="34"/>
        <v>13789834.178578481</v>
      </c>
      <c r="AC10" s="812"/>
    </row>
    <row r="11" spans="2:29">
      <c r="B11" s="594" t="s">
        <v>1180</v>
      </c>
      <c r="C11" s="458">
        <f>-SUM(Ucto_HK_summ!D708:D711,Ucto_HK_summ!D735:D736,Ucto_HK_summ!D761:D763)</f>
        <v>3759084.5100000002</v>
      </c>
      <c r="D11" s="458">
        <f>-SUM(Ucto_HK_summ!E708:E711,Ucto_HK_summ!E735:E736,Ucto_HK_summ!E761:E763)</f>
        <v>5260319.33</v>
      </c>
      <c r="E11" s="458">
        <f>-SUM(Ucto_HK_summ!F708:F711,Ucto_HK_summ!F735:F736,Ucto_HK_summ!F761:F763)</f>
        <v>7751300.5600000005</v>
      </c>
      <c r="F11" s="458">
        <f>-SUM(Ucto_HK_summ!G708:G711,Ucto_HK_summ!G735:G736,Ucto_HK_summ!G761:G763)</f>
        <v>5844649.04</v>
      </c>
      <c r="G11" s="607">
        <f>-SUM(Ucto_HK_summ!H708:H711,Ucto_HK_summ!H735:H736,Ucto_HK_summ!H761:H763)</f>
        <v>6314840.1800000006</v>
      </c>
      <c r="H11" s="69">
        <f t="shared" ref="H11:U11" si="35">SUM(H$5:H$6)*H90</f>
        <v>6663650.0751126623</v>
      </c>
      <c r="I11" s="69">
        <f t="shared" si="35"/>
        <v>6596393.5542687504</v>
      </c>
      <c r="J11" s="69">
        <f t="shared" si="35"/>
        <v>6601279.9252383104</v>
      </c>
      <c r="K11" s="69">
        <f t="shared" si="35"/>
        <v>6607209.7164864698</v>
      </c>
      <c r="L11" s="69">
        <f t="shared" si="35"/>
        <v>6638954.7656055037</v>
      </c>
      <c r="M11" s="69">
        <f t="shared" si="35"/>
        <v>6425045.8269090652</v>
      </c>
      <c r="N11" s="69">
        <f t="shared" si="35"/>
        <v>6244416.1778867142</v>
      </c>
      <c r="O11" s="69">
        <f t="shared" si="35"/>
        <v>6156217.8279818688</v>
      </c>
      <c r="P11" s="69">
        <f t="shared" si="35"/>
        <v>6158198.3947104849</v>
      </c>
      <c r="Q11" s="69">
        <f t="shared" si="35"/>
        <v>6156696.9470402822</v>
      </c>
      <c r="R11" s="69">
        <f t="shared" si="35"/>
        <v>6156772.6940848045</v>
      </c>
      <c r="S11" s="69">
        <f t="shared" si="35"/>
        <v>6154712.832657964</v>
      </c>
      <c r="T11" s="69">
        <f t="shared" si="35"/>
        <v>6147745.7609140035</v>
      </c>
      <c r="U11" s="69">
        <f t="shared" si="35"/>
        <v>6137016.9790760046</v>
      </c>
      <c r="V11" s="69">
        <f t="shared" ref="V11:AB11" si="36">SUM(V$5:V$6)*V90</f>
        <v>6138000.8897461081</v>
      </c>
      <c r="W11" s="69">
        <f t="shared" si="36"/>
        <v>6138984.8004162107</v>
      </c>
      <c r="X11" s="69">
        <f t="shared" si="36"/>
        <v>6139968.7110863151</v>
      </c>
      <c r="Y11" s="69">
        <f t="shared" si="36"/>
        <v>6140952.6217564177</v>
      </c>
      <c r="Z11" s="69">
        <f t="shared" si="36"/>
        <v>6141936.5324265193</v>
      </c>
      <c r="AA11" s="69">
        <f t="shared" si="36"/>
        <v>6142920.4430966219</v>
      </c>
      <c r="AB11" s="69">
        <f t="shared" si="36"/>
        <v>6143904.3537667263</v>
      </c>
      <c r="AC11" s="812"/>
    </row>
    <row r="12" spans="2:29">
      <c r="B12" s="594" t="s">
        <v>1172</v>
      </c>
      <c r="C12" s="458">
        <f>-SUM(Ucto_HK_summ!D705:D707,Ucto_HK_summ!D731:D733,Ucto_HK_summ!D758:D759)</f>
        <v>1878317.5799999998</v>
      </c>
      <c r="D12" s="458">
        <f>-SUM(Ucto_HK_summ!E705:E707,Ucto_HK_summ!E731:E733,Ucto_HK_summ!E758:E759)</f>
        <v>2001585.6900000002</v>
      </c>
      <c r="E12" s="458">
        <f>-SUM(Ucto_HK_summ!F705:F707,Ucto_HK_summ!F731:F733,Ucto_HK_summ!F758:F759)</f>
        <v>2142621.84</v>
      </c>
      <c r="F12" s="458">
        <f>-SUM(Ucto_HK_summ!G705:G707,Ucto_HK_summ!G731:G733,Ucto_HK_summ!G758:G759)</f>
        <v>1663458.2500000002</v>
      </c>
      <c r="G12" s="607">
        <f>-SUM(Ucto_HK_summ!H705:H707,Ucto_HK_summ!H731:H733,Ucto_HK_summ!H758:H759)</f>
        <v>1729932.2899999998</v>
      </c>
      <c r="H12" s="69">
        <f t="shared" ref="H12:U12" si="37">SUM(H$5:H$6)*H91</f>
        <v>1862298.0792064152</v>
      </c>
      <c r="I12" s="69">
        <f t="shared" si="37"/>
        <v>1843501.8206739463</v>
      </c>
      <c r="J12" s="69">
        <f t="shared" si="37"/>
        <v>1844867.4204831091</v>
      </c>
      <c r="K12" s="69">
        <f t="shared" si="37"/>
        <v>1846524.6261777459</v>
      </c>
      <c r="L12" s="69">
        <f t="shared" si="37"/>
        <v>1855396.4521788568</v>
      </c>
      <c r="M12" s="69">
        <f t="shared" si="37"/>
        <v>1795615.070928473</v>
      </c>
      <c r="N12" s="69">
        <f t="shared" si="37"/>
        <v>1745134.2916813174</v>
      </c>
      <c r="O12" s="69">
        <f t="shared" si="37"/>
        <v>1720485.395691053</v>
      </c>
      <c r="P12" s="69">
        <f t="shared" si="37"/>
        <v>1721038.9069908462</v>
      </c>
      <c r="Q12" s="69">
        <f t="shared" si="37"/>
        <v>1720619.2956546072</v>
      </c>
      <c r="R12" s="69">
        <f t="shared" si="37"/>
        <v>1720640.464769721</v>
      </c>
      <c r="S12" s="69">
        <f t="shared" si="37"/>
        <v>1720064.7928878851</v>
      </c>
      <c r="T12" s="69">
        <f t="shared" si="37"/>
        <v>1718117.6972000536</v>
      </c>
      <c r="U12" s="69">
        <f t="shared" si="37"/>
        <v>1715119.3119931603</v>
      </c>
      <c r="V12" s="69">
        <f t="shared" ref="V12:AB12" si="38">SUM(V$5:V$6)*V91</f>
        <v>1715394.2866587553</v>
      </c>
      <c r="W12" s="69">
        <f t="shared" si="38"/>
        <v>1715669.2613243496</v>
      </c>
      <c r="X12" s="69">
        <f t="shared" si="38"/>
        <v>1715944.2359899445</v>
      </c>
      <c r="Y12" s="69">
        <f t="shared" si="38"/>
        <v>1716219.2106555391</v>
      </c>
      <c r="Z12" s="69">
        <f t="shared" si="38"/>
        <v>1716494.1853211334</v>
      </c>
      <c r="AA12" s="69">
        <f t="shared" si="38"/>
        <v>1716769.1599867279</v>
      </c>
      <c r="AB12" s="69">
        <f t="shared" si="38"/>
        <v>1717044.1346523226</v>
      </c>
      <c r="AC12" s="812"/>
    </row>
    <row r="13" spans="2:29">
      <c r="B13" s="594" t="s">
        <v>1173</v>
      </c>
      <c r="C13" s="458">
        <f>-SUM(Ucto_HK_summ!D712:D715,Ucto_HK_summ!D737:D740,Ucto_HK_summ!D764:D767)</f>
        <v>6693327.0700000003</v>
      </c>
      <c r="D13" s="458">
        <f>-SUM(Ucto_HK_summ!E712:E715,Ucto_HK_summ!E737:E740,Ucto_HK_summ!E764:E767)</f>
        <v>6514091.75</v>
      </c>
      <c r="E13" s="458">
        <f>-SUM(Ucto_HK_summ!F712:F715,Ucto_HK_summ!F737:F740,Ucto_HK_summ!F764:F767)</f>
        <v>6576496.5300000003</v>
      </c>
      <c r="F13" s="458">
        <f>-SUM(Ucto_HK_summ!G712:G715,Ucto_HK_summ!G737:G740,Ucto_HK_summ!G764:G767)</f>
        <v>5332807.8899999997</v>
      </c>
      <c r="G13" s="607">
        <f>-SUM(Ucto_HK_summ!H712:H715,Ucto_HK_summ!H737:H740,Ucto_HK_summ!H764:H767)</f>
        <v>5367031.4800000004</v>
      </c>
      <c r="H13" s="69">
        <f t="shared" ref="H13:U13" si="39">SUM(H$5:H$6)*H92</f>
        <v>8621118.653695073</v>
      </c>
      <c r="I13" s="69">
        <f t="shared" si="39"/>
        <v>8534105.3141747992</v>
      </c>
      <c r="J13" s="69">
        <f t="shared" si="39"/>
        <v>8540427.0722863004</v>
      </c>
      <c r="K13" s="69">
        <f t="shared" si="39"/>
        <v>8548098.7587292846</v>
      </c>
      <c r="L13" s="69">
        <f t="shared" si="39"/>
        <v>8589169.0178271756</v>
      </c>
      <c r="M13" s="69">
        <f t="shared" si="39"/>
        <v>8312423.6424246719</v>
      </c>
      <c r="N13" s="69">
        <f t="shared" si="39"/>
        <v>8078733.4547581682</v>
      </c>
      <c r="O13" s="69">
        <f t="shared" si="39"/>
        <v>7964626.5567339752</v>
      </c>
      <c r="P13" s="69">
        <f t="shared" si="39"/>
        <v>7967188.9212904116</v>
      </c>
      <c r="Q13" s="69">
        <f t="shared" si="39"/>
        <v>7965246.4185522385</v>
      </c>
      <c r="R13" s="69">
        <f t="shared" si="39"/>
        <v>7965344.4165339945</v>
      </c>
      <c r="S13" s="69">
        <f t="shared" si="39"/>
        <v>7962679.464207449</v>
      </c>
      <c r="T13" s="69">
        <f t="shared" si="39"/>
        <v>7953665.7927966686</v>
      </c>
      <c r="U13" s="69">
        <f t="shared" si="39"/>
        <v>7939785.3968886593</v>
      </c>
      <c r="V13" s="69">
        <f t="shared" ref="V13:AB13" si="40">SUM(V$5:V$6)*V92</f>
        <v>7941058.3344733147</v>
      </c>
      <c r="W13" s="69">
        <f t="shared" si="40"/>
        <v>7942331.2720579682</v>
      </c>
      <c r="X13" s="69">
        <f t="shared" si="40"/>
        <v>7943604.2096426236</v>
      </c>
      <c r="Y13" s="69">
        <f t="shared" si="40"/>
        <v>7944877.147227277</v>
      </c>
      <c r="Z13" s="69">
        <f t="shared" si="40"/>
        <v>7946150.0848119305</v>
      </c>
      <c r="AA13" s="69">
        <f t="shared" si="40"/>
        <v>7947423.022396584</v>
      </c>
      <c r="AB13" s="69">
        <f t="shared" si="40"/>
        <v>7948695.9599812394</v>
      </c>
      <c r="AC13" s="812"/>
    </row>
    <row r="14" spans="2:29">
      <c r="B14" s="594" t="s">
        <v>2840</v>
      </c>
      <c r="C14" s="458">
        <f>-SUM(Ucto_HK_summ!D716,Ucto_HK_summ!D741,Ucto_HK_summ!D768)</f>
        <v>1881640.0100000002</v>
      </c>
      <c r="D14" s="458">
        <f>-SUM(Ucto_HK_summ!E716,Ucto_HK_summ!E741,Ucto_HK_summ!E768)</f>
        <v>1475792.0799999998</v>
      </c>
      <c r="E14" s="458">
        <f>-SUM(Ucto_HK_summ!F716,Ucto_HK_summ!F741,Ucto_HK_summ!F768)</f>
        <v>7669598.5899999999</v>
      </c>
      <c r="F14" s="458">
        <f>-SUM(Ucto_HK_summ!G716,Ucto_HK_summ!G741,Ucto_HK_summ!G768)</f>
        <v>9837737.2999999989</v>
      </c>
      <c r="G14" s="607">
        <f>-SUM(Ucto_HK_summ!H716,Ucto_HK_summ!H741,Ucto_HK_summ!H768)</f>
        <v>10456762.280000001</v>
      </c>
      <c r="H14" s="69">
        <f t="shared" ref="H14:U14" si="41">H93*H10</f>
        <v>9832728.0143726654</v>
      </c>
      <c r="I14" s="69">
        <f t="shared" si="41"/>
        <v>9731922.3281918205</v>
      </c>
      <c r="J14" s="69">
        <f t="shared" si="41"/>
        <v>9737567.2117208038</v>
      </c>
      <c r="K14" s="69">
        <f t="shared" si="41"/>
        <v>9744749.1874510609</v>
      </c>
      <c r="L14" s="69">
        <f t="shared" si="41"/>
        <v>9789996.7909485381</v>
      </c>
      <c r="M14" s="69">
        <f t="shared" si="41"/>
        <v>9473039.4666967262</v>
      </c>
      <c r="N14" s="69">
        <f t="shared" si="41"/>
        <v>9205242.7484607548</v>
      </c>
      <c r="O14" s="69">
        <f t="shared" si="41"/>
        <v>9073768.2568190619</v>
      </c>
      <c r="P14" s="69">
        <f t="shared" si="41"/>
        <v>9075231.0746913292</v>
      </c>
      <c r="Q14" s="69">
        <f t="shared" si="41"/>
        <v>9071562.861683866</v>
      </c>
      <c r="R14" s="69">
        <f t="shared" si="41"/>
        <v>9070219.3645403199</v>
      </c>
      <c r="S14" s="69">
        <f t="shared" si="41"/>
        <v>9065730.6030497029</v>
      </c>
      <c r="T14" s="69">
        <f t="shared" si="41"/>
        <v>9054016.2480277922</v>
      </c>
      <c r="U14" s="69">
        <f t="shared" si="41"/>
        <v>9036766.5255440269</v>
      </c>
      <c r="V14" s="69">
        <f t="shared" ref="V14:AB14" si="42">V93*V10</f>
        <v>9036766.5255440269</v>
      </c>
      <c r="W14" s="69">
        <f t="shared" si="42"/>
        <v>9036766.5255440269</v>
      </c>
      <c r="X14" s="69">
        <f t="shared" si="42"/>
        <v>9036766.5255440269</v>
      </c>
      <c r="Y14" s="69">
        <f t="shared" si="42"/>
        <v>9036766.5255440269</v>
      </c>
      <c r="Z14" s="69">
        <f t="shared" si="42"/>
        <v>9036766.5255440269</v>
      </c>
      <c r="AA14" s="69">
        <f t="shared" si="42"/>
        <v>9036766.5255440269</v>
      </c>
      <c r="AB14" s="69">
        <f t="shared" si="42"/>
        <v>9036766.5255440269</v>
      </c>
      <c r="AC14" s="812"/>
    </row>
    <row r="15" spans="2:29" s="70" customFormat="1">
      <c r="B15" s="595" t="s">
        <v>2832</v>
      </c>
      <c r="C15" s="458">
        <f>C4-SUM(C5:C14)</f>
        <v>577274.04000005126</v>
      </c>
      <c r="D15" s="458">
        <f t="shared" ref="D15:G15" si="43">D4-SUM(D5:D14)</f>
        <v>214487.22000002861</v>
      </c>
      <c r="E15" s="458">
        <f t="shared" si="43"/>
        <v>37567.349999964237</v>
      </c>
      <c r="F15" s="458">
        <f t="shared" si="43"/>
        <v>149847.05000004172</v>
      </c>
      <c r="G15" s="607">
        <f t="shared" si="43"/>
        <v>227675.78999999166</v>
      </c>
      <c r="H15" s="70">
        <f t="shared" ref="H15:U15" si="44">SUM(H5:H6)*H81</f>
        <v>716364.62289142818</v>
      </c>
      <c r="I15" s="70">
        <f t="shared" si="44"/>
        <v>709134.32243323314</v>
      </c>
      <c r="J15" s="70">
        <f t="shared" si="44"/>
        <v>709659.62362063944</v>
      </c>
      <c r="K15" s="70">
        <f t="shared" si="44"/>
        <v>710297.09597039223</v>
      </c>
      <c r="L15" s="70">
        <f t="shared" si="44"/>
        <v>713709.79469924048</v>
      </c>
      <c r="M15" s="70">
        <f t="shared" si="44"/>
        <v>690713.86987199204</v>
      </c>
      <c r="N15" s="70">
        <f t="shared" si="44"/>
        <v>671295.57975376118</v>
      </c>
      <c r="O15" s="70">
        <f t="shared" si="44"/>
        <v>661813.9627785238</v>
      </c>
      <c r="P15" s="70">
        <f t="shared" si="44"/>
        <v>662026.88031195721</v>
      </c>
      <c r="Q15" s="70">
        <f t="shared" si="44"/>
        <v>661865.46967635478</v>
      </c>
      <c r="R15" s="70">
        <f t="shared" si="44"/>
        <v>661873.61273644527</v>
      </c>
      <c r="S15" s="70">
        <f t="shared" si="44"/>
        <v>661652.17075830814</v>
      </c>
      <c r="T15" s="70">
        <f t="shared" si="44"/>
        <v>660903.18729335105</v>
      </c>
      <c r="U15" s="70">
        <f t="shared" si="44"/>
        <v>659749.80743864237</v>
      </c>
      <c r="V15" s="70">
        <f t="shared" ref="V15:AB15" si="45">SUM(V5:V6)*V81</f>
        <v>659855.58111946343</v>
      </c>
      <c r="W15" s="70">
        <f t="shared" si="45"/>
        <v>659961.35480028426</v>
      </c>
      <c r="X15" s="70">
        <f t="shared" si="45"/>
        <v>660067.1284811052</v>
      </c>
      <c r="Y15" s="70">
        <f t="shared" si="45"/>
        <v>660172.90216192603</v>
      </c>
      <c r="Z15" s="70">
        <f t="shared" si="45"/>
        <v>660278.67584274698</v>
      </c>
      <c r="AA15" s="70">
        <f t="shared" si="45"/>
        <v>660384.4495235678</v>
      </c>
      <c r="AB15" s="70">
        <f t="shared" si="45"/>
        <v>660490.22320438875</v>
      </c>
      <c r="AC15" s="812"/>
    </row>
    <row r="16" spans="2:29" s="457" customFormat="1">
      <c r="B16" s="593" t="s">
        <v>2833</v>
      </c>
      <c r="C16" s="610">
        <f>-SUM(Ucto_HK_summ!D770:D783,Ucto_HK_summ!D789)</f>
        <v>1140608.98</v>
      </c>
      <c r="D16" s="610">
        <f>-SUM(Ucto_HK_summ!E770:E783,Ucto_HK_summ!E789)</f>
        <v>1205918.54</v>
      </c>
      <c r="E16" s="610">
        <f>-SUM(Ucto_HK_summ!F770:F783,Ucto_HK_summ!F789)</f>
        <v>1268033.4499999997</v>
      </c>
      <c r="F16" s="610">
        <f>-SUM(Ucto_HK_summ!G770:G783,Ucto_HK_summ!G789)</f>
        <v>1020028.4199999999</v>
      </c>
      <c r="G16" s="611">
        <f>-SUM(Ucto_HK_summ!H770:H783,Ucto_HK_summ!H789)</f>
        <v>1169458.5999999999</v>
      </c>
      <c r="H16" s="457">
        <f t="shared" ref="H16:U16" si="46">G16*(1+H79)</f>
        <v>1227931.5299999998</v>
      </c>
      <c r="I16" s="457">
        <f t="shared" si="46"/>
        <v>1227931.5299999998</v>
      </c>
      <c r="J16" s="457">
        <f t="shared" si="46"/>
        <v>1227931.5299999998</v>
      </c>
      <c r="K16" s="457">
        <f t="shared" si="46"/>
        <v>1227931.5299999998</v>
      </c>
      <c r="L16" s="457">
        <f t="shared" si="46"/>
        <v>1227931.5299999998</v>
      </c>
      <c r="M16" s="457">
        <f t="shared" si="46"/>
        <v>1227931.5299999998</v>
      </c>
      <c r="N16" s="457">
        <f t="shared" si="46"/>
        <v>1227931.5299999998</v>
      </c>
      <c r="O16" s="457">
        <f t="shared" si="46"/>
        <v>1227931.5299999998</v>
      </c>
      <c r="P16" s="457">
        <f t="shared" si="46"/>
        <v>1227931.5299999998</v>
      </c>
      <c r="Q16" s="457">
        <f t="shared" si="46"/>
        <v>1227931.5299999998</v>
      </c>
      <c r="R16" s="457">
        <f t="shared" si="46"/>
        <v>1227931.5299999998</v>
      </c>
      <c r="S16" s="457">
        <f t="shared" si="46"/>
        <v>1227931.5299999998</v>
      </c>
      <c r="T16" s="457">
        <f t="shared" si="46"/>
        <v>1227931.5299999998</v>
      </c>
      <c r="U16" s="457">
        <f t="shared" si="46"/>
        <v>1227931.5299999998</v>
      </c>
      <c r="V16" s="457">
        <f t="shared" ref="V16:AB16" si="47">U16*(1+V79)</f>
        <v>1227931.5299999998</v>
      </c>
      <c r="W16" s="457">
        <f t="shared" si="47"/>
        <v>1227931.5299999998</v>
      </c>
      <c r="X16" s="457">
        <f t="shared" si="47"/>
        <v>1227931.5299999998</v>
      </c>
      <c r="Y16" s="457">
        <f t="shared" si="47"/>
        <v>1227931.5299999998</v>
      </c>
      <c r="Z16" s="457">
        <f t="shared" si="47"/>
        <v>1227931.5299999998</v>
      </c>
      <c r="AA16" s="457">
        <f t="shared" si="47"/>
        <v>1227931.5299999998</v>
      </c>
      <c r="AB16" s="457">
        <f t="shared" si="47"/>
        <v>1227931.5299999998</v>
      </c>
      <c r="AC16" s="812"/>
    </row>
    <row r="17" spans="2:29" s="457" customFormat="1">
      <c r="B17" s="596" t="s">
        <v>2834</v>
      </c>
      <c r="C17" s="612">
        <f>-SUM(Ucto_HK_summ!D784:D788,Ucto_HK_summ!D790:D792)</f>
        <v>681109.39</v>
      </c>
      <c r="D17" s="612">
        <f>-SUM(Ucto_HK_summ!E784:E788,Ucto_HK_summ!E790:E792)</f>
        <v>682682.34</v>
      </c>
      <c r="E17" s="612">
        <f>-SUM(Ucto_HK_summ!F784:F788,Ucto_HK_summ!F790:F792)</f>
        <v>669683.57000000007</v>
      </c>
      <c r="F17" s="612">
        <f>-SUM(Ucto_HK_summ!G784:G788,Ucto_HK_summ!G790:G792)</f>
        <v>508071.43000000005</v>
      </c>
      <c r="G17" s="613">
        <f>-SUM(Ucto_HK_summ!H784:H788,Ucto_HK_summ!H790:H792)</f>
        <v>704156.95000000007</v>
      </c>
      <c r="H17" s="597">
        <f t="shared" ref="H17:U17" si="48">H80*H4</f>
        <v>853649.95682173676</v>
      </c>
      <c r="I17" s="597">
        <f t="shared" si="48"/>
        <v>877620.94490321504</v>
      </c>
      <c r="J17" s="597">
        <f t="shared" si="48"/>
        <v>910819.29646908247</v>
      </c>
      <c r="K17" s="597">
        <f t="shared" si="48"/>
        <v>944210.8794281705</v>
      </c>
      <c r="L17" s="597">
        <f t="shared" si="48"/>
        <v>981449.37011748808</v>
      </c>
      <c r="M17" s="597">
        <f t="shared" si="48"/>
        <v>981712.59243732935</v>
      </c>
      <c r="N17" s="597">
        <f t="shared" si="48"/>
        <v>985091.67769085744</v>
      </c>
      <c r="O17" s="597">
        <f t="shared" si="48"/>
        <v>1001632.7882864925</v>
      </c>
      <c r="P17" s="597">
        <f t="shared" si="48"/>
        <v>1032318.9993730831</v>
      </c>
      <c r="Q17" s="597">
        <f t="shared" si="48"/>
        <v>1062425.3397400477</v>
      </c>
      <c r="R17" s="597">
        <f t="shared" si="48"/>
        <v>1092792.3780653095</v>
      </c>
      <c r="S17" s="597">
        <f t="shared" si="48"/>
        <v>1122770.7047011498</v>
      </c>
      <c r="T17" s="597">
        <f t="shared" si="48"/>
        <v>1151813.3171647822</v>
      </c>
      <c r="U17" s="597">
        <f t="shared" si="48"/>
        <v>1180066.8863126901</v>
      </c>
      <c r="V17" s="597">
        <f t="shared" ref="V17:AB17" si="49">V80*V4</f>
        <v>1180204.2882904331</v>
      </c>
      <c r="W17" s="597">
        <f t="shared" si="49"/>
        <v>1180341.6902681761</v>
      </c>
      <c r="X17" s="597">
        <f t="shared" si="49"/>
        <v>1180479.0922459192</v>
      </c>
      <c r="Y17" s="597">
        <f t="shared" si="49"/>
        <v>1180616.494223662</v>
      </c>
      <c r="Z17" s="597">
        <f t="shared" si="49"/>
        <v>1180753.896201405</v>
      </c>
      <c r="AA17" s="597">
        <f t="shared" si="49"/>
        <v>1180891.2981791478</v>
      </c>
      <c r="AB17" s="597">
        <f t="shared" si="49"/>
        <v>1181028.7001568908</v>
      </c>
      <c r="AC17" s="812"/>
    </row>
    <row r="18" spans="2:29" s="457" customFormat="1">
      <c r="B18" s="598" t="s">
        <v>2841</v>
      </c>
      <c r="C18" s="608">
        <f>SUM(C19:C22)</f>
        <v>4311042.6699999468</v>
      </c>
      <c r="D18" s="608">
        <f t="shared" ref="D18:U18" si="50">SUM(D19:D22)</f>
        <v>4007646.3199999877</v>
      </c>
      <c r="E18" s="608">
        <f t="shared" si="50"/>
        <v>3926525.7900000326</v>
      </c>
      <c r="F18" s="608">
        <f t="shared" si="50"/>
        <v>3114758.7799999509</v>
      </c>
      <c r="G18" s="609">
        <f t="shared" si="50"/>
        <v>3859522.1099999668</v>
      </c>
      <c r="H18" s="598">
        <f t="shared" si="50"/>
        <v>4058806.6904900894</v>
      </c>
      <c r="I18" s="598">
        <f t="shared" si="50"/>
        <v>4052856.6733311396</v>
      </c>
      <c r="J18" s="598">
        <f t="shared" si="50"/>
        <v>4053275.7306826375</v>
      </c>
      <c r="K18" s="598">
        <f t="shared" si="50"/>
        <v>4059400.5642398354</v>
      </c>
      <c r="L18" s="598">
        <f t="shared" si="50"/>
        <v>4067967.6037485991</v>
      </c>
      <c r="M18" s="598">
        <f t="shared" si="50"/>
        <v>4054379.1488449369</v>
      </c>
      <c r="N18" s="598">
        <f t="shared" si="50"/>
        <v>4043576.3135428084</v>
      </c>
      <c r="O18" s="598">
        <f t="shared" si="50"/>
        <v>4041125.302291478</v>
      </c>
      <c r="P18" s="598">
        <f t="shared" si="50"/>
        <v>4047068.0236162702</v>
      </c>
      <c r="Q18" s="598">
        <f t="shared" si="50"/>
        <v>4052802.8180478401</v>
      </c>
      <c r="R18" s="598">
        <f t="shared" si="50"/>
        <v>4058806.6904900894</v>
      </c>
      <c r="S18" s="598">
        <f t="shared" si="50"/>
        <v>4056745.907605378</v>
      </c>
      <c r="T18" s="598">
        <f t="shared" si="50"/>
        <v>4056087.5043973066</v>
      </c>
      <c r="U18" s="598">
        <f t="shared" si="50"/>
        <v>4055098.6624215376</v>
      </c>
      <c r="V18" s="598">
        <f t="shared" ref="V18:AB18" si="51">SUM(V19:V22)</f>
        <v>4055180.3070743969</v>
      </c>
      <c r="W18" s="598">
        <f t="shared" si="51"/>
        <v>4055261.9517272562</v>
      </c>
      <c r="X18" s="598">
        <f t="shared" si="51"/>
        <v>4055343.5963801155</v>
      </c>
      <c r="Y18" s="598">
        <f t="shared" si="51"/>
        <v>4055425.2410329748</v>
      </c>
      <c r="Z18" s="598">
        <f t="shared" si="51"/>
        <v>4055506.8856858341</v>
      </c>
      <c r="AA18" s="598">
        <f t="shared" si="51"/>
        <v>4055588.5303386934</v>
      </c>
      <c r="AB18" s="598">
        <f t="shared" si="51"/>
        <v>4055670.1749915527</v>
      </c>
    </row>
    <row r="19" spans="2:29" s="552" customFormat="1">
      <c r="B19" s="552" t="s">
        <v>2835</v>
      </c>
      <c r="C19" s="458">
        <f>-SUM(Ucto_HK_summ!D793:D796)</f>
        <v>1975052.87</v>
      </c>
      <c r="D19" s="458">
        <f>-SUM(Ucto_HK_summ!E793:E796)</f>
        <v>1875839.3399999999</v>
      </c>
      <c r="E19" s="458">
        <f>-SUM(Ucto_HK_summ!F793:F796)</f>
        <v>1699993.51</v>
      </c>
      <c r="F19" s="458">
        <f>-SUM(Ucto_HK_summ!G793:G796)</f>
        <v>1558595.45</v>
      </c>
      <c r="G19" s="607">
        <f>-SUM(Ucto_HK_summ!H793:H796)</f>
        <v>2102520.69</v>
      </c>
      <c r="H19" s="552">
        <f t="shared" ref="H19:U19" si="52">G19*(1+H82)</f>
        <v>2102520.69</v>
      </c>
      <c r="I19" s="552">
        <f t="shared" si="52"/>
        <v>2102520.69</v>
      </c>
      <c r="J19" s="552">
        <f t="shared" si="52"/>
        <v>2102520.69</v>
      </c>
      <c r="K19" s="552">
        <f t="shared" si="52"/>
        <v>2102520.69</v>
      </c>
      <c r="L19" s="552">
        <f t="shared" si="52"/>
        <v>2102520.69</v>
      </c>
      <c r="M19" s="552">
        <f t="shared" si="52"/>
        <v>2102520.69</v>
      </c>
      <c r="N19" s="552">
        <f t="shared" si="52"/>
        <v>2102520.69</v>
      </c>
      <c r="O19" s="552">
        <f t="shared" si="52"/>
        <v>2102520.69</v>
      </c>
      <c r="P19" s="552">
        <f t="shared" si="52"/>
        <v>2102520.69</v>
      </c>
      <c r="Q19" s="552">
        <f t="shared" si="52"/>
        <v>2102520.69</v>
      </c>
      <c r="R19" s="552">
        <f t="shared" si="52"/>
        <v>2102520.69</v>
      </c>
      <c r="S19" s="552">
        <f t="shared" si="52"/>
        <v>2102520.69</v>
      </c>
      <c r="T19" s="552">
        <f t="shared" si="52"/>
        <v>2102520.69</v>
      </c>
      <c r="U19" s="552">
        <f t="shared" si="52"/>
        <v>2102520.69</v>
      </c>
      <c r="V19" s="552">
        <f t="shared" ref="V19:AB19" si="53">U19*(1+V82)</f>
        <v>2102520.69</v>
      </c>
      <c r="W19" s="552">
        <f t="shared" si="53"/>
        <v>2102520.69</v>
      </c>
      <c r="X19" s="552">
        <f t="shared" si="53"/>
        <v>2102520.69</v>
      </c>
      <c r="Y19" s="552">
        <f t="shared" si="53"/>
        <v>2102520.69</v>
      </c>
      <c r="Z19" s="552">
        <f t="shared" si="53"/>
        <v>2102520.69</v>
      </c>
      <c r="AA19" s="552">
        <f t="shared" si="53"/>
        <v>2102520.69</v>
      </c>
      <c r="AB19" s="552">
        <f t="shared" si="53"/>
        <v>2102520.69</v>
      </c>
      <c r="AC19" s="812"/>
    </row>
    <row r="20" spans="2:29">
      <c r="B20" s="552" t="s">
        <v>2836</v>
      </c>
      <c r="C20" s="458">
        <f>-Ucto_HK_summ!D800</f>
        <v>490717.27</v>
      </c>
      <c r="D20" s="458">
        <f>-Ucto_HK_summ!E800</f>
        <v>494393.17</v>
      </c>
      <c r="E20" s="458">
        <f>-Ucto_HK_summ!F800</f>
        <v>512111.62</v>
      </c>
      <c r="F20" s="458">
        <f>-Ucto_HK_summ!G800</f>
        <v>376364</v>
      </c>
      <c r="G20" s="607">
        <f>-Ucto_HK_summ!H800</f>
        <v>572405.43999999994</v>
      </c>
      <c r="H20" s="69">
        <f>H83*'PL"0"'!I17</f>
        <v>771690.02049012191</v>
      </c>
      <c r="I20" s="69">
        <f>I83*'PL"0"'!J17</f>
        <v>765740.00333117251</v>
      </c>
      <c r="J20" s="69">
        <f>J83*'PL"0"'!K17</f>
        <v>766159.06068267091</v>
      </c>
      <c r="K20" s="69">
        <f>K83*'PL"0"'!L17</f>
        <v>772283.89423986792</v>
      </c>
      <c r="L20" s="69">
        <f>L83*'PL"0"'!M17</f>
        <v>780850.93374863174</v>
      </c>
      <c r="M20" s="69">
        <f>M83*'PL"0"'!N17</f>
        <v>767262.47884496953</v>
      </c>
      <c r="N20" s="69">
        <f>N83*'PL"0"'!O17</f>
        <v>756459.64354284108</v>
      </c>
      <c r="O20" s="69">
        <f>O83*'PL"0"'!P17</f>
        <v>754008.63229151093</v>
      </c>
      <c r="P20" s="69">
        <f>P83*'PL"0"'!Q17</f>
        <v>759951.35361630353</v>
      </c>
      <c r="Q20" s="69">
        <f>Q83*'PL"0"'!R17</f>
        <v>765686.14804787317</v>
      </c>
      <c r="R20" s="69">
        <f>R83*'PL"0"'!S17</f>
        <v>771690.02049012191</v>
      </c>
      <c r="S20" s="69">
        <f>S83*'PL"0"'!T17</f>
        <v>769629.23760541133</v>
      </c>
      <c r="T20" s="69">
        <f>T83*'PL"0"'!U17</f>
        <v>768970.83439733984</v>
      </c>
      <c r="U20" s="69">
        <f>U83*'PL"0"'!V17</f>
        <v>767981.99242157082</v>
      </c>
      <c r="V20" s="69">
        <f>V83*'PL"0"'!W17</f>
        <v>768063.63707443012</v>
      </c>
      <c r="W20" s="69">
        <f>W83*'PL"0"'!X17</f>
        <v>768145.2817272892</v>
      </c>
      <c r="X20" s="69">
        <f>X83*'PL"0"'!Y17</f>
        <v>768226.92638014862</v>
      </c>
      <c r="Y20" s="69">
        <f>Y83*'PL"0"'!Z17</f>
        <v>768308.57103300793</v>
      </c>
      <c r="Z20" s="69">
        <f>Z83*'PL"0"'!AA17</f>
        <v>768390.21568586689</v>
      </c>
      <c r="AA20" s="69">
        <f>AA83*'PL"0"'!AB17</f>
        <v>768471.8603387262</v>
      </c>
      <c r="AB20" s="69">
        <f>AB83*'PL"0"'!AC17</f>
        <v>768553.50499158539</v>
      </c>
      <c r="AC20" s="812"/>
    </row>
    <row r="21" spans="2:29">
      <c r="B21" s="552" t="s">
        <v>1933</v>
      </c>
      <c r="C21" s="458">
        <f>-Ucto_HK_summ!D811-C4-C22-SUM(C19:C20)-C16-C17</f>
        <v>-5.343463271856308E-8</v>
      </c>
      <c r="D21" s="458">
        <f>-Ucto_HK_summ!E811-D4-D22-SUM(D19:D20)-D16-D17</f>
        <v>-1.2223608791828156E-8</v>
      </c>
      <c r="E21" s="458">
        <f>-Ucto_HK_summ!F811-E4-E22-SUM(E19:E20)-E16-E17</f>
        <v>3.2363459467887878E-8</v>
      </c>
      <c r="F21" s="458">
        <f>-Ucto_HK_summ!G811-F4-F22-SUM(F19:F20)-F16-F17</f>
        <v>-4.9476511776447296E-8</v>
      </c>
      <c r="G21" s="607">
        <f>-Ucto_HK_summ!H811-G4-G22-SUM(G19:G20)-G16-G17</f>
        <v>-3.2712705433368683E-8</v>
      </c>
      <c r="H21" s="69">
        <f>G21</f>
        <v>-3.2712705433368683E-8</v>
      </c>
      <c r="I21" s="69">
        <f t="shared" ref="I21:U21" si="54">H21</f>
        <v>-3.2712705433368683E-8</v>
      </c>
      <c r="J21" s="69">
        <f t="shared" si="54"/>
        <v>-3.2712705433368683E-8</v>
      </c>
      <c r="K21" s="69">
        <f t="shared" si="54"/>
        <v>-3.2712705433368683E-8</v>
      </c>
      <c r="L21" s="69">
        <f t="shared" si="54"/>
        <v>-3.2712705433368683E-8</v>
      </c>
      <c r="M21" s="69">
        <f t="shared" si="54"/>
        <v>-3.2712705433368683E-8</v>
      </c>
      <c r="N21" s="69">
        <f t="shared" si="54"/>
        <v>-3.2712705433368683E-8</v>
      </c>
      <c r="O21" s="69">
        <f t="shared" si="54"/>
        <v>-3.2712705433368683E-8</v>
      </c>
      <c r="P21" s="69">
        <f t="shared" si="54"/>
        <v>-3.2712705433368683E-8</v>
      </c>
      <c r="Q21" s="69">
        <f t="shared" si="54"/>
        <v>-3.2712705433368683E-8</v>
      </c>
      <c r="R21" s="69">
        <f t="shared" si="54"/>
        <v>-3.2712705433368683E-8</v>
      </c>
      <c r="S21" s="69">
        <f t="shared" si="54"/>
        <v>-3.2712705433368683E-8</v>
      </c>
      <c r="T21" s="69">
        <f t="shared" si="54"/>
        <v>-3.2712705433368683E-8</v>
      </c>
      <c r="U21" s="69">
        <f t="shared" si="54"/>
        <v>-3.2712705433368683E-8</v>
      </c>
      <c r="V21" s="69">
        <f t="shared" ref="V21" si="55">U21</f>
        <v>-3.2712705433368683E-8</v>
      </c>
      <c r="W21" s="69">
        <f t="shared" ref="W21" si="56">V21</f>
        <v>-3.2712705433368683E-8</v>
      </c>
      <c r="X21" s="69">
        <f t="shared" ref="X21" si="57">W21</f>
        <v>-3.2712705433368683E-8</v>
      </c>
      <c r="Y21" s="69">
        <f t="shared" ref="Y21" si="58">X21</f>
        <v>-3.2712705433368683E-8</v>
      </c>
      <c r="Z21" s="69">
        <f t="shared" ref="Z21" si="59">Y21</f>
        <v>-3.2712705433368683E-8</v>
      </c>
      <c r="AA21" s="69">
        <f t="shared" ref="AA21" si="60">Z21</f>
        <v>-3.2712705433368683E-8</v>
      </c>
      <c r="AB21" s="69">
        <f t="shared" ref="AB21" si="61">AA21</f>
        <v>-3.2712705433368683E-8</v>
      </c>
      <c r="AC21" s="812"/>
    </row>
    <row r="22" spans="2:29" s="457" customFormat="1">
      <c r="B22" s="552" t="s">
        <v>2831</v>
      </c>
      <c r="C22" s="458">
        <f>SUM(C23:C26)</f>
        <v>1845272.5300000003</v>
      </c>
      <c r="D22" s="458">
        <f t="shared" ref="D22:U22" si="62">SUM(D23:D26)</f>
        <v>1637413.81</v>
      </c>
      <c r="E22" s="458">
        <f t="shared" si="62"/>
        <v>1714420.6600000001</v>
      </c>
      <c r="F22" s="458">
        <f t="shared" si="62"/>
        <v>1179799.3300000003</v>
      </c>
      <c r="G22" s="607">
        <f t="shared" si="62"/>
        <v>1184595.9799999997</v>
      </c>
      <c r="H22" s="552">
        <f t="shared" si="62"/>
        <v>1184595.9799999997</v>
      </c>
      <c r="I22" s="552">
        <f t="shared" si="62"/>
        <v>1184595.9799999997</v>
      </c>
      <c r="J22" s="552">
        <f t="shared" si="62"/>
        <v>1184595.9799999997</v>
      </c>
      <c r="K22" s="552">
        <f t="shared" si="62"/>
        <v>1184595.9799999997</v>
      </c>
      <c r="L22" s="552">
        <f t="shared" si="62"/>
        <v>1184595.9799999997</v>
      </c>
      <c r="M22" s="552">
        <f t="shared" si="62"/>
        <v>1184595.9799999997</v>
      </c>
      <c r="N22" s="552">
        <f t="shared" si="62"/>
        <v>1184595.9799999997</v>
      </c>
      <c r="O22" s="552">
        <f t="shared" si="62"/>
        <v>1184595.9799999997</v>
      </c>
      <c r="P22" s="552">
        <f t="shared" si="62"/>
        <v>1184595.9799999997</v>
      </c>
      <c r="Q22" s="552">
        <f t="shared" si="62"/>
        <v>1184595.9799999997</v>
      </c>
      <c r="R22" s="552">
        <f t="shared" si="62"/>
        <v>1184595.9799999997</v>
      </c>
      <c r="S22" s="552">
        <f t="shared" si="62"/>
        <v>1184595.9799999997</v>
      </c>
      <c r="T22" s="552">
        <f t="shared" si="62"/>
        <v>1184595.9799999997</v>
      </c>
      <c r="U22" s="552">
        <f t="shared" si="62"/>
        <v>1184595.9799999997</v>
      </c>
      <c r="V22" s="552">
        <f t="shared" ref="V22:AB22" si="63">SUM(V23:V26)</f>
        <v>1184595.9799999997</v>
      </c>
      <c r="W22" s="552">
        <f t="shared" si="63"/>
        <v>1184595.9799999997</v>
      </c>
      <c r="X22" s="552">
        <f t="shared" si="63"/>
        <v>1184595.9799999997</v>
      </c>
      <c r="Y22" s="552">
        <f t="shared" si="63"/>
        <v>1184595.9799999997</v>
      </c>
      <c r="Z22" s="552">
        <f t="shared" si="63"/>
        <v>1184595.9799999997</v>
      </c>
      <c r="AA22" s="552">
        <f t="shared" si="63"/>
        <v>1184595.9799999997</v>
      </c>
      <c r="AB22" s="552">
        <f t="shared" si="63"/>
        <v>1184595.9799999997</v>
      </c>
      <c r="AC22" s="812"/>
    </row>
    <row r="23" spans="2:29">
      <c r="B23" s="554" t="s">
        <v>2828</v>
      </c>
      <c r="C23" s="458">
        <f>-SUM(Ucto_HK_summ!D801:D804)</f>
        <v>706614.19000000006</v>
      </c>
      <c r="D23" s="458">
        <f>-SUM(Ucto_HK_summ!E801:E804)</f>
        <v>730914.1100000001</v>
      </c>
      <c r="E23" s="458">
        <f>-SUM(Ucto_HK_summ!F801:F804)</f>
        <v>768252.66</v>
      </c>
      <c r="F23" s="458">
        <f>-SUM(Ucto_HK_summ!G801:G804)</f>
        <v>712830.39000000013</v>
      </c>
      <c r="G23" s="607">
        <f>-SUM(Ucto_HK_summ!H801:H804)</f>
        <v>645697.6</v>
      </c>
      <c r="H23" s="69">
        <f t="shared" ref="H23:U23" si="64">G23*(1+H84)</f>
        <v>645697.6</v>
      </c>
      <c r="I23" s="69">
        <f t="shared" si="64"/>
        <v>645697.6</v>
      </c>
      <c r="J23" s="69">
        <f t="shared" si="64"/>
        <v>645697.6</v>
      </c>
      <c r="K23" s="69">
        <f t="shared" si="64"/>
        <v>645697.6</v>
      </c>
      <c r="L23" s="69">
        <f t="shared" si="64"/>
        <v>645697.6</v>
      </c>
      <c r="M23" s="69">
        <f t="shared" si="64"/>
        <v>645697.6</v>
      </c>
      <c r="N23" s="69">
        <f t="shared" si="64"/>
        <v>645697.6</v>
      </c>
      <c r="O23" s="69">
        <f t="shared" si="64"/>
        <v>645697.6</v>
      </c>
      <c r="P23" s="69">
        <f t="shared" si="64"/>
        <v>645697.6</v>
      </c>
      <c r="Q23" s="69">
        <f t="shared" si="64"/>
        <v>645697.6</v>
      </c>
      <c r="R23" s="69">
        <f t="shared" si="64"/>
        <v>645697.6</v>
      </c>
      <c r="S23" s="69">
        <f t="shared" si="64"/>
        <v>645697.6</v>
      </c>
      <c r="T23" s="69">
        <f t="shared" si="64"/>
        <v>645697.6</v>
      </c>
      <c r="U23" s="69">
        <f t="shared" si="64"/>
        <v>645697.6</v>
      </c>
      <c r="V23" s="69">
        <f t="shared" ref="V23:AB23" si="65">U23*(1+V84)</f>
        <v>645697.6</v>
      </c>
      <c r="W23" s="69">
        <f t="shared" si="65"/>
        <v>645697.6</v>
      </c>
      <c r="X23" s="69">
        <f t="shared" si="65"/>
        <v>645697.6</v>
      </c>
      <c r="Y23" s="69">
        <f t="shared" si="65"/>
        <v>645697.6</v>
      </c>
      <c r="Z23" s="69">
        <f t="shared" si="65"/>
        <v>645697.6</v>
      </c>
      <c r="AA23" s="69">
        <f t="shared" si="65"/>
        <v>645697.6</v>
      </c>
      <c r="AB23" s="69">
        <f t="shared" si="65"/>
        <v>645697.6</v>
      </c>
      <c r="AC23" s="812"/>
    </row>
    <row r="24" spans="2:29">
      <c r="B24" s="554" t="s">
        <v>2829</v>
      </c>
      <c r="C24" s="458">
        <f>-Ucto_HK_summ!D807</f>
        <v>303471.8</v>
      </c>
      <c r="D24" s="458">
        <f>-Ucto_HK_summ!E807</f>
        <v>73625.539999999994</v>
      </c>
      <c r="E24" s="458">
        <f>-Ucto_HK_summ!F807</f>
        <v>78965.13</v>
      </c>
      <c r="F24" s="458">
        <f>-Ucto_HK_summ!G807</f>
        <v>67088.89</v>
      </c>
      <c r="G24" s="607">
        <f>-Ucto_HK_summ!H807</f>
        <v>93507.77</v>
      </c>
      <c r="H24" s="69">
        <f t="shared" ref="H24:U24" si="66">G24*(1+H85)</f>
        <v>93507.77</v>
      </c>
      <c r="I24" s="69">
        <f t="shared" si="66"/>
        <v>93507.77</v>
      </c>
      <c r="J24" s="69">
        <f t="shared" si="66"/>
        <v>93507.77</v>
      </c>
      <c r="K24" s="69">
        <f t="shared" si="66"/>
        <v>93507.77</v>
      </c>
      <c r="L24" s="69">
        <f t="shared" si="66"/>
        <v>93507.77</v>
      </c>
      <c r="M24" s="69">
        <f t="shared" si="66"/>
        <v>93507.77</v>
      </c>
      <c r="N24" s="69">
        <f t="shared" si="66"/>
        <v>93507.77</v>
      </c>
      <c r="O24" s="69">
        <f t="shared" si="66"/>
        <v>93507.77</v>
      </c>
      <c r="P24" s="69">
        <f t="shared" si="66"/>
        <v>93507.77</v>
      </c>
      <c r="Q24" s="69">
        <f t="shared" si="66"/>
        <v>93507.77</v>
      </c>
      <c r="R24" s="69">
        <f t="shared" si="66"/>
        <v>93507.77</v>
      </c>
      <c r="S24" s="69">
        <f t="shared" si="66"/>
        <v>93507.77</v>
      </c>
      <c r="T24" s="69">
        <f t="shared" si="66"/>
        <v>93507.77</v>
      </c>
      <c r="U24" s="69">
        <f t="shared" si="66"/>
        <v>93507.77</v>
      </c>
      <c r="V24" s="69">
        <f t="shared" ref="V24:AB24" si="67">U24*(1+V85)</f>
        <v>93507.77</v>
      </c>
      <c r="W24" s="69">
        <f t="shared" si="67"/>
        <v>93507.77</v>
      </c>
      <c r="X24" s="69">
        <f t="shared" si="67"/>
        <v>93507.77</v>
      </c>
      <c r="Y24" s="69">
        <f t="shared" si="67"/>
        <v>93507.77</v>
      </c>
      <c r="Z24" s="69">
        <f t="shared" si="67"/>
        <v>93507.77</v>
      </c>
      <c r="AA24" s="69">
        <f t="shared" si="67"/>
        <v>93507.77</v>
      </c>
      <c r="AB24" s="69">
        <f t="shared" si="67"/>
        <v>93507.77</v>
      </c>
      <c r="AC24" s="812"/>
    </row>
    <row r="25" spans="2:29">
      <c r="B25" s="554" t="s">
        <v>2830</v>
      </c>
      <c r="C25" s="458">
        <f>-Ucto_HK_summ!D805</f>
        <v>584774.05000000005</v>
      </c>
      <c r="D25" s="458">
        <f>-Ucto_HK_summ!E805</f>
        <v>593929.55000000005</v>
      </c>
      <c r="E25" s="458">
        <f>-Ucto_HK_summ!F805</f>
        <v>637381.15</v>
      </c>
      <c r="F25" s="458">
        <f>-Ucto_HK_summ!G805</f>
        <v>218769.42</v>
      </c>
      <c r="G25" s="607">
        <f>-Ucto_HK_summ!H805</f>
        <v>274541.78999999998</v>
      </c>
      <c r="H25" s="69">
        <f t="shared" ref="H25:U25" si="68">G25*(1+H86)</f>
        <v>274541.78999999998</v>
      </c>
      <c r="I25" s="69">
        <f t="shared" si="68"/>
        <v>274541.78999999998</v>
      </c>
      <c r="J25" s="69">
        <f t="shared" si="68"/>
        <v>274541.78999999998</v>
      </c>
      <c r="K25" s="69">
        <f t="shared" si="68"/>
        <v>274541.78999999998</v>
      </c>
      <c r="L25" s="69">
        <f t="shared" si="68"/>
        <v>274541.78999999998</v>
      </c>
      <c r="M25" s="69">
        <f t="shared" si="68"/>
        <v>274541.78999999998</v>
      </c>
      <c r="N25" s="69">
        <f t="shared" si="68"/>
        <v>274541.78999999998</v>
      </c>
      <c r="O25" s="69">
        <f t="shared" si="68"/>
        <v>274541.78999999998</v>
      </c>
      <c r="P25" s="69">
        <f t="shared" si="68"/>
        <v>274541.78999999998</v>
      </c>
      <c r="Q25" s="69">
        <f t="shared" si="68"/>
        <v>274541.78999999998</v>
      </c>
      <c r="R25" s="69">
        <f t="shared" si="68"/>
        <v>274541.78999999998</v>
      </c>
      <c r="S25" s="69">
        <f t="shared" si="68"/>
        <v>274541.78999999998</v>
      </c>
      <c r="T25" s="69">
        <f t="shared" si="68"/>
        <v>274541.78999999998</v>
      </c>
      <c r="U25" s="69">
        <f t="shared" si="68"/>
        <v>274541.78999999998</v>
      </c>
      <c r="V25" s="69">
        <f t="shared" ref="V25:AB25" si="69">U25*(1+V86)</f>
        <v>274541.78999999998</v>
      </c>
      <c r="W25" s="69">
        <f t="shared" si="69"/>
        <v>274541.78999999998</v>
      </c>
      <c r="X25" s="69">
        <f t="shared" si="69"/>
        <v>274541.78999999998</v>
      </c>
      <c r="Y25" s="69">
        <f t="shared" si="69"/>
        <v>274541.78999999998</v>
      </c>
      <c r="Z25" s="69">
        <f t="shared" si="69"/>
        <v>274541.78999999998</v>
      </c>
      <c r="AA25" s="69">
        <f t="shared" si="69"/>
        <v>274541.78999999998</v>
      </c>
      <c r="AB25" s="69">
        <f t="shared" si="69"/>
        <v>274541.78999999998</v>
      </c>
      <c r="AC25" s="812"/>
    </row>
    <row r="26" spans="2:29">
      <c r="B26" s="554" t="s">
        <v>242</v>
      </c>
      <c r="C26" s="458">
        <f>-SUM(Ucto_HK_summ!D801:D810,Ucto_HK_summ!D797:D799)-SUM(C23:C25)</f>
        <v>250412.49000000022</v>
      </c>
      <c r="D26" s="458">
        <f>-SUM(Ucto_HK_summ!E801:E810,Ucto_HK_summ!E797:E799)-SUM(D23:D25)</f>
        <v>238944.60999999987</v>
      </c>
      <c r="E26" s="458">
        <f>-SUM(Ucto_HK_summ!F801:F810,Ucto_HK_summ!F797:F799)-SUM(E23:E25)</f>
        <v>229821.7200000002</v>
      </c>
      <c r="F26" s="458">
        <f>-SUM(Ucto_HK_summ!G801:G810,Ucto_HK_summ!G797:G799)-SUM(F23:F25)</f>
        <v>181110.63000000012</v>
      </c>
      <c r="G26" s="607">
        <f>-SUM(Ucto_HK_summ!H801:H810,Ucto_HK_summ!H797:H799)-SUM(G23:G25)</f>
        <v>170848.81999999983</v>
      </c>
      <c r="H26" s="69">
        <f t="shared" ref="H26:U26" si="70">G26*(1+H87)</f>
        <v>170848.81999999983</v>
      </c>
      <c r="I26" s="69">
        <f t="shared" si="70"/>
        <v>170848.81999999983</v>
      </c>
      <c r="J26" s="69">
        <f t="shared" si="70"/>
        <v>170848.81999999983</v>
      </c>
      <c r="K26" s="69">
        <f t="shared" si="70"/>
        <v>170848.81999999983</v>
      </c>
      <c r="L26" s="69">
        <f t="shared" si="70"/>
        <v>170848.81999999983</v>
      </c>
      <c r="M26" s="69">
        <f t="shared" si="70"/>
        <v>170848.81999999983</v>
      </c>
      <c r="N26" s="69">
        <f t="shared" si="70"/>
        <v>170848.81999999983</v>
      </c>
      <c r="O26" s="69">
        <f t="shared" si="70"/>
        <v>170848.81999999983</v>
      </c>
      <c r="P26" s="69">
        <f t="shared" si="70"/>
        <v>170848.81999999983</v>
      </c>
      <c r="Q26" s="69">
        <f t="shared" si="70"/>
        <v>170848.81999999983</v>
      </c>
      <c r="R26" s="69">
        <f t="shared" si="70"/>
        <v>170848.81999999983</v>
      </c>
      <c r="S26" s="69">
        <f t="shared" si="70"/>
        <v>170848.81999999983</v>
      </c>
      <c r="T26" s="69">
        <f t="shared" si="70"/>
        <v>170848.81999999983</v>
      </c>
      <c r="U26" s="69">
        <f t="shared" si="70"/>
        <v>170848.81999999983</v>
      </c>
      <c r="V26" s="69">
        <f t="shared" ref="V26:AB26" si="71">U26*(1+V87)</f>
        <v>170848.81999999983</v>
      </c>
      <c r="W26" s="69">
        <f t="shared" si="71"/>
        <v>170848.81999999983</v>
      </c>
      <c r="X26" s="69">
        <f t="shared" si="71"/>
        <v>170848.81999999983</v>
      </c>
      <c r="Y26" s="69">
        <f t="shared" si="71"/>
        <v>170848.81999999983</v>
      </c>
      <c r="Z26" s="69">
        <f t="shared" si="71"/>
        <v>170848.81999999983</v>
      </c>
      <c r="AA26" s="69">
        <f t="shared" si="71"/>
        <v>170848.81999999983</v>
      </c>
      <c r="AB26" s="69">
        <f t="shared" si="71"/>
        <v>170848.81999999983</v>
      </c>
      <c r="AC26" s="812"/>
    </row>
    <row r="27" spans="2:29" s="457" customFormat="1">
      <c r="B27" s="598" t="s">
        <v>2842</v>
      </c>
      <c r="C27" s="608">
        <f>-SUM(Ucto_HK_summ!D812:D822)</f>
        <v>0</v>
      </c>
      <c r="D27" s="608">
        <f>-SUM(Ucto_HK_summ!E812:E822)</f>
        <v>0</v>
      </c>
      <c r="E27" s="608">
        <f>-SUM(Ucto_HK_summ!F812:F822)</f>
        <v>187717.1</v>
      </c>
      <c r="F27" s="608">
        <f>-SUM(Ucto_HK_summ!G812:G822)</f>
        <v>2409124.5900000003</v>
      </c>
      <c r="G27" s="609">
        <f>-SUM(Ucto_HK_summ!H812:H822)</f>
        <v>3162118.92</v>
      </c>
      <c r="H27" s="598">
        <f t="shared" ref="H27:U27" si="72">G27*(1+H88)</f>
        <v>3162118.92</v>
      </c>
      <c r="I27" s="598">
        <f t="shared" si="72"/>
        <v>3130275.0339484517</v>
      </c>
      <c r="J27" s="598">
        <f t="shared" si="72"/>
        <v>3132444.2584969206</v>
      </c>
      <c r="K27" s="598">
        <f t="shared" si="72"/>
        <v>3135105.2056349148</v>
      </c>
      <c r="L27" s="598">
        <f t="shared" si="72"/>
        <v>3149934.9917484848</v>
      </c>
      <c r="M27" s="598">
        <f t="shared" si="72"/>
        <v>3048969.8580969861</v>
      </c>
      <c r="N27" s="598">
        <f t="shared" si="72"/>
        <v>2963699.6186000686</v>
      </c>
      <c r="O27" s="598">
        <f t="shared" si="72"/>
        <v>2922002.2552786563</v>
      </c>
      <c r="P27" s="598">
        <f t="shared" si="72"/>
        <v>2922810.5615959656</v>
      </c>
      <c r="Q27" s="598">
        <f t="shared" si="72"/>
        <v>2921977.7971641342</v>
      </c>
      <c r="R27" s="598">
        <f t="shared" si="72"/>
        <v>2921888.414245463</v>
      </c>
      <c r="S27" s="598">
        <f t="shared" si="72"/>
        <v>2920792.6692198059</v>
      </c>
      <c r="T27" s="598">
        <f t="shared" si="72"/>
        <v>2917384.6392809376</v>
      </c>
      <c r="U27" s="598">
        <f t="shared" si="72"/>
        <v>2912204.3902390073</v>
      </c>
      <c r="V27" s="598">
        <f t="shared" ref="V27:AB27" si="73">U27*(1+V88)</f>
        <v>2912543.4749531467</v>
      </c>
      <c r="W27" s="598">
        <f t="shared" si="73"/>
        <v>2912882.5596672855</v>
      </c>
      <c r="X27" s="598">
        <f t="shared" si="73"/>
        <v>2913221.6443814253</v>
      </c>
      <c r="Y27" s="598">
        <f t="shared" si="73"/>
        <v>2913560.7290955642</v>
      </c>
      <c r="Z27" s="598">
        <f t="shared" si="73"/>
        <v>2913899.8138097036</v>
      </c>
      <c r="AA27" s="598">
        <f t="shared" si="73"/>
        <v>2914238.8985238425</v>
      </c>
      <c r="AB27" s="598">
        <f t="shared" si="73"/>
        <v>2914577.9832379818</v>
      </c>
    </row>
    <row r="28" spans="2:29">
      <c r="B28" s="598" t="s">
        <v>2843</v>
      </c>
      <c r="C28" s="608">
        <f>SUM('Revenues"0"'!C29:C36)</f>
        <v>7540060.8399999999</v>
      </c>
      <c r="D28" s="608">
        <f>SUM(D29:D36)</f>
        <v>29404936.680000003</v>
      </c>
      <c r="E28" s="608">
        <f>SUM(E29:E36)</f>
        <v>31684842.920000002</v>
      </c>
      <c r="F28" s="608">
        <f>SUM(F29:F36)</f>
        <v>39852068.390000001</v>
      </c>
      <c r="G28" s="609">
        <f>SUM(Ucto_HK_summ!J909:J915)</f>
        <v>49918583.980000004</v>
      </c>
      <c r="H28" s="598">
        <f>SUM(H29:H36)</f>
        <v>2864042.8138595638</v>
      </c>
      <c r="I28" s="598">
        <f t="shared" ref="I28:U28" si="74">SUM(I29:I36)</f>
        <v>2863581.1355488347</v>
      </c>
      <c r="J28" s="598">
        <f t="shared" si="74"/>
        <v>2863617.7118213782</v>
      </c>
      <c r="K28" s="598">
        <f t="shared" si="74"/>
        <v>2863661.4990409696</v>
      </c>
      <c r="L28" s="598">
        <f t="shared" si="74"/>
        <v>2863883.6264365879</v>
      </c>
      <c r="M28" s="598">
        <f t="shared" si="74"/>
        <v>2862408.6572153</v>
      </c>
      <c r="N28" s="598">
        <f t="shared" si="74"/>
        <v>2861163.4313488766</v>
      </c>
      <c r="O28" s="598">
        <f t="shared" si="74"/>
        <v>2860556.6992192571</v>
      </c>
      <c r="P28" s="598">
        <f t="shared" si="74"/>
        <v>2860573.0157336812</v>
      </c>
      <c r="Q28" s="598">
        <f t="shared" si="74"/>
        <v>2860565.2713302602</v>
      </c>
      <c r="R28" s="598">
        <f t="shared" si="74"/>
        <v>2860568.4243633789</v>
      </c>
      <c r="S28" s="598">
        <f t="shared" si="74"/>
        <v>2860556.8170973682</v>
      </c>
      <c r="T28" s="598">
        <f t="shared" si="74"/>
        <v>2860511.290646018</v>
      </c>
      <c r="U28" s="598">
        <f t="shared" si="74"/>
        <v>2860439.7564358106</v>
      </c>
      <c r="V28" s="598">
        <f t="shared" ref="V28:AB28" si="75">SUM(V29:V36)</f>
        <v>2860449.1754540345</v>
      </c>
      <c r="W28" s="598">
        <f t="shared" si="75"/>
        <v>2860458.5944722584</v>
      </c>
      <c r="X28" s="598">
        <f t="shared" si="75"/>
        <v>2860468.0134904822</v>
      </c>
      <c r="Y28" s="598">
        <f t="shared" si="75"/>
        <v>2860477.4325087056</v>
      </c>
      <c r="Z28" s="598">
        <f t="shared" si="75"/>
        <v>2860486.8515269295</v>
      </c>
      <c r="AA28" s="598">
        <f t="shared" si="75"/>
        <v>2860496.2705451534</v>
      </c>
      <c r="AB28" s="598">
        <f t="shared" si="75"/>
        <v>2860505.6895633773</v>
      </c>
    </row>
    <row r="29" spans="2:29">
      <c r="B29" s="554" t="s">
        <v>2880</v>
      </c>
      <c r="C29" s="458">
        <f>-SUM(Ucto_HK_summ!D848:D851)</f>
        <v>0</v>
      </c>
      <c r="D29" s="458">
        <f>-SUM(Ucto_HK_summ!E848:E851)</f>
        <v>24989578.379999999</v>
      </c>
      <c r="E29" s="458">
        <f>-SUM(Ucto_HK_summ!F848:F851)</f>
        <v>25036139.579999998</v>
      </c>
      <c r="F29" s="458">
        <f>-SUM(Ucto_HK_summ!G848:G851)</f>
        <v>30674751.219999999</v>
      </c>
      <c r="G29" s="607">
        <f>-SUM(Ucto_HK_summ!H848:H851)</f>
        <v>0</v>
      </c>
    </row>
    <row r="30" spans="2:29">
      <c r="B30" s="554" t="s">
        <v>2881</v>
      </c>
      <c r="C30" s="458">
        <f>-Ucto_HK_summ!D864</f>
        <v>3100369.12</v>
      </c>
      <c r="D30" s="458">
        <f>-Ucto_HK_summ!E864</f>
        <v>1008922.94</v>
      </c>
      <c r="E30" s="458">
        <f>-Ucto_HK_summ!F864</f>
        <v>2765700</v>
      </c>
      <c r="F30" s="458">
        <f>-Ucto_HK_summ!G864</f>
        <v>771577.7</v>
      </c>
      <c r="G30" s="607">
        <f>-Ucto_HK_summ!H864</f>
        <v>961624.44</v>
      </c>
      <c r="H30" s="634">
        <v>0</v>
      </c>
      <c r="I30" s="634">
        <v>0</v>
      </c>
      <c r="J30" s="634">
        <v>0</v>
      </c>
      <c r="K30" s="69">
        <f>J30</f>
        <v>0</v>
      </c>
      <c r="L30" s="69">
        <f t="shared" ref="L30:U32" si="76">K30</f>
        <v>0</v>
      </c>
      <c r="M30" s="69">
        <f t="shared" si="76"/>
        <v>0</v>
      </c>
      <c r="N30" s="69">
        <f t="shared" si="76"/>
        <v>0</v>
      </c>
      <c r="O30" s="69">
        <f t="shared" si="76"/>
        <v>0</v>
      </c>
      <c r="P30" s="69">
        <f t="shared" si="76"/>
        <v>0</v>
      </c>
      <c r="Q30" s="69">
        <f t="shared" si="76"/>
        <v>0</v>
      </c>
      <c r="R30" s="69">
        <f t="shared" si="76"/>
        <v>0</v>
      </c>
      <c r="S30" s="69">
        <f t="shared" si="76"/>
        <v>0</v>
      </c>
      <c r="T30" s="69">
        <f t="shared" si="76"/>
        <v>0</v>
      </c>
      <c r="U30" s="69">
        <f t="shared" si="76"/>
        <v>0</v>
      </c>
      <c r="V30" s="69">
        <f t="shared" ref="V30:V34" si="77">U30</f>
        <v>0</v>
      </c>
      <c r="W30" s="69">
        <f t="shared" ref="W30:W34" si="78">V30</f>
        <v>0</v>
      </c>
      <c r="X30" s="69">
        <f t="shared" ref="X30:X34" si="79">W30</f>
        <v>0</v>
      </c>
      <c r="Y30" s="69">
        <f t="shared" ref="Y30:Y34" si="80">X30</f>
        <v>0</v>
      </c>
      <c r="Z30" s="69">
        <f t="shared" ref="Z30:Z34" si="81">Y30</f>
        <v>0</v>
      </c>
      <c r="AA30" s="69">
        <f t="shared" ref="AA30:AA34" si="82">Z30</f>
        <v>0</v>
      </c>
      <c r="AB30" s="69">
        <f t="shared" ref="AB30:AB34" si="83">AA30</f>
        <v>0</v>
      </c>
    </row>
    <row r="31" spans="2:29">
      <c r="B31" s="554" t="s">
        <v>2844</v>
      </c>
      <c r="C31" s="458">
        <f>-Ucto_HK_summ!D893-Ucto_HK_summ!D894-Ucto_HK_summ!D900-Ucto_HK_summ!D902</f>
        <v>2005219.3699999999</v>
      </c>
      <c r="D31" s="458">
        <f>-Ucto_HK_summ!E893-Ucto_HK_summ!E894-Ucto_HK_summ!E900-Ucto_HK_summ!E902</f>
        <v>1997371.66</v>
      </c>
      <c r="E31" s="458">
        <f>-Ucto_HK_summ!F893-Ucto_HK_summ!F894-Ucto_HK_summ!F900-Ucto_HK_summ!F902</f>
        <v>2708344.74</v>
      </c>
      <c r="F31" s="458">
        <f>-Ucto_HK_summ!G893-Ucto_HK_summ!G894-Ucto_HK_summ!G900-Ucto_HK_summ!G902</f>
        <v>2660857.9700000002</v>
      </c>
      <c r="G31" s="607">
        <f>-Ucto_HK_summ!H893-Ucto_HK_summ!H894-Ucto_HK_summ!H900-Ucto_HK_summ!H902</f>
        <v>2975183.32</v>
      </c>
      <c r="H31" s="634">
        <f>AVERAGE(F31:G31)</f>
        <v>2818020.645</v>
      </c>
      <c r="I31" s="634">
        <f>H31</f>
        <v>2818020.645</v>
      </c>
      <c r="J31" s="634">
        <f t="shared" ref="J31:U31" si="84">I31</f>
        <v>2818020.645</v>
      </c>
      <c r="K31" s="634">
        <f t="shared" si="84"/>
        <v>2818020.645</v>
      </c>
      <c r="L31" s="634">
        <f t="shared" si="84"/>
        <v>2818020.645</v>
      </c>
      <c r="M31" s="634">
        <f t="shared" si="84"/>
        <v>2818020.645</v>
      </c>
      <c r="N31" s="634">
        <f t="shared" si="84"/>
        <v>2818020.645</v>
      </c>
      <c r="O31" s="634">
        <f t="shared" si="84"/>
        <v>2818020.645</v>
      </c>
      <c r="P31" s="634">
        <f t="shared" si="84"/>
        <v>2818020.645</v>
      </c>
      <c r="Q31" s="634">
        <f t="shared" si="84"/>
        <v>2818020.645</v>
      </c>
      <c r="R31" s="634">
        <f t="shared" si="84"/>
        <v>2818020.645</v>
      </c>
      <c r="S31" s="634">
        <f t="shared" si="84"/>
        <v>2818020.645</v>
      </c>
      <c r="T31" s="634">
        <f t="shared" si="84"/>
        <v>2818020.645</v>
      </c>
      <c r="U31" s="634">
        <f t="shared" si="84"/>
        <v>2818020.645</v>
      </c>
      <c r="V31" s="634">
        <f t="shared" si="77"/>
        <v>2818020.645</v>
      </c>
      <c r="W31" s="634">
        <f t="shared" si="78"/>
        <v>2818020.645</v>
      </c>
      <c r="X31" s="634">
        <f t="shared" si="79"/>
        <v>2818020.645</v>
      </c>
      <c r="Y31" s="634">
        <f t="shared" si="80"/>
        <v>2818020.645</v>
      </c>
      <c r="Z31" s="634">
        <f t="shared" si="81"/>
        <v>2818020.645</v>
      </c>
      <c r="AA31" s="634">
        <f t="shared" si="82"/>
        <v>2818020.645</v>
      </c>
      <c r="AB31" s="634">
        <f t="shared" si="83"/>
        <v>2818020.645</v>
      </c>
    </row>
    <row r="32" spans="2:29">
      <c r="B32" s="554" t="s">
        <v>2538</v>
      </c>
      <c r="C32" s="458">
        <f>-Ucto_HK_summ!D885</f>
        <v>0</v>
      </c>
      <c r="D32" s="458">
        <f>-Ucto_HK_summ!E885</f>
        <v>0</v>
      </c>
      <c r="E32" s="458">
        <f>-Ucto_HK_summ!F885</f>
        <v>0</v>
      </c>
      <c r="F32" s="458">
        <f>-Ucto_HK_summ!G885</f>
        <v>3609091.14</v>
      </c>
      <c r="G32" s="607">
        <f>-Ucto_HK_summ!H885</f>
        <v>21394931.390000001</v>
      </c>
      <c r="H32" s="634">
        <v>0</v>
      </c>
      <c r="I32" s="634">
        <v>0</v>
      </c>
      <c r="J32" s="634">
        <v>0</v>
      </c>
      <c r="K32" s="69">
        <f>J32</f>
        <v>0</v>
      </c>
      <c r="L32" s="69">
        <f t="shared" si="76"/>
        <v>0</v>
      </c>
      <c r="M32" s="69">
        <f t="shared" si="76"/>
        <v>0</v>
      </c>
      <c r="N32" s="69">
        <f t="shared" si="76"/>
        <v>0</v>
      </c>
      <c r="O32" s="69">
        <f t="shared" si="76"/>
        <v>0</v>
      </c>
      <c r="P32" s="69">
        <f t="shared" si="76"/>
        <v>0</v>
      </c>
      <c r="Q32" s="69">
        <f t="shared" si="76"/>
        <v>0</v>
      </c>
      <c r="R32" s="69">
        <f t="shared" si="76"/>
        <v>0</v>
      </c>
      <c r="S32" s="69">
        <f t="shared" si="76"/>
        <v>0</v>
      </c>
      <c r="T32" s="69">
        <f t="shared" si="76"/>
        <v>0</v>
      </c>
      <c r="U32" s="69">
        <f t="shared" si="76"/>
        <v>0</v>
      </c>
      <c r="V32" s="69">
        <f t="shared" si="77"/>
        <v>0</v>
      </c>
      <c r="W32" s="69">
        <f t="shared" si="78"/>
        <v>0</v>
      </c>
      <c r="X32" s="69">
        <f t="shared" si="79"/>
        <v>0</v>
      </c>
      <c r="Y32" s="69">
        <f t="shared" si="80"/>
        <v>0</v>
      </c>
      <c r="Z32" s="69">
        <f t="shared" si="81"/>
        <v>0</v>
      </c>
      <c r="AA32" s="69">
        <f t="shared" si="82"/>
        <v>0</v>
      </c>
      <c r="AB32" s="69">
        <f t="shared" si="83"/>
        <v>0</v>
      </c>
    </row>
    <row r="33" spans="2:28">
      <c r="B33" s="554" t="s">
        <v>2815</v>
      </c>
      <c r="C33" s="458">
        <f>-Ucto_HK_summ!D886</f>
        <v>0</v>
      </c>
      <c r="D33" s="458">
        <f>-Ucto_HK_summ!E886</f>
        <v>0</v>
      </c>
      <c r="E33" s="458">
        <f>-Ucto_HK_summ!F886</f>
        <v>0</v>
      </c>
      <c r="F33" s="458">
        <f>-Ucto_HK_summ!G886</f>
        <v>0</v>
      </c>
      <c r="G33" s="607">
        <f>-Ucto_HK_summ!H886</f>
        <v>16570501.08</v>
      </c>
      <c r="H33" s="634">
        <v>0</v>
      </c>
      <c r="I33" s="634">
        <v>0</v>
      </c>
      <c r="J33" s="634">
        <v>0</v>
      </c>
      <c r="K33" s="69">
        <f t="shared" ref="K33:U36" si="85">J33</f>
        <v>0</v>
      </c>
      <c r="L33" s="69">
        <f t="shared" si="85"/>
        <v>0</v>
      </c>
      <c r="M33" s="69">
        <f t="shared" si="85"/>
        <v>0</v>
      </c>
      <c r="N33" s="69">
        <f t="shared" si="85"/>
        <v>0</v>
      </c>
      <c r="O33" s="69">
        <f t="shared" si="85"/>
        <v>0</v>
      </c>
      <c r="P33" s="69">
        <f t="shared" si="85"/>
        <v>0</v>
      </c>
      <c r="Q33" s="69">
        <f t="shared" si="85"/>
        <v>0</v>
      </c>
      <c r="R33" s="69">
        <f t="shared" si="85"/>
        <v>0</v>
      </c>
      <c r="S33" s="69">
        <f t="shared" si="85"/>
        <v>0</v>
      </c>
      <c r="T33" s="69">
        <f t="shared" si="85"/>
        <v>0</v>
      </c>
      <c r="U33" s="69">
        <f t="shared" si="85"/>
        <v>0</v>
      </c>
      <c r="V33" s="69">
        <f t="shared" si="77"/>
        <v>0</v>
      </c>
      <c r="W33" s="69">
        <f t="shared" si="78"/>
        <v>0</v>
      </c>
      <c r="X33" s="69">
        <f t="shared" si="79"/>
        <v>0</v>
      </c>
      <c r="Y33" s="69">
        <f t="shared" si="80"/>
        <v>0</v>
      </c>
      <c r="Z33" s="69">
        <f t="shared" si="81"/>
        <v>0</v>
      </c>
      <c r="AA33" s="69">
        <f t="shared" si="82"/>
        <v>0</v>
      </c>
      <c r="AB33" s="69">
        <f t="shared" si="83"/>
        <v>0</v>
      </c>
    </row>
    <row r="34" spans="2:28">
      <c r="B34" s="554" t="s">
        <v>2882</v>
      </c>
      <c r="C34" s="458">
        <f>-Ucto_HK_summ!D895-Ucto_HK_summ!D896-Ucto_HK_summ!D897</f>
        <v>0</v>
      </c>
      <c r="D34" s="458">
        <f>-Ucto_HK_summ!E895-Ucto_HK_summ!E896-Ucto_HK_summ!E897</f>
        <v>0</v>
      </c>
      <c r="E34" s="458">
        <f>-Ucto_HK_summ!F895-Ucto_HK_summ!F896-Ucto_HK_summ!F897</f>
        <v>0</v>
      </c>
      <c r="F34" s="458">
        <f>-Ucto_HK_summ!G895-Ucto_HK_summ!G896-Ucto_HK_summ!G897</f>
        <v>1151394.26</v>
      </c>
      <c r="G34" s="607">
        <f>-Ucto_HK_summ!H895-Ucto_HK_summ!H896-Ucto_HK_summ!H897</f>
        <v>5150864.95</v>
      </c>
      <c r="H34" s="634">
        <v>0</v>
      </c>
      <c r="I34" s="634">
        <v>0</v>
      </c>
      <c r="J34" s="634">
        <v>0</v>
      </c>
      <c r="K34" s="69">
        <f t="shared" si="85"/>
        <v>0</v>
      </c>
      <c r="L34" s="69">
        <f t="shared" si="85"/>
        <v>0</v>
      </c>
      <c r="M34" s="69">
        <f t="shared" si="85"/>
        <v>0</v>
      </c>
      <c r="N34" s="69">
        <f t="shared" si="85"/>
        <v>0</v>
      </c>
      <c r="O34" s="69">
        <f t="shared" si="85"/>
        <v>0</v>
      </c>
      <c r="P34" s="69">
        <f t="shared" si="85"/>
        <v>0</v>
      </c>
      <c r="Q34" s="69">
        <f t="shared" si="85"/>
        <v>0</v>
      </c>
      <c r="R34" s="69">
        <f t="shared" si="85"/>
        <v>0</v>
      </c>
      <c r="S34" s="69">
        <f t="shared" si="85"/>
        <v>0</v>
      </c>
      <c r="T34" s="69">
        <f t="shared" si="85"/>
        <v>0</v>
      </c>
      <c r="U34" s="69">
        <f t="shared" si="85"/>
        <v>0</v>
      </c>
      <c r="V34" s="69">
        <f t="shared" si="77"/>
        <v>0</v>
      </c>
      <c r="W34" s="69">
        <f t="shared" si="78"/>
        <v>0</v>
      </c>
      <c r="X34" s="69">
        <f t="shared" si="79"/>
        <v>0</v>
      </c>
      <c r="Y34" s="69">
        <f t="shared" si="80"/>
        <v>0</v>
      </c>
      <c r="Z34" s="69">
        <f t="shared" si="81"/>
        <v>0</v>
      </c>
      <c r="AA34" s="69">
        <f t="shared" si="82"/>
        <v>0</v>
      </c>
      <c r="AB34" s="69">
        <f t="shared" si="83"/>
        <v>0</v>
      </c>
    </row>
    <row r="35" spans="2:28">
      <c r="B35" s="554" t="s">
        <v>2939</v>
      </c>
      <c r="C35" s="458">
        <f>-Ucto_HK_summ!D829</f>
        <v>43508.2</v>
      </c>
      <c r="D35" s="458">
        <f>-Ucto_HK_summ!E829</f>
        <v>43839.8</v>
      </c>
      <c r="E35" s="458">
        <f>-Ucto_HK_summ!F829</f>
        <v>43709.8</v>
      </c>
      <c r="F35" s="458">
        <f>-Ucto_HK_summ!G829</f>
        <v>32349.200000000001</v>
      </c>
      <c r="G35" s="607">
        <f>-Ucto_HK_summ!H829</f>
        <v>46010.04</v>
      </c>
      <c r="H35" s="69">
        <f>G35/G5*H5</f>
        <v>46022.168859563928</v>
      </c>
      <c r="I35" s="69">
        <f t="shared" ref="I35:U35" si="86">H35/H5*I5</f>
        <v>45560.490548834583</v>
      </c>
      <c r="J35" s="69">
        <f t="shared" si="86"/>
        <v>45597.06682137819</v>
      </c>
      <c r="K35" s="69">
        <f t="shared" si="86"/>
        <v>45640.854040969723</v>
      </c>
      <c r="L35" s="69">
        <f t="shared" si="86"/>
        <v>45862.981436587936</v>
      </c>
      <c r="M35" s="69">
        <f t="shared" si="86"/>
        <v>44388.012215300027</v>
      </c>
      <c r="N35" s="69">
        <f t="shared" si="86"/>
        <v>43142.78634887642</v>
      </c>
      <c r="O35" s="69">
        <f t="shared" si="86"/>
        <v>42536.054219257043</v>
      </c>
      <c r="P35" s="69">
        <f t="shared" si="86"/>
        <v>42552.370733681331</v>
      </c>
      <c r="Q35" s="69">
        <f t="shared" si="86"/>
        <v>42544.626330260355</v>
      </c>
      <c r="R35" s="69">
        <f t="shared" si="86"/>
        <v>42547.779363378868</v>
      </c>
      <c r="S35" s="69">
        <f t="shared" si="86"/>
        <v>42536.17209736826</v>
      </c>
      <c r="T35" s="69">
        <f t="shared" si="86"/>
        <v>42490.645646018194</v>
      </c>
      <c r="U35" s="69">
        <f t="shared" si="86"/>
        <v>42419.111435810461</v>
      </c>
      <c r="V35" s="69">
        <f t="shared" ref="V35" si="87">U35/U5*V5</f>
        <v>42428.530454034306</v>
      </c>
      <c r="W35" s="69">
        <f t="shared" ref="W35" si="88">V35/V5*W5</f>
        <v>42437.949472258158</v>
      </c>
      <c r="X35" s="69">
        <f t="shared" ref="X35" si="89">W35/W5*X5</f>
        <v>42447.368490482011</v>
      </c>
      <c r="Y35" s="69">
        <f t="shared" ref="Y35" si="90">X35/X5*Y5</f>
        <v>42456.787508705856</v>
      </c>
      <c r="Z35" s="69">
        <f t="shared" ref="Z35" si="91">Y35/Y5*Z5</f>
        <v>42466.206526929702</v>
      </c>
      <c r="AA35" s="69">
        <f t="shared" ref="AA35" si="92">Z35/Z5*AA5</f>
        <v>42475.625545153547</v>
      </c>
      <c r="AB35" s="69">
        <f t="shared" ref="AB35" si="93">AA35/AA5*AB5</f>
        <v>42485.044563377392</v>
      </c>
    </row>
    <row r="36" spans="2:28">
      <c r="B36" s="603" t="s">
        <v>242</v>
      </c>
      <c r="C36" s="614">
        <f>-SUM(Ucto_HK_summ!D829,Ucto_HK_summ!D856,Ucto_HK_summ!D867,Ucto_HK_summ!D876,Ucto_HK_summ!D881,Ucto_HK_summ!D903)-SUM(C29:C35)</f>
        <v>2390964.1499999994</v>
      </c>
      <c r="D36" s="614">
        <f>-SUM(Ucto_HK_summ!E829,Ucto_HK_summ!E856,Ucto_HK_summ!E867,Ucto_HK_summ!E876,Ucto_HK_summ!E881,Ucto_HK_summ!E903)-SUM(D29:D35)</f>
        <v>1365223.9000000022</v>
      </c>
      <c r="E36" s="614">
        <f>-SUM(Ucto_HK_summ!F829,Ucto_HK_summ!F856,Ucto_HK_summ!F867,Ucto_HK_summ!F876,Ucto_HK_summ!F881,Ucto_HK_summ!F903)-SUM(E29:E35)</f>
        <v>1130948.8000000007</v>
      </c>
      <c r="F36" s="614">
        <f>-SUM(Ucto_HK_summ!G829,Ucto_HK_summ!G856,Ucto_HK_summ!G867,Ucto_HK_summ!G876,Ucto_HK_summ!G881,Ucto_HK_summ!G903)-SUM(F29:F35)</f>
        <v>952046.89999999851</v>
      </c>
      <c r="G36" s="615">
        <f>-SUM(Ucto_HK_summ!H829,Ucto_HK_summ!H856,Ucto_HK_summ!H867,Ucto_HK_summ!H876,Ucto_HK_summ!H881,Ucto_HK_summ!H903)-SUM(G29:G35)</f>
        <v>2819468.7600000054</v>
      </c>
      <c r="H36" s="635">
        <v>0</v>
      </c>
      <c r="I36" s="636">
        <v>0</v>
      </c>
      <c r="J36" s="636">
        <v>0</v>
      </c>
      <c r="K36" s="604">
        <f t="shared" si="85"/>
        <v>0</v>
      </c>
      <c r="L36" s="604">
        <f t="shared" si="85"/>
        <v>0</v>
      </c>
      <c r="M36" s="604">
        <f t="shared" si="85"/>
        <v>0</v>
      </c>
      <c r="N36" s="604">
        <f t="shared" si="85"/>
        <v>0</v>
      </c>
      <c r="O36" s="604">
        <f t="shared" si="85"/>
        <v>0</v>
      </c>
      <c r="P36" s="604">
        <f t="shared" si="85"/>
        <v>0</v>
      </c>
      <c r="Q36" s="604">
        <f t="shared" si="85"/>
        <v>0</v>
      </c>
      <c r="R36" s="604">
        <f t="shared" si="85"/>
        <v>0</v>
      </c>
      <c r="S36" s="604">
        <f t="shared" si="85"/>
        <v>0</v>
      </c>
      <c r="T36" s="604">
        <f t="shared" si="85"/>
        <v>0</v>
      </c>
      <c r="U36" s="604">
        <f t="shared" si="85"/>
        <v>0</v>
      </c>
      <c r="V36" s="604">
        <f t="shared" ref="V36" si="94">U36</f>
        <v>0</v>
      </c>
      <c r="W36" s="604">
        <f t="shared" ref="W36" si="95">V36</f>
        <v>0</v>
      </c>
      <c r="X36" s="604">
        <f t="shared" ref="X36" si="96">W36</f>
        <v>0</v>
      </c>
      <c r="Y36" s="604">
        <f t="shared" ref="Y36" si="97">X36</f>
        <v>0</v>
      </c>
      <c r="Z36" s="604">
        <f t="shared" ref="Z36" si="98">Y36</f>
        <v>0</v>
      </c>
      <c r="AA36" s="604">
        <f t="shared" ref="AA36" si="99">Z36</f>
        <v>0</v>
      </c>
      <c r="AB36" s="604">
        <f t="shared" ref="AB36" si="100">AA36</f>
        <v>0</v>
      </c>
    </row>
    <row r="37" spans="2:28">
      <c r="B37" s="552"/>
      <c r="G37" s="607"/>
    </row>
    <row r="38" spans="2:28">
      <c r="B38" s="598" t="s">
        <v>2902</v>
      </c>
      <c r="C38" s="608"/>
      <c r="D38" s="608"/>
      <c r="E38" s="608"/>
      <c r="F38" s="608"/>
      <c r="G38" s="609"/>
      <c r="H38" s="598"/>
      <c r="I38" s="598"/>
      <c r="J38" s="598"/>
      <c r="K38" s="598"/>
      <c r="L38" s="598"/>
      <c r="M38" s="598"/>
      <c r="N38" s="598"/>
      <c r="O38" s="598"/>
      <c r="P38" s="598"/>
      <c r="Q38" s="598"/>
      <c r="R38" s="598"/>
      <c r="S38" s="598"/>
      <c r="T38" s="598"/>
      <c r="U38" s="598"/>
      <c r="V38" s="598"/>
      <c r="W38" s="598"/>
      <c r="X38" s="598"/>
      <c r="Y38" s="598"/>
      <c r="Z38" s="598"/>
      <c r="AA38" s="598"/>
      <c r="AB38" s="598"/>
    </row>
    <row r="39" spans="2:28">
      <c r="B39" s="554" t="s">
        <v>2903</v>
      </c>
      <c r="E39" s="458">
        <f>Vykony_Data!F11</f>
        <v>1356</v>
      </c>
      <c r="F39" s="458">
        <f>Vykony_Data!G11</f>
        <v>1249.5</v>
      </c>
      <c r="G39" s="607">
        <f>F39</f>
        <v>1249.5</v>
      </c>
      <c r="H39" s="69">
        <f>G39</f>
        <v>1249.5</v>
      </c>
      <c r="I39" s="69">
        <f t="shared" ref="I39:U39" si="101">H39</f>
        <v>1249.5</v>
      </c>
      <c r="J39" s="69">
        <f t="shared" si="101"/>
        <v>1249.5</v>
      </c>
      <c r="K39" s="69">
        <f t="shared" si="101"/>
        <v>1249.5</v>
      </c>
      <c r="L39" s="69">
        <f t="shared" si="101"/>
        <v>1249.5</v>
      </c>
      <c r="M39" s="69">
        <f t="shared" si="101"/>
        <v>1249.5</v>
      </c>
      <c r="N39" s="69">
        <f t="shared" si="101"/>
        <v>1249.5</v>
      </c>
      <c r="O39" s="69">
        <f t="shared" si="101"/>
        <v>1249.5</v>
      </c>
      <c r="P39" s="69">
        <f t="shared" si="101"/>
        <v>1249.5</v>
      </c>
      <c r="Q39" s="69">
        <f t="shared" si="101"/>
        <v>1249.5</v>
      </c>
      <c r="R39" s="69">
        <f t="shared" si="101"/>
        <v>1249.5</v>
      </c>
      <c r="S39" s="69">
        <f t="shared" si="101"/>
        <v>1249.5</v>
      </c>
      <c r="T39" s="69">
        <f t="shared" si="101"/>
        <v>1249.5</v>
      </c>
      <c r="U39" s="69">
        <f t="shared" si="101"/>
        <v>1249.5</v>
      </c>
      <c r="V39" s="69">
        <f t="shared" ref="V39" si="102">U39</f>
        <v>1249.5</v>
      </c>
      <c r="W39" s="69">
        <f t="shared" ref="W39" si="103">V39</f>
        <v>1249.5</v>
      </c>
      <c r="X39" s="69">
        <f t="shared" ref="X39" si="104">W39</f>
        <v>1249.5</v>
      </c>
      <c r="Y39" s="69">
        <f t="shared" ref="Y39" si="105">X39</f>
        <v>1249.5</v>
      </c>
      <c r="Z39" s="69">
        <f t="shared" ref="Z39" si="106">Y39</f>
        <v>1249.5</v>
      </c>
      <c r="AA39" s="69">
        <f t="shared" ref="AA39" si="107">Z39</f>
        <v>1249.5</v>
      </c>
      <c r="AB39" s="69">
        <f t="shared" ref="AB39" si="108">AA39</f>
        <v>1249.5</v>
      </c>
    </row>
    <row r="40" spans="2:28">
      <c r="B40" s="554" t="s">
        <v>3042</v>
      </c>
      <c r="E40" s="458">
        <f>'Hospit_Data_"0"'!J3</f>
        <v>50878.308301205587</v>
      </c>
      <c r="F40" s="458">
        <f>'Hospit_Data_"0"'!K3</f>
        <v>42074.749266741324</v>
      </c>
      <c r="G40" s="607">
        <f>'Hospit_Data_"0"'!L3</f>
        <v>50878.308301205587</v>
      </c>
      <c r="H40" s="69">
        <f>'Hospit_Data_"0"'!M3</f>
        <v>50891.720501156626</v>
      </c>
      <c r="I40" s="69">
        <f>I51-I50</f>
        <v>50381.192550533953</v>
      </c>
      <c r="J40" s="69">
        <f t="shared" ref="J40:U40" si="109">J51-J50</f>
        <v>50421.638915522606</v>
      </c>
      <c r="K40" s="69">
        <f t="shared" si="109"/>
        <v>50470.059209398256</v>
      </c>
      <c r="L40" s="69">
        <f t="shared" si="109"/>
        <v>50715.689643894882</v>
      </c>
      <c r="M40" s="69">
        <f t="shared" si="109"/>
        <v>49084.655661410303</v>
      </c>
      <c r="N40" s="69">
        <f t="shared" si="109"/>
        <v>47707.673908372562</v>
      </c>
      <c r="O40" s="69">
        <f t="shared" si="109"/>
        <v>47036.744164624863</v>
      </c>
      <c r="P40" s="69">
        <f t="shared" si="109"/>
        <v>47054.787110279336</v>
      </c>
      <c r="Q40" s="69">
        <f t="shared" si="109"/>
        <v>47046.223280626902</v>
      </c>
      <c r="R40" s="69">
        <f t="shared" si="109"/>
        <v>47049.709932476966</v>
      </c>
      <c r="S40" s="69">
        <f t="shared" si="109"/>
        <v>47036.874515280593</v>
      </c>
      <c r="T40" s="69">
        <f t="shared" si="109"/>
        <v>46986.530963576479</v>
      </c>
      <c r="U40" s="69">
        <f t="shared" si="109"/>
        <v>46907.427802591788</v>
      </c>
      <c r="V40" s="69">
        <f t="shared" ref="V40:AB40" si="110">V51-V50</f>
        <v>46917.843436072813</v>
      </c>
      <c r="W40" s="69">
        <f t="shared" si="110"/>
        <v>46928.259069553846</v>
      </c>
      <c r="X40" s="69">
        <f t="shared" si="110"/>
        <v>46938.674703034878</v>
      </c>
      <c r="Y40" s="69">
        <f t="shared" si="110"/>
        <v>46949.090336515903</v>
      </c>
      <c r="Z40" s="69">
        <f t="shared" si="110"/>
        <v>46959.505969996935</v>
      </c>
      <c r="AA40" s="69">
        <f t="shared" si="110"/>
        <v>46969.92160347796</v>
      </c>
      <c r="AB40" s="69">
        <f t="shared" si="110"/>
        <v>46980.337236958992</v>
      </c>
    </row>
    <row r="41" spans="2:28" s="763" customFormat="1">
      <c r="B41" s="762" t="s">
        <v>3071</v>
      </c>
      <c r="G41" s="764"/>
      <c r="H41" s="765">
        <v>0</v>
      </c>
      <c r="I41" s="765">
        <v>0</v>
      </c>
      <c r="J41" s="765">
        <v>0</v>
      </c>
      <c r="K41" s="765">
        <v>0</v>
      </c>
      <c r="L41" s="765">
        <v>0</v>
      </c>
      <c r="M41" s="765">
        <v>0</v>
      </c>
      <c r="N41" s="765">
        <v>0</v>
      </c>
      <c r="O41" s="765">
        <v>0</v>
      </c>
      <c r="P41" s="765">
        <v>0</v>
      </c>
      <c r="Q41" s="765">
        <v>0</v>
      </c>
      <c r="R41" s="765">
        <v>0</v>
      </c>
      <c r="S41" s="765">
        <v>0</v>
      </c>
      <c r="T41" s="765">
        <v>0</v>
      </c>
      <c r="U41" s="765">
        <v>0</v>
      </c>
      <c r="V41" s="765">
        <v>0</v>
      </c>
      <c r="W41" s="765">
        <v>0</v>
      </c>
      <c r="X41" s="765">
        <v>0</v>
      </c>
      <c r="Y41" s="765">
        <v>0</v>
      </c>
      <c r="Z41" s="765">
        <v>0</v>
      </c>
      <c r="AA41" s="765">
        <v>0</v>
      </c>
      <c r="AB41" s="765">
        <v>0</v>
      </c>
    </row>
    <row r="42" spans="2:28" s="763" customFormat="1">
      <c r="B42" s="762" t="s">
        <v>3073</v>
      </c>
      <c r="G42" s="764"/>
      <c r="H42" s="765">
        <f>H40-G40</f>
        <v>13.412199951038929</v>
      </c>
      <c r="I42" s="765">
        <f t="shared" ref="I42:U42" si="111">I40-H40</f>
        <v>-510.52795062267251</v>
      </c>
      <c r="J42" s="765">
        <f t="shared" si="111"/>
        <v>40.446364988652931</v>
      </c>
      <c r="K42" s="765">
        <f t="shared" si="111"/>
        <v>48.420293875649804</v>
      </c>
      <c r="L42" s="765">
        <f t="shared" si="111"/>
        <v>245.63043449662655</v>
      </c>
      <c r="M42" s="765">
        <f t="shared" si="111"/>
        <v>-1631.0339824845796</v>
      </c>
      <c r="N42" s="765">
        <f t="shared" si="111"/>
        <v>-1376.9817530377404</v>
      </c>
      <c r="O42" s="765">
        <f t="shared" si="111"/>
        <v>-670.92974374769983</v>
      </c>
      <c r="P42" s="765">
        <f t="shared" si="111"/>
        <v>18.042945654473442</v>
      </c>
      <c r="Q42" s="765">
        <f t="shared" si="111"/>
        <v>-8.5638296524339239</v>
      </c>
      <c r="R42" s="765">
        <f t="shared" si="111"/>
        <v>3.4866518500639359</v>
      </c>
      <c r="S42" s="765">
        <f t="shared" si="111"/>
        <v>-12.835417196372873</v>
      </c>
      <c r="T42" s="765">
        <f t="shared" si="111"/>
        <v>-50.343551704114361</v>
      </c>
      <c r="U42" s="765">
        <f t="shared" si="111"/>
        <v>-79.103160984690476</v>
      </c>
      <c r="V42" s="765">
        <f t="shared" ref="V42:AB42" si="112">V40-U40</f>
        <v>10.415633481024997</v>
      </c>
      <c r="W42" s="765">
        <f t="shared" si="112"/>
        <v>10.415633481032273</v>
      </c>
      <c r="X42" s="765">
        <f t="shared" si="112"/>
        <v>10.415633481032273</v>
      </c>
      <c r="Y42" s="765">
        <f t="shared" si="112"/>
        <v>10.415633481024997</v>
      </c>
      <c r="Z42" s="765">
        <f t="shared" si="112"/>
        <v>10.415633481032273</v>
      </c>
      <c r="AA42" s="765">
        <f t="shared" si="112"/>
        <v>10.415633481024997</v>
      </c>
      <c r="AB42" s="765">
        <f t="shared" si="112"/>
        <v>10.415633481032273</v>
      </c>
    </row>
    <row r="43" spans="2:28" s="763" customFormat="1">
      <c r="B43" s="762" t="s">
        <v>3072</v>
      </c>
      <c r="G43" s="764"/>
      <c r="H43" s="765">
        <f>H50-G50</f>
        <v>3551.6689238951949</v>
      </c>
      <c r="I43" s="765">
        <f t="shared" ref="I43:U43" si="113">I50-H50</f>
        <v>-93.644614962189735</v>
      </c>
      <c r="J43" s="765">
        <f t="shared" si="113"/>
        <v>-6.6141091572217192</v>
      </c>
      <c r="K43" s="765">
        <f t="shared" si="113"/>
        <v>-5.375572220425056</v>
      </c>
      <c r="L43" s="765">
        <f t="shared" si="113"/>
        <v>25.558242723373951</v>
      </c>
      <c r="M43" s="765">
        <f t="shared" si="113"/>
        <v>-268.62988598597804</v>
      </c>
      <c r="N43" s="765">
        <f t="shared" si="113"/>
        <v>-228.04110273225615</v>
      </c>
      <c r="O43" s="765">
        <f t="shared" si="113"/>
        <v>-117.05438625092756</v>
      </c>
      <c r="P43" s="765">
        <f t="shared" si="113"/>
        <v>-9.2756383689875292</v>
      </c>
      <c r="Q43" s="765">
        <f t="shared" si="113"/>
        <v>-13.42137522831581</v>
      </c>
      <c r="R43" s="765">
        <f t="shared" si="113"/>
        <v>-11.538817822305646</v>
      </c>
      <c r="S43" s="765">
        <f t="shared" si="113"/>
        <v>-14.067693618412704</v>
      </c>
      <c r="T43" s="765">
        <f t="shared" si="113"/>
        <v>-19.865701324161819</v>
      </c>
      <c r="U43" s="765">
        <f t="shared" si="113"/>
        <v>-24.281970186844774</v>
      </c>
      <c r="V43" s="765">
        <f t="shared" ref="V43:AB43" si="114">V50-U50</f>
        <v>-10.415633481028635</v>
      </c>
      <c r="W43" s="765">
        <f t="shared" si="114"/>
        <v>-10.415633481028635</v>
      </c>
      <c r="X43" s="765">
        <f t="shared" si="114"/>
        <v>-10.415633481029545</v>
      </c>
      <c r="Y43" s="765">
        <f t="shared" si="114"/>
        <v>-10.415633481028635</v>
      </c>
      <c r="Z43" s="765">
        <f t="shared" si="114"/>
        <v>-10.415633481029545</v>
      </c>
      <c r="AA43" s="765">
        <f t="shared" si="114"/>
        <v>-10.415633481028635</v>
      </c>
      <c r="AB43" s="765">
        <f t="shared" si="114"/>
        <v>-10.415633481028635</v>
      </c>
    </row>
    <row r="44" spans="2:28" s="767" customFormat="1">
      <c r="B44" s="766" t="s">
        <v>3074</v>
      </c>
      <c r="G44" s="768"/>
      <c r="H44" s="767">
        <f t="shared" ref="H44:U44" si="115">H41*H68</f>
        <v>0</v>
      </c>
      <c r="I44" s="767">
        <f t="shared" si="115"/>
        <v>0</v>
      </c>
      <c r="J44" s="767">
        <f t="shared" si="115"/>
        <v>0</v>
      </c>
      <c r="K44" s="767">
        <f t="shared" si="115"/>
        <v>0</v>
      </c>
      <c r="L44" s="767">
        <f t="shared" si="115"/>
        <v>0</v>
      </c>
      <c r="M44" s="767">
        <f t="shared" si="115"/>
        <v>0</v>
      </c>
      <c r="N44" s="767">
        <f t="shared" si="115"/>
        <v>0</v>
      </c>
      <c r="O44" s="767">
        <f t="shared" si="115"/>
        <v>0</v>
      </c>
      <c r="P44" s="767">
        <f t="shared" si="115"/>
        <v>0</v>
      </c>
      <c r="Q44" s="767">
        <f t="shared" si="115"/>
        <v>0</v>
      </c>
      <c r="R44" s="767">
        <f t="shared" si="115"/>
        <v>0</v>
      </c>
      <c r="S44" s="767">
        <f t="shared" si="115"/>
        <v>0</v>
      </c>
      <c r="T44" s="767">
        <f t="shared" si="115"/>
        <v>0</v>
      </c>
      <c r="U44" s="767">
        <f t="shared" si="115"/>
        <v>0</v>
      </c>
      <c r="V44" s="767">
        <f t="shared" ref="V44:AB44" si="116">V41*V68</f>
        <v>0</v>
      </c>
      <c r="W44" s="767">
        <f t="shared" si="116"/>
        <v>0</v>
      </c>
      <c r="X44" s="767">
        <f t="shared" si="116"/>
        <v>0</v>
      </c>
      <c r="Y44" s="767">
        <f t="shared" si="116"/>
        <v>0</v>
      </c>
      <c r="Z44" s="767">
        <f t="shared" si="116"/>
        <v>0</v>
      </c>
      <c r="AA44" s="767">
        <f t="shared" si="116"/>
        <v>0</v>
      </c>
      <c r="AB44" s="767">
        <f t="shared" si="116"/>
        <v>0</v>
      </c>
    </row>
    <row r="45" spans="2:28" s="767" customFormat="1">
      <c r="B45" s="766" t="s">
        <v>3075</v>
      </c>
      <c r="G45" s="768"/>
      <c r="H45" s="767">
        <f t="shared" ref="H45:U45" si="117">H43*H69</f>
        <v>1262322.3636642739</v>
      </c>
      <c r="I45" s="767">
        <f t="shared" si="117"/>
        <v>-33282.857787842157</v>
      </c>
      <c r="J45" s="767">
        <f t="shared" si="117"/>
        <v>-2350.7646922565496</v>
      </c>
      <c r="K45" s="767">
        <f t="shared" si="117"/>
        <v>-1910.5680109093419</v>
      </c>
      <c r="L45" s="767">
        <f t="shared" si="117"/>
        <v>9083.8256766037084</v>
      </c>
      <c r="M45" s="767">
        <f t="shared" si="117"/>
        <v>-95475.541187771611</v>
      </c>
      <c r="N45" s="767">
        <f t="shared" si="117"/>
        <v>-81049.610755353016</v>
      </c>
      <c r="O45" s="767">
        <f t="shared" si="117"/>
        <v>-41603.080888375611</v>
      </c>
      <c r="P45" s="767">
        <f t="shared" si="117"/>
        <v>-3296.716558139663</v>
      </c>
      <c r="Q45" s="767">
        <f t="shared" si="117"/>
        <v>-4770.1805728141917</v>
      </c>
      <c r="R45" s="767">
        <f t="shared" si="117"/>
        <v>-4101.0882769359514</v>
      </c>
      <c r="S45" s="767">
        <f t="shared" si="117"/>
        <v>-4999.892906747622</v>
      </c>
      <c r="T45" s="767">
        <f t="shared" si="117"/>
        <v>-7060.6015337324916</v>
      </c>
      <c r="U45" s="767">
        <f t="shared" si="117"/>
        <v>-8630.217133827593</v>
      </c>
      <c r="V45" s="767">
        <f t="shared" ref="V45:AB45" si="118">V43*V69</f>
        <v>-3701.8898316719319</v>
      </c>
      <c r="W45" s="767">
        <f t="shared" si="118"/>
        <v>-3701.8898316719319</v>
      </c>
      <c r="X45" s="767">
        <f t="shared" si="118"/>
        <v>-3701.8898316722552</v>
      </c>
      <c r="Y45" s="767">
        <f t="shared" si="118"/>
        <v>-3701.8898316719319</v>
      </c>
      <c r="Z45" s="767">
        <f t="shared" si="118"/>
        <v>-3701.8898316722552</v>
      </c>
      <c r="AA45" s="767">
        <f t="shared" si="118"/>
        <v>-3701.8898316719319</v>
      </c>
      <c r="AB45" s="767">
        <f t="shared" si="118"/>
        <v>-3701.8898316719319</v>
      </c>
    </row>
    <row r="46" spans="2:28" s="767" customFormat="1">
      <c r="B46" s="766" t="s">
        <v>3076</v>
      </c>
      <c r="G46" s="768"/>
      <c r="H46" s="767">
        <f>H47*H68</f>
        <v>0</v>
      </c>
      <c r="I46" s="767">
        <f t="shared" ref="I46:U46" si="119">I47*I68</f>
        <v>0</v>
      </c>
      <c r="J46" s="767">
        <f t="shared" si="119"/>
        <v>0</v>
      </c>
      <c r="K46" s="767">
        <f t="shared" si="119"/>
        <v>0</v>
      </c>
      <c r="L46" s="767">
        <f t="shared" si="119"/>
        <v>0</v>
      </c>
      <c r="M46" s="767">
        <f t="shared" si="119"/>
        <v>0</v>
      </c>
      <c r="N46" s="767">
        <f t="shared" si="119"/>
        <v>0</v>
      </c>
      <c r="O46" s="767">
        <f t="shared" si="119"/>
        <v>0</v>
      </c>
      <c r="P46" s="767">
        <f t="shared" si="119"/>
        <v>0</v>
      </c>
      <c r="Q46" s="767">
        <f t="shared" si="119"/>
        <v>0</v>
      </c>
      <c r="R46" s="767">
        <f t="shared" si="119"/>
        <v>0</v>
      </c>
      <c r="S46" s="767">
        <f t="shared" si="119"/>
        <v>0</v>
      </c>
      <c r="T46" s="767">
        <f t="shared" si="119"/>
        <v>0</v>
      </c>
      <c r="U46" s="767">
        <f t="shared" si="119"/>
        <v>0</v>
      </c>
      <c r="V46" s="767">
        <f t="shared" ref="V46" si="120">V47*V68</f>
        <v>0</v>
      </c>
      <c r="W46" s="767">
        <f t="shared" ref="W46" si="121">W47*W68</f>
        <v>0</v>
      </c>
      <c r="X46" s="767">
        <f t="shared" ref="X46" si="122">X47*X68</f>
        <v>0</v>
      </c>
      <c r="Y46" s="767">
        <f t="shared" ref="Y46" si="123">Y47*Y68</f>
        <v>0</v>
      </c>
      <c r="Z46" s="767">
        <f t="shared" ref="Z46" si="124">Z47*Z68</f>
        <v>0</v>
      </c>
      <c r="AA46" s="767">
        <f t="shared" ref="AA46" si="125">AA47*AA68</f>
        <v>0</v>
      </c>
      <c r="AB46" s="767">
        <f t="shared" ref="AB46" si="126">AB47*AB68</f>
        <v>0</v>
      </c>
    </row>
    <row r="47" spans="2:28" s="767" customFormat="1">
      <c r="B47" s="766" t="s">
        <v>3077</v>
      </c>
      <c r="G47" s="768"/>
      <c r="H47" s="769">
        <v>0</v>
      </c>
      <c r="I47" s="769">
        <v>0</v>
      </c>
      <c r="J47" s="769">
        <v>0</v>
      </c>
      <c r="K47" s="769">
        <v>0</v>
      </c>
      <c r="L47" s="769">
        <v>0</v>
      </c>
      <c r="M47" s="769">
        <v>0</v>
      </c>
      <c r="N47" s="769">
        <v>0</v>
      </c>
      <c r="O47" s="769">
        <v>0</v>
      </c>
      <c r="P47" s="769">
        <v>0</v>
      </c>
      <c r="Q47" s="769">
        <v>0</v>
      </c>
      <c r="R47" s="769">
        <v>0</v>
      </c>
      <c r="S47" s="769">
        <v>0</v>
      </c>
      <c r="T47" s="769">
        <v>0</v>
      </c>
      <c r="U47" s="769">
        <v>0</v>
      </c>
      <c r="V47" s="769">
        <v>0</v>
      </c>
      <c r="W47" s="769">
        <v>0</v>
      </c>
      <c r="X47" s="769">
        <v>0</v>
      </c>
      <c r="Y47" s="769">
        <v>0</v>
      </c>
      <c r="Z47" s="769">
        <v>0</v>
      </c>
      <c r="AA47" s="769">
        <v>0</v>
      </c>
      <c r="AB47" s="769">
        <v>0</v>
      </c>
    </row>
    <row r="48" spans="2:28" s="836" customFormat="1">
      <c r="B48" s="835" t="s">
        <v>3137</v>
      </c>
      <c r="G48" s="837"/>
      <c r="I48" s="801"/>
      <c r="J48" s="801"/>
      <c r="K48" s="801"/>
      <c r="L48" s="801"/>
      <c r="M48" s="801"/>
      <c r="N48" s="838">
        <v>0</v>
      </c>
      <c r="O48" s="836">
        <f>N48</f>
        <v>0</v>
      </c>
      <c r="P48" s="836">
        <f t="shared" ref="P48:R48" si="127">O48</f>
        <v>0</v>
      </c>
      <c r="Q48" s="836">
        <f t="shared" si="127"/>
        <v>0</v>
      </c>
      <c r="R48" s="836">
        <f t="shared" si="127"/>
        <v>0</v>
      </c>
      <c r="S48" s="801"/>
      <c r="T48" s="801"/>
      <c r="U48" s="801"/>
      <c r="V48" s="801"/>
      <c r="W48" s="801"/>
      <c r="X48" s="801"/>
      <c r="Y48" s="801"/>
      <c r="Z48" s="801"/>
      <c r="AA48" s="801"/>
      <c r="AB48" s="801"/>
    </row>
    <row r="49" spans="2:30" s="332" customFormat="1">
      <c r="B49" s="616" t="s">
        <v>2912</v>
      </c>
      <c r="C49" s="471"/>
      <c r="D49" s="471"/>
      <c r="E49" s="471"/>
      <c r="F49" s="471"/>
      <c r="G49" s="617"/>
      <c r="H49" s="332">
        <f>H40/G40-1</f>
        <v>2.6361332361202194E-4</v>
      </c>
      <c r="I49" s="618">
        <f>'Hospit_Data_"0"'!N3/'Hospit_Data_"0"'!M3-1</f>
        <v>-1.025205680798813E-2</v>
      </c>
      <c r="J49" s="618">
        <f>'Hospit_Data_"0"'!O3/'Hospit_Data_"0"'!N3-1</f>
        <v>5.8003787315796806E-4</v>
      </c>
      <c r="K49" s="618">
        <f>'Hospit_Data_"0"'!P3/'Hospit_Data_"0"'!O3-1</f>
        <v>7.3755339235170858E-4</v>
      </c>
      <c r="L49" s="618">
        <f>'Hospit_Data_"0"'!Q3/'Hospit_Data_"0"'!P3-1</f>
        <v>4.6432804607989819E-3</v>
      </c>
      <c r="M49" s="618">
        <f>'Hospit_Data_"0"'!R3/'Hospit_Data_"0"'!Q3-1</f>
        <v>-3.2375631067097066E-2</v>
      </c>
      <c r="N49" s="618">
        <f>'Hospit_Data_"0"'!S3/'Hospit_Data_"0"'!R3-1</f>
        <v>-2.826935527688168E-2</v>
      </c>
      <c r="O49" s="618">
        <f>'Hospit_Data_"0"'!T3/'Hospit_Data_"0"'!S3-1</f>
        <v>-1.4282566493281967E-2</v>
      </c>
      <c r="P49" s="618">
        <f>'Hospit_Data_"0"'!U3/'Hospit_Data_"0"'!T3-1</f>
        <v>1.6121393349100011E-4</v>
      </c>
      <c r="Q49" s="618">
        <f>'Hospit_Data_"0"'!V3/'Hospit_Data_"0"'!U3-1</f>
        <v>-4.0420050765344051E-4</v>
      </c>
      <c r="R49" s="618">
        <f>'Hospit_Data_"0"'!W3/'Hospit_Data_"0"'!V3-1</f>
        <v>-1.4809985490182864E-4</v>
      </c>
      <c r="S49" s="618">
        <f>'Hospit_Data_"0"'!X3/'Hospit_Data_"0"'!W3-1</f>
        <v>-4.9489006938074898E-4</v>
      </c>
      <c r="T49" s="618">
        <f>'Hospit_Data_"0"'!Y3/'Hospit_Data_"0"'!X3-1</f>
        <v>-1.2921578563088731E-3</v>
      </c>
      <c r="U49" s="618">
        <f>'Hospit_Data_"0"'!Z3/'Hospit_Data_"0"'!Y3-1</f>
        <v>-1.9052011848910144E-3</v>
      </c>
      <c r="V49" s="618">
        <v>0</v>
      </c>
      <c r="W49" s="618">
        <v>0</v>
      </c>
      <c r="X49" s="618">
        <v>0</v>
      </c>
      <c r="Y49" s="618">
        <v>0</v>
      </c>
      <c r="Z49" s="618">
        <v>0</v>
      </c>
      <c r="AA49" s="618">
        <v>0</v>
      </c>
      <c r="AB49" s="618">
        <v>0</v>
      </c>
    </row>
    <row r="50" spans="2:30">
      <c r="B50" s="554" t="s">
        <v>2906</v>
      </c>
      <c r="E50" s="458">
        <f>Revenues_Data!F41</f>
        <v>8038</v>
      </c>
      <c r="F50" s="458">
        <f>Revenues_Data!G41</f>
        <v>4786</v>
      </c>
      <c r="G50" s="607">
        <f>Revenues_Data!H41</f>
        <v>4488.45</v>
      </c>
      <c r="H50" s="69">
        <f>H53*H51</f>
        <v>8040.1189238951947</v>
      </c>
      <c r="I50" s="69">
        <f t="shared" ref="I50:U50" si="128">I53*I51</f>
        <v>7946.474308933005</v>
      </c>
      <c r="J50" s="69">
        <f t="shared" si="128"/>
        <v>7939.8601997757833</v>
      </c>
      <c r="K50" s="69">
        <f t="shared" si="128"/>
        <v>7934.4846275553582</v>
      </c>
      <c r="L50" s="69">
        <f t="shared" si="128"/>
        <v>7960.0428702787322</v>
      </c>
      <c r="M50" s="69">
        <f t="shared" si="128"/>
        <v>7691.4129842927541</v>
      </c>
      <c r="N50" s="69">
        <f t="shared" si="128"/>
        <v>7463.371881560498</v>
      </c>
      <c r="O50" s="69">
        <f t="shared" si="128"/>
        <v>7346.3174953095704</v>
      </c>
      <c r="P50" s="69">
        <f t="shared" si="128"/>
        <v>7337.0418569405829</v>
      </c>
      <c r="Q50" s="69">
        <f t="shared" si="128"/>
        <v>7323.6204817122671</v>
      </c>
      <c r="R50" s="69">
        <f t="shared" si="128"/>
        <v>7312.0816638899614</v>
      </c>
      <c r="S50" s="69">
        <f t="shared" si="128"/>
        <v>7298.0139702715487</v>
      </c>
      <c r="T50" s="69">
        <f t="shared" si="128"/>
        <v>7278.1482689473869</v>
      </c>
      <c r="U50" s="69">
        <f t="shared" si="128"/>
        <v>7253.8662987605421</v>
      </c>
      <c r="V50" s="69">
        <f t="shared" ref="V50:AB50" si="129">V53*V51</f>
        <v>7243.4506652795135</v>
      </c>
      <c r="W50" s="69">
        <f t="shared" si="129"/>
        <v>7233.0350317984849</v>
      </c>
      <c r="X50" s="69">
        <f t="shared" si="129"/>
        <v>7222.6193983174553</v>
      </c>
      <c r="Y50" s="69">
        <f t="shared" si="129"/>
        <v>7212.2037648364267</v>
      </c>
      <c r="Z50" s="69">
        <f t="shared" si="129"/>
        <v>7201.7881313553971</v>
      </c>
      <c r="AA50" s="69">
        <f t="shared" si="129"/>
        <v>7191.3724978743685</v>
      </c>
      <c r="AB50" s="69">
        <f t="shared" si="129"/>
        <v>7180.9568643933399</v>
      </c>
    </row>
    <row r="51" spans="2:30">
      <c r="B51" s="554" t="s">
        <v>2910</v>
      </c>
      <c r="E51" s="458">
        <f>E40+E50</f>
        <v>58916.308301205587</v>
      </c>
      <c r="F51" s="458">
        <f>F40+F50</f>
        <v>46860.749266741324</v>
      </c>
      <c r="G51" s="607">
        <f>G40+G50</f>
        <v>55366.758301205584</v>
      </c>
      <c r="H51" s="69">
        <f>H40/(1-H53)</f>
        <v>58931.839425051825</v>
      </c>
      <c r="I51" s="69">
        <f>H51*(1+I52)</f>
        <v>58327.666859466961</v>
      </c>
      <c r="J51" s="69">
        <f t="shared" ref="J51:U51" si="130">I51*(1+J52)</f>
        <v>58361.499115298393</v>
      </c>
      <c r="K51" s="69">
        <f t="shared" si="130"/>
        <v>58404.543836953613</v>
      </c>
      <c r="L51" s="69">
        <f t="shared" si="130"/>
        <v>58675.732514173615</v>
      </c>
      <c r="M51" s="69">
        <f t="shared" si="130"/>
        <v>56776.068645703061</v>
      </c>
      <c r="N51" s="69">
        <f t="shared" si="130"/>
        <v>55171.045789933058</v>
      </c>
      <c r="O51" s="69">
        <f t="shared" si="130"/>
        <v>54383.061659934436</v>
      </c>
      <c r="P51" s="69">
        <f t="shared" si="130"/>
        <v>54391.828967219917</v>
      </c>
      <c r="Q51" s="69">
        <f t="shared" si="130"/>
        <v>54369.843762339166</v>
      </c>
      <c r="R51" s="69">
        <f t="shared" si="130"/>
        <v>54361.791596366929</v>
      </c>
      <c r="S51" s="69">
        <f t="shared" si="130"/>
        <v>54334.888485552139</v>
      </c>
      <c r="T51" s="69">
        <f t="shared" si="130"/>
        <v>54264.679232523864</v>
      </c>
      <c r="U51" s="69">
        <f t="shared" si="130"/>
        <v>54161.29410135233</v>
      </c>
      <c r="V51" s="69">
        <f t="shared" ref="V51" si="131">U51*(1+V52)</f>
        <v>54161.29410135233</v>
      </c>
      <c r="W51" s="69">
        <f t="shared" ref="W51" si="132">V51*(1+W52)</f>
        <v>54161.29410135233</v>
      </c>
      <c r="X51" s="69">
        <f t="shared" ref="X51" si="133">W51*(1+X52)</f>
        <v>54161.29410135233</v>
      </c>
      <c r="Y51" s="69">
        <f t="shared" ref="Y51" si="134">X51*(1+Y52)</f>
        <v>54161.29410135233</v>
      </c>
      <c r="Z51" s="69">
        <f t="shared" ref="Z51" si="135">Y51*(1+Z52)</f>
        <v>54161.29410135233</v>
      </c>
      <c r="AA51" s="69">
        <f t="shared" ref="AA51" si="136">Z51*(1+AA52)</f>
        <v>54161.29410135233</v>
      </c>
      <c r="AB51" s="69">
        <f t="shared" ref="AB51" si="137">AA51*(1+AB52)</f>
        <v>54161.29410135233</v>
      </c>
    </row>
    <row r="52" spans="2:30" s="332" customFormat="1">
      <c r="B52" s="616" t="s">
        <v>2913</v>
      </c>
      <c r="C52" s="471"/>
      <c r="D52" s="471"/>
      <c r="E52" s="471"/>
      <c r="F52" s="471"/>
      <c r="G52" s="617"/>
      <c r="H52" s="332">
        <f>H49</f>
        <v>2.6361332361202194E-4</v>
      </c>
      <c r="I52" s="332">
        <f t="shared" ref="I52:U52" si="138">I49</f>
        <v>-1.025205680798813E-2</v>
      </c>
      <c r="J52" s="332">
        <f t="shared" si="138"/>
        <v>5.8003787315796806E-4</v>
      </c>
      <c r="K52" s="332">
        <f t="shared" si="138"/>
        <v>7.3755339235170858E-4</v>
      </c>
      <c r="L52" s="332">
        <f t="shared" si="138"/>
        <v>4.6432804607989819E-3</v>
      </c>
      <c r="M52" s="332">
        <f t="shared" si="138"/>
        <v>-3.2375631067097066E-2</v>
      </c>
      <c r="N52" s="332">
        <f t="shared" si="138"/>
        <v>-2.826935527688168E-2</v>
      </c>
      <c r="O52" s="332">
        <f t="shared" si="138"/>
        <v>-1.4282566493281967E-2</v>
      </c>
      <c r="P52" s="332">
        <f t="shared" si="138"/>
        <v>1.6121393349100011E-4</v>
      </c>
      <c r="Q52" s="332">
        <f t="shared" si="138"/>
        <v>-4.0420050765344051E-4</v>
      </c>
      <c r="R52" s="332">
        <f t="shared" si="138"/>
        <v>-1.4809985490182864E-4</v>
      </c>
      <c r="S52" s="332">
        <f t="shared" si="138"/>
        <v>-4.9489006938074898E-4</v>
      </c>
      <c r="T52" s="332">
        <f t="shared" si="138"/>
        <v>-1.2921578563088731E-3</v>
      </c>
      <c r="U52" s="332">
        <f t="shared" si="138"/>
        <v>-1.9052011848910144E-3</v>
      </c>
      <c r="V52" s="332">
        <f t="shared" ref="V52:AB52" si="139">V49</f>
        <v>0</v>
      </c>
      <c r="W52" s="332">
        <f t="shared" si="139"/>
        <v>0</v>
      </c>
      <c r="X52" s="332">
        <f t="shared" si="139"/>
        <v>0</v>
      </c>
      <c r="Y52" s="332">
        <f t="shared" si="139"/>
        <v>0</v>
      </c>
      <c r="Z52" s="332">
        <f t="shared" si="139"/>
        <v>0</v>
      </c>
      <c r="AA52" s="332">
        <f t="shared" si="139"/>
        <v>0</v>
      </c>
      <c r="AB52" s="332">
        <f t="shared" si="139"/>
        <v>0</v>
      </c>
    </row>
    <row r="53" spans="2:30" s="332" customFormat="1">
      <c r="B53" s="616" t="s">
        <v>2911</v>
      </c>
      <c r="C53" s="471"/>
      <c r="D53" s="471"/>
      <c r="E53" s="471">
        <f>E50/E51</f>
        <v>0.13643081570736368</v>
      </c>
      <c r="F53" s="471">
        <f t="shared" ref="F53:G53" si="140">F50/F51</f>
        <v>0.1021323831754604</v>
      </c>
      <c r="G53" s="617">
        <f t="shared" si="140"/>
        <v>8.1067596112129006E-2</v>
      </c>
      <c r="H53" s="332">
        <f>E53</f>
        <v>0.13643081570736368</v>
      </c>
      <c r="I53" s="332">
        <f t="shared" ref="I53:T53" si="141">H53+($U$53-$H$53)/COUNT($I$39:$U$39)</f>
        <v>0.13623850801505599</v>
      </c>
      <c r="J53" s="332">
        <f t="shared" si="141"/>
        <v>0.13604620032274831</v>
      </c>
      <c r="K53" s="332">
        <f t="shared" si="141"/>
        <v>0.13585389263044062</v>
      </c>
      <c r="L53" s="332">
        <f t="shared" si="141"/>
        <v>0.13566158493813293</v>
      </c>
      <c r="M53" s="332">
        <f t="shared" si="141"/>
        <v>0.13546927724582525</v>
      </c>
      <c r="N53" s="332">
        <f t="shared" si="141"/>
        <v>0.13527696955351756</v>
      </c>
      <c r="O53" s="332">
        <f t="shared" si="141"/>
        <v>0.13508466186120988</v>
      </c>
      <c r="P53" s="332">
        <f t="shared" si="141"/>
        <v>0.13489235416890219</v>
      </c>
      <c r="Q53" s="332">
        <f t="shared" si="141"/>
        <v>0.1347000464765945</v>
      </c>
      <c r="R53" s="332">
        <f t="shared" si="141"/>
        <v>0.13450773878428682</v>
      </c>
      <c r="S53" s="332">
        <f t="shared" si="141"/>
        <v>0.13431543109197913</v>
      </c>
      <c r="T53" s="332">
        <f t="shared" si="141"/>
        <v>0.13412312339967145</v>
      </c>
      <c r="U53" s="803">
        <f>H53-0.25%</f>
        <v>0.13393081570736368</v>
      </c>
      <c r="V53" s="332">
        <f t="shared" ref="V53:AB53" si="142">U53+($U$53-$H$53)/COUNT($I$39:$U$39)</f>
        <v>0.13373850801505599</v>
      </c>
      <c r="W53" s="332">
        <f t="shared" si="142"/>
        <v>0.1335462003227483</v>
      </c>
      <c r="X53" s="332">
        <f t="shared" si="142"/>
        <v>0.13335389263044062</v>
      </c>
      <c r="Y53" s="332">
        <f t="shared" si="142"/>
        <v>0.13316158493813293</v>
      </c>
      <c r="Z53" s="332">
        <f t="shared" si="142"/>
        <v>0.13296927724582525</v>
      </c>
      <c r="AA53" s="332">
        <f t="shared" si="142"/>
        <v>0.13277696955351756</v>
      </c>
      <c r="AB53" s="332">
        <f t="shared" si="142"/>
        <v>0.13258466186120987</v>
      </c>
      <c r="AD53" s="682" t="s">
        <v>3078</v>
      </c>
    </row>
    <row r="54" spans="2:30">
      <c r="B54" s="554" t="s">
        <v>2905</v>
      </c>
      <c r="E54" s="458">
        <f>Revenues_Data!F25</f>
        <v>706654</v>
      </c>
      <c r="F54" s="458">
        <f>Revenues_Data!G25</f>
        <v>595152</v>
      </c>
      <c r="G54" s="607">
        <f>Revenues_Data!H25</f>
        <v>702975.45000000007</v>
      </c>
      <c r="H54" s="69">
        <f>H63*H51</f>
        <v>748240.23674601666</v>
      </c>
      <c r="I54" s="69">
        <f t="shared" ref="I54:U54" si="143">I63*I51</f>
        <v>740569.23533287412</v>
      </c>
      <c r="J54" s="69">
        <f t="shared" si="143"/>
        <v>740998.79353706283</v>
      </c>
      <c r="K54" s="69">
        <f t="shared" si="143"/>
        <v>741545.31971096457</v>
      </c>
      <c r="L54" s="69">
        <f t="shared" si="143"/>
        <v>744988.52260477538</v>
      </c>
      <c r="M54" s="69">
        <f t="shared" si="143"/>
        <v>720869.04904770153</v>
      </c>
      <c r="N54" s="69">
        <f t="shared" si="143"/>
        <v>700490.54579206416</v>
      </c>
      <c r="O54" s="69">
        <f t="shared" si="143"/>
        <v>690485.74299387366</v>
      </c>
      <c r="P54" s="69">
        <f t="shared" si="143"/>
        <v>690597.05891652114</v>
      </c>
      <c r="Q54" s="69">
        <f t="shared" si="143"/>
        <v>690317.91923472309</v>
      </c>
      <c r="R54" s="69">
        <f t="shared" si="143"/>
        <v>690215.68325104832</v>
      </c>
      <c r="S54" s="69">
        <f t="shared" si="143"/>
        <v>689874.10236367653</v>
      </c>
      <c r="T54" s="69">
        <f t="shared" si="143"/>
        <v>688982.67612244317</v>
      </c>
      <c r="U54" s="69">
        <f t="shared" si="143"/>
        <v>687670.02551152534</v>
      </c>
      <c r="V54" s="69">
        <f t="shared" ref="V54:AB54" si="144">V63*V51</f>
        <v>687670.02551152534</v>
      </c>
      <c r="W54" s="69">
        <f t="shared" si="144"/>
        <v>687670.02551152534</v>
      </c>
      <c r="X54" s="69">
        <f t="shared" si="144"/>
        <v>687670.02551152534</v>
      </c>
      <c r="Y54" s="69">
        <f t="shared" si="144"/>
        <v>687670.02551152534</v>
      </c>
      <c r="Z54" s="69">
        <f t="shared" si="144"/>
        <v>687670.02551152534</v>
      </c>
      <c r="AA54" s="69">
        <f t="shared" si="144"/>
        <v>687670.02551152534</v>
      </c>
      <c r="AB54" s="69">
        <f t="shared" si="144"/>
        <v>687670.02551152534</v>
      </c>
      <c r="AC54" s="332">
        <f>U54/E54-1</f>
        <v>-2.6864596377399241E-2</v>
      </c>
    </row>
    <row r="55" spans="2:30">
      <c r="B55" s="554" t="s">
        <v>2904</v>
      </c>
      <c r="E55" s="458">
        <f>Revenues_Data!F33</f>
        <v>581507</v>
      </c>
      <c r="F55" s="458">
        <f>Revenues_Data!G33</f>
        <v>412794</v>
      </c>
      <c r="G55" s="607">
        <f>Revenues_Data!H33</f>
        <v>585417.85</v>
      </c>
      <c r="H55" s="69">
        <f>H64*H51</f>
        <v>623113.06985093723</v>
      </c>
      <c r="I55" s="69">
        <f t="shared" ref="I55:U55" si="145">I64*I51</f>
        <v>616724.87926102558</v>
      </c>
      <c r="J55" s="69">
        <f t="shared" si="145"/>
        <v>617082.60304831574</v>
      </c>
      <c r="K55" s="69">
        <f t="shared" si="145"/>
        <v>617537.73441555526</v>
      </c>
      <c r="L55" s="69">
        <f t="shared" si="145"/>
        <v>620405.13531157305</v>
      </c>
      <c r="M55" s="69">
        <f t="shared" si="145"/>
        <v>600319.12753859325</v>
      </c>
      <c r="N55" s="69">
        <f t="shared" si="145"/>
        <v>583348.49284269707</v>
      </c>
      <c r="O55" s="69">
        <f t="shared" si="145"/>
        <v>575016.77920491539</v>
      </c>
      <c r="P55" s="69">
        <f t="shared" si="145"/>
        <v>575109.4799217144</v>
      </c>
      <c r="Q55" s="69">
        <f t="shared" si="145"/>
        <v>574877.02037797368</v>
      </c>
      <c r="R55" s="69">
        <f t="shared" si="145"/>
        <v>574791.88117466937</v>
      </c>
      <c r="S55" s="69">
        <f t="shared" si="145"/>
        <v>574507.42238071526</v>
      </c>
      <c r="T55" s="69">
        <f t="shared" si="145"/>
        <v>573765.06810137827</v>
      </c>
      <c r="U55" s="69">
        <f t="shared" si="145"/>
        <v>572671.93021378247</v>
      </c>
      <c r="V55" s="69">
        <f t="shared" ref="V55:AB55" si="146">V64*V51</f>
        <v>572671.93021378247</v>
      </c>
      <c r="W55" s="69">
        <f t="shared" si="146"/>
        <v>572671.93021378247</v>
      </c>
      <c r="X55" s="69">
        <f t="shared" si="146"/>
        <v>572671.93021378247</v>
      </c>
      <c r="Y55" s="69">
        <f t="shared" si="146"/>
        <v>572671.93021378247</v>
      </c>
      <c r="Z55" s="69">
        <f t="shared" si="146"/>
        <v>572671.93021378247</v>
      </c>
      <c r="AA55" s="69">
        <f t="shared" si="146"/>
        <v>572671.93021378247</v>
      </c>
      <c r="AB55" s="69">
        <f t="shared" si="146"/>
        <v>572671.93021378247</v>
      </c>
      <c r="AC55" s="332">
        <f>U55/E55-1</f>
        <v>-1.5193402291318159E-2</v>
      </c>
    </row>
    <row r="56" spans="2:30">
      <c r="G56" s="607"/>
    </row>
    <row r="57" spans="2:30">
      <c r="B57" s="554" t="s">
        <v>1044</v>
      </c>
      <c r="E57" s="623">
        <f>Vykony_Data!E16</f>
        <v>6.0549387934965111</v>
      </c>
      <c r="F57" s="623">
        <f>Vykony_Data!F16</f>
        <v>5.9814488980923084</v>
      </c>
      <c r="G57" s="624">
        <f>Vykony_Data!G16</f>
        <v>6.0064165253066353</v>
      </c>
      <c r="H57" s="661">
        <f>G57</f>
        <v>6.0064165253066353</v>
      </c>
      <c r="I57" s="661">
        <f t="shared" ref="I57:T57" si="147">H57+($U$57-$H$57)/COUNT($I$39:$U$39)</f>
        <v>6.0064165253066353</v>
      </c>
      <c r="J57" s="661">
        <f t="shared" si="147"/>
        <v>6.0064165253066353</v>
      </c>
      <c r="K57" s="661">
        <f t="shared" si="147"/>
        <v>6.0064165253066353</v>
      </c>
      <c r="L57" s="661">
        <f t="shared" si="147"/>
        <v>6.0064165253066353</v>
      </c>
      <c r="M57" s="661">
        <f t="shared" si="147"/>
        <v>6.0064165253066353</v>
      </c>
      <c r="N57" s="661">
        <f t="shared" si="147"/>
        <v>6.0064165253066353</v>
      </c>
      <c r="O57" s="661">
        <f t="shared" si="147"/>
        <v>6.0064165253066353</v>
      </c>
      <c r="P57" s="661">
        <f t="shared" si="147"/>
        <v>6.0064165253066353</v>
      </c>
      <c r="Q57" s="661">
        <f t="shared" si="147"/>
        <v>6.0064165253066353</v>
      </c>
      <c r="R57" s="661">
        <f t="shared" si="147"/>
        <v>6.0064165253066353</v>
      </c>
      <c r="S57" s="661">
        <f t="shared" si="147"/>
        <v>6.0064165253066353</v>
      </c>
      <c r="T57" s="661">
        <f t="shared" si="147"/>
        <v>6.0064165253066353</v>
      </c>
      <c r="U57" s="662">
        <f>H57*(1+AC57)</f>
        <v>6.0064165253066353</v>
      </c>
      <c r="V57" s="661">
        <f>U57</f>
        <v>6.0064165253066353</v>
      </c>
      <c r="W57" s="661">
        <f t="shared" ref="W57:AB57" si="148">V57</f>
        <v>6.0064165253066353</v>
      </c>
      <c r="X57" s="661">
        <f t="shared" si="148"/>
        <v>6.0064165253066353</v>
      </c>
      <c r="Y57" s="661">
        <f t="shared" si="148"/>
        <v>6.0064165253066353</v>
      </c>
      <c r="Z57" s="661">
        <f t="shared" si="148"/>
        <v>6.0064165253066353</v>
      </c>
      <c r="AA57" s="661">
        <f t="shared" si="148"/>
        <v>6.0064165253066353</v>
      </c>
      <c r="AB57" s="661">
        <f t="shared" si="148"/>
        <v>6.0064165253066353</v>
      </c>
      <c r="AC57" s="801">
        <v>0</v>
      </c>
    </row>
    <row r="58" spans="2:30">
      <c r="B58" s="554" t="s">
        <v>3091</v>
      </c>
      <c r="E58" s="623"/>
      <c r="F58" s="623"/>
      <c r="G58" s="624"/>
      <c r="H58" s="661">
        <v>1.5</v>
      </c>
      <c r="I58" s="661">
        <f>H58</f>
        <v>1.5</v>
      </c>
      <c r="J58" s="661">
        <f t="shared" ref="J58:U58" si="149">I58</f>
        <v>1.5</v>
      </c>
      <c r="K58" s="661">
        <f t="shared" si="149"/>
        <v>1.5</v>
      </c>
      <c r="L58" s="661">
        <f t="shared" si="149"/>
        <v>1.5</v>
      </c>
      <c r="M58" s="661">
        <f t="shared" si="149"/>
        <v>1.5</v>
      </c>
      <c r="N58" s="661">
        <f t="shared" si="149"/>
        <v>1.5</v>
      </c>
      <c r="O58" s="661">
        <f t="shared" si="149"/>
        <v>1.5</v>
      </c>
      <c r="P58" s="661">
        <f t="shared" si="149"/>
        <v>1.5</v>
      </c>
      <c r="Q58" s="661">
        <f t="shared" si="149"/>
        <v>1.5</v>
      </c>
      <c r="R58" s="661">
        <f t="shared" si="149"/>
        <v>1.5</v>
      </c>
      <c r="S58" s="661">
        <f t="shared" si="149"/>
        <v>1.5</v>
      </c>
      <c r="T58" s="661">
        <f t="shared" si="149"/>
        <v>1.5</v>
      </c>
      <c r="U58" s="661">
        <f t="shared" si="149"/>
        <v>1.5</v>
      </c>
      <c r="V58" s="661">
        <f t="shared" ref="V58:AB59" si="150">U58</f>
        <v>1.5</v>
      </c>
      <c r="W58" s="661">
        <f t="shared" si="150"/>
        <v>1.5</v>
      </c>
      <c r="X58" s="661">
        <f t="shared" si="150"/>
        <v>1.5</v>
      </c>
      <c r="Y58" s="661">
        <f t="shared" si="150"/>
        <v>1.5</v>
      </c>
      <c r="Z58" s="661">
        <f t="shared" si="150"/>
        <v>1.5</v>
      </c>
      <c r="AA58" s="661">
        <f t="shared" si="150"/>
        <v>1.5</v>
      </c>
      <c r="AB58" s="661">
        <f t="shared" si="150"/>
        <v>1.5</v>
      </c>
      <c r="AC58" s="661"/>
    </row>
    <row r="59" spans="2:30">
      <c r="B59" s="554" t="s">
        <v>2983</v>
      </c>
      <c r="E59" s="623">
        <f>Vykony_Data!E10</f>
        <v>1.1667602344434214</v>
      </c>
      <c r="F59" s="623">
        <f>Vykony_Data!F10</f>
        <v>1.1668996814191746</v>
      </c>
      <c r="G59" s="624">
        <f>Vykony_Data!G10</f>
        <v>1.1897812279463655</v>
      </c>
      <c r="H59" s="661">
        <f>AVERAGE(E59:G59)</f>
        <v>1.1744803812696538</v>
      </c>
      <c r="I59" s="661">
        <f t="shared" ref="I59:T59" si="151">H59+($U$59-$H$59)/COUNT($I$39:$U$39)</f>
        <v>1.1744803812696538</v>
      </c>
      <c r="J59" s="661">
        <f t="shared" si="151"/>
        <v>1.1744803812696538</v>
      </c>
      <c r="K59" s="661">
        <f t="shared" si="151"/>
        <v>1.1744803812696538</v>
      </c>
      <c r="L59" s="661">
        <f t="shared" si="151"/>
        <v>1.1744803812696538</v>
      </c>
      <c r="M59" s="661">
        <f t="shared" si="151"/>
        <v>1.1744803812696538</v>
      </c>
      <c r="N59" s="661">
        <f t="shared" si="151"/>
        <v>1.1744803812696538</v>
      </c>
      <c r="O59" s="661">
        <f t="shared" si="151"/>
        <v>1.1744803812696538</v>
      </c>
      <c r="P59" s="661">
        <f t="shared" si="151"/>
        <v>1.1744803812696538</v>
      </c>
      <c r="Q59" s="661">
        <f t="shared" si="151"/>
        <v>1.1744803812696538</v>
      </c>
      <c r="R59" s="661">
        <f t="shared" si="151"/>
        <v>1.1744803812696538</v>
      </c>
      <c r="S59" s="661">
        <f t="shared" si="151"/>
        <v>1.1744803812696538</v>
      </c>
      <c r="T59" s="661">
        <f t="shared" si="151"/>
        <v>1.1744803812696538</v>
      </c>
      <c r="U59" s="662">
        <f>H59*(1+AC59)</f>
        <v>1.1744803812696538</v>
      </c>
      <c r="V59" s="661">
        <f t="shared" si="150"/>
        <v>1.1744803812696538</v>
      </c>
      <c r="W59" s="661">
        <f t="shared" si="150"/>
        <v>1.1744803812696538</v>
      </c>
      <c r="X59" s="661">
        <f t="shared" si="150"/>
        <v>1.1744803812696538</v>
      </c>
      <c r="Y59" s="661">
        <f t="shared" si="150"/>
        <v>1.1744803812696538</v>
      </c>
      <c r="Z59" s="661">
        <f t="shared" si="150"/>
        <v>1.1744803812696538</v>
      </c>
      <c r="AA59" s="661">
        <f t="shared" si="150"/>
        <v>1.1744803812696538</v>
      </c>
      <c r="AB59" s="661">
        <f t="shared" si="150"/>
        <v>1.1744803812696538</v>
      </c>
      <c r="AC59" s="801">
        <v>0</v>
      </c>
    </row>
    <row r="60" spans="2:30">
      <c r="B60" s="554" t="s">
        <v>2984</v>
      </c>
      <c r="E60" s="458">
        <f>Vykony_Data!E8</f>
        <v>44531</v>
      </c>
      <c r="F60" s="458">
        <f>Vykony_Data!F8</f>
        <v>43631</v>
      </c>
      <c r="G60" s="607">
        <f>Vykony_Data!G8</f>
        <v>35425</v>
      </c>
      <c r="H60" s="69">
        <f t="shared" ref="H60:U60" si="152">H40/H59</f>
        <v>43331.264883403943</v>
      </c>
      <c r="I60" s="69">
        <f t="shared" si="152"/>
        <v>42896.580780745055</v>
      </c>
      <c r="J60" s="69">
        <f t="shared" si="152"/>
        <v>42931.018448358474</v>
      </c>
      <c r="K60" s="69">
        <f t="shared" si="152"/>
        <v>42972.245440863284</v>
      </c>
      <c r="L60" s="69">
        <f t="shared" si="152"/>
        <v>43181.385106722235</v>
      </c>
      <c r="M60" s="69">
        <f t="shared" si="152"/>
        <v>41792.65694361629</v>
      </c>
      <c r="N60" s="69">
        <f t="shared" si="152"/>
        <v>40620.239102503285</v>
      </c>
      <c r="O60" s="69">
        <f t="shared" si="152"/>
        <v>40048.982439175801</v>
      </c>
      <c r="P60" s="69">
        <f t="shared" si="152"/>
        <v>40064.34493134018</v>
      </c>
      <c r="Q60" s="69">
        <f t="shared" si="152"/>
        <v>40057.053341128027</v>
      </c>
      <c r="R60" s="69">
        <f t="shared" si="152"/>
        <v>40060.022017238472</v>
      </c>
      <c r="S60" s="69">
        <f t="shared" si="152"/>
        <v>40049.093424985193</v>
      </c>
      <c r="T60" s="69">
        <f t="shared" si="152"/>
        <v>40006.228893140316</v>
      </c>
      <c r="U60" s="69">
        <f t="shared" si="152"/>
        <v>39938.877269182856</v>
      </c>
      <c r="V60" s="69">
        <f t="shared" ref="V60:AB60" si="153">V40/V59</f>
        <v>39947.745559915616</v>
      </c>
      <c r="W60" s="69">
        <f t="shared" si="153"/>
        <v>39956.613850648384</v>
      </c>
      <c r="X60" s="69">
        <f t="shared" si="153"/>
        <v>39965.482141381151</v>
      </c>
      <c r="Y60" s="69">
        <f t="shared" si="153"/>
        <v>39974.350432113919</v>
      </c>
      <c r="Z60" s="69">
        <f t="shared" si="153"/>
        <v>39983.218722846686</v>
      </c>
      <c r="AA60" s="69">
        <f t="shared" si="153"/>
        <v>39992.087013579447</v>
      </c>
      <c r="AB60" s="69">
        <f t="shared" si="153"/>
        <v>40000.955304312214</v>
      </c>
    </row>
    <row r="61" spans="2:30">
      <c r="B61" s="554" t="s">
        <v>2907</v>
      </c>
      <c r="E61" s="458">
        <f>Vykony_Data!E12</f>
        <v>269632.47941319313</v>
      </c>
      <c r="F61" s="458">
        <f>Vykony_Data!F12</f>
        <v>260976.59687266551</v>
      </c>
      <c r="G61" s="607">
        <f>Vykony_Data!G12</f>
        <v>212777.30540898757</v>
      </c>
      <c r="H61" s="69">
        <f>H60*H57+H58*H50</f>
        <v>272325.80384395929</v>
      </c>
      <c r="I61" s="69">
        <f t="shared" ref="I61:U61" si="154">I60*I57+I58*I50</f>
        <v>269574.4431440176</v>
      </c>
      <c r="J61" s="69">
        <f t="shared" si="154"/>
        <v>269771.36895612808</v>
      </c>
      <c r="K61" s="69">
        <f t="shared" si="154"/>
        <v>270010.93208686699</v>
      </c>
      <c r="L61" s="69">
        <f t="shared" si="154"/>
        <v>271305.44939606433</v>
      </c>
      <c r="M61" s="69">
        <f t="shared" si="154"/>
        <v>262561.22477904713</v>
      </c>
      <c r="N61" s="69">
        <f t="shared" si="154"/>
        <v>255177.13322952326</v>
      </c>
      <c r="O61" s="69">
        <f t="shared" si="154"/>
        <v>251570.34618734513</v>
      </c>
      <c r="P61" s="69">
        <f t="shared" si="154"/>
        <v>251648.70625659765</v>
      </c>
      <c r="Q61" s="69">
        <f t="shared" si="154"/>
        <v>251584.77786580913</v>
      </c>
      <c r="R61" s="69">
        <f t="shared" si="154"/>
        <v>251585.30074432376</v>
      </c>
      <c r="S61" s="69">
        <f t="shared" si="154"/>
        <v>251498.55752678768</v>
      </c>
      <c r="T61" s="69">
        <f t="shared" si="154"/>
        <v>251211.29674237885</v>
      </c>
      <c r="U61" s="69">
        <f t="shared" si="154"/>
        <v>250770.33187995426</v>
      </c>
      <c r="V61" s="69">
        <f t="shared" ref="V61" si="155">V60*V57+V58*V50</f>
        <v>250807.97507774117</v>
      </c>
      <c r="W61" s="69">
        <f t="shared" ref="W61" si="156">W60*W57+W58*W50</f>
        <v>250845.61827552819</v>
      </c>
      <c r="X61" s="69">
        <f t="shared" ref="X61" si="157">X60*X57+X58*X50</f>
        <v>250883.26147331516</v>
      </c>
      <c r="Y61" s="69">
        <f t="shared" ref="Y61" si="158">Y60*Y57+Y58*Y50</f>
        <v>250920.90467110212</v>
      </c>
      <c r="Z61" s="69">
        <f t="shared" ref="Z61" si="159">Z60*Z57+Z58*Z50</f>
        <v>250958.54786888912</v>
      </c>
      <c r="AA61" s="69">
        <f t="shared" ref="AA61" si="160">AA60*AA57+AA58*AA50</f>
        <v>250996.19106667602</v>
      </c>
      <c r="AB61" s="69">
        <f t="shared" ref="AB61" si="161">AB60*AB57+AB58*AB50</f>
        <v>251033.83426446299</v>
      </c>
    </row>
    <row r="62" spans="2:30" s="332" customFormat="1">
      <c r="B62" s="619" t="s">
        <v>2908</v>
      </c>
      <c r="C62" s="471"/>
      <c r="D62" s="471"/>
      <c r="E62" s="471">
        <f>Vykony_Data!E15</f>
        <v>0.54573519530188541</v>
      </c>
      <c r="F62" s="471">
        <f>Vykony_Data!F15</f>
        <v>0.52728936208967858</v>
      </c>
      <c r="G62" s="617">
        <f>Vykony_Data!G15</f>
        <v>0.46654783646935499</v>
      </c>
      <c r="H62" s="332">
        <f t="shared" ref="H62:U62" si="162">H61/(H39*365)</f>
        <v>0.59711732110698368</v>
      </c>
      <c r="I62" s="332">
        <f t="shared" si="162"/>
        <v>0.59108452837357983</v>
      </c>
      <c r="J62" s="332">
        <f t="shared" si="162"/>
        <v>0.59151631930827797</v>
      </c>
      <c r="K62" s="332">
        <f t="shared" si="162"/>
        <v>0.5920415992958652</v>
      </c>
      <c r="L62" s="332">
        <f t="shared" si="162"/>
        <v>0.5948800328812387</v>
      </c>
      <c r="M62" s="332">
        <f t="shared" si="162"/>
        <v>0.57570693982589671</v>
      </c>
      <c r="N62" s="332">
        <f t="shared" si="162"/>
        <v>0.55951615326574078</v>
      </c>
      <c r="O62" s="332">
        <f t="shared" si="162"/>
        <v>0.55160770321793406</v>
      </c>
      <c r="P62" s="332">
        <f t="shared" si="162"/>
        <v>0.55177952004165531</v>
      </c>
      <c r="Q62" s="332">
        <f t="shared" si="162"/>
        <v>0.55163934695151295</v>
      </c>
      <c r="R62" s="332">
        <f t="shared" si="162"/>
        <v>0.55164049344521093</v>
      </c>
      <c r="S62" s="332">
        <f t="shared" si="162"/>
        <v>0.55145029524530398</v>
      </c>
      <c r="T62" s="332">
        <f t="shared" si="162"/>
        <v>0.55082043062129804</v>
      </c>
      <c r="U62" s="332">
        <f t="shared" si="162"/>
        <v>0.54985354553866317</v>
      </c>
      <c r="V62" s="332">
        <f t="shared" ref="V62:AB62" si="163">V61/(V39*365)</f>
        <v>0.54993608419310991</v>
      </c>
      <c r="W62" s="332">
        <f t="shared" si="163"/>
        <v>0.55001862284755698</v>
      </c>
      <c r="X62" s="332">
        <f t="shared" si="163"/>
        <v>0.55010116150200383</v>
      </c>
      <c r="Y62" s="332">
        <f t="shared" si="163"/>
        <v>0.55018370015645079</v>
      </c>
      <c r="Z62" s="332">
        <f t="shared" si="163"/>
        <v>0.55026623881089776</v>
      </c>
      <c r="AA62" s="332">
        <f t="shared" si="163"/>
        <v>0.5503487774653445</v>
      </c>
      <c r="AB62" s="332">
        <f t="shared" si="163"/>
        <v>0.55043131611979146</v>
      </c>
    </row>
    <row r="63" spans="2:30">
      <c r="B63" s="554" t="s">
        <v>2909</v>
      </c>
      <c r="D63" s="623"/>
      <c r="E63" s="623">
        <f>E54/E51</f>
        <v>11.9942002541517</v>
      </c>
      <c r="F63" s="623">
        <f t="shared" ref="F63:G63" si="164">F54/F51</f>
        <v>12.700437131559049</v>
      </c>
      <c r="G63" s="624">
        <f t="shared" si="164"/>
        <v>12.696705958034988</v>
      </c>
      <c r="H63" s="626">
        <f>G63</f>
        <v>12.696705958034988</v>
      </c>
      <c r="I63" s="625">
        <f t="shared" ref="I63:T63" si="165">H63+($U$63-$H$63)/COUNT($I$39:$U$39)</f>
        <v>12.696705958034988</v>
      </c>
      <c r="J63" s="625">
        <f t="shared" si="165"/>
        <v>12.696705958034988</v>
      </c>
      <c r="K63" s="625">
        <f t="shared" si="165"/>
        <v>12.696705958034988</v>
      </c>
      <c r="L63" s="625">
        <f t="shared" si="165"/>
        <v>12.696705958034988</v>
      </c>
      <c r="M63" s="625">
        <f t="shared" si="165"/>
        <v>12.696705958034988</v>
      </c>
      <c r="N63" s="625">
        <f t="shared" si="165"/>
        <v>12.696705958034988</v>
      </c>
      <c r="O63" s="625">
        <f t="shared" si="165"/>
        <v>12.696705958034988</v>
      </c>
      <c r="P63" s="625">
        <f t="shared" si="165"/>
        <v>12.696705958034988</v>
      </c>
      <c r="Q63" s="625">
        <f t="shared" si="165"/>
        <v>12.696705958034988</v>
      </c>
      <c r="R63" s="625">
        <f t="shared" si="165"/>
        <v>12.696705958034988</v>
      </c>
      <c r="S63" s="625">
        <f t="shared" si="165"/>
        <v>12.696705958034988</v>
      </c>
      <c r="T63" s="625">
        <f t="shared" si="165"/>
        <v>12.696705958034988</v>
      </c>
      <c r="U63" s="626">
        <f>H63</f>
        <v>12.696705958034988</v>
      </c>
      <c r="V63" s="661">
        <f t="shared" ref="V63:AB63" si="166">U63</f>
        <v>12.696705958034988</v>
      </c>
      <c r="W63" s="661">
        <f t="shared" si="166"/>
        <v>12.696705958034988</v>
      </c>
      <c r="X63" s="661">
        <f t="shared" si="166"/>
        <v>12.696705958034988</v>
      </c>
      <c r="Y63" s="661">
        <f t="shared" si="166"/>
        <v>12.696705958034988</v>
      </c>
      <c r="Z63" s="661">
        <f t="shared" si="166"/>
        <v>12.696705958034988</v>
      </c>
      <c r="AA63" s="661">
        <f t="shared" si="166"/>
        <v>12.696705958034988</v>
      </c>
      <c r="AB63" s="661">
        <f t="shared" si="166"/>
        <v>12.696705958034988</v>
      </c>
    </row>
    <row r="64" spans="2:30">
      <c r="B64" s="554" t="s">
        <v>2914</v>
      </c>
      <c r="D64" s="623"/>
      <c r="E64" s="623">
        <f>E55/E51</f>
        <v>9.8700515488357716</v>
      </c>
      <c r="F64" s="623">
        <f t="shared" ref="F64:G64" si="167">F55/F51</f>
        <v>8.8089500586149185</v>
      </c>
      <c r="G64" s="624">
        <f t="shared" si="167"/>
        <v>10.573453602163536</v>
      </c>
      <c r="H64" s="627">
        <f>G64</f>
        <v>10.573453602163536</v>
      </c>
      <c r="I64" s="625">
        <f t="shared" ref="I64:T64" si="168">H64+($U$64-$H$64)/COUNT($I$39:$U$39)</f>
        <v>10.573453602163536</v>
      </c>
      <c r="J64" s="625">
        <f t="shared" si="168"/>
        <v>10.573453602163536</v>
      </c>
      <c r="K64" s="625">
        <f t="shared" si="168"/>
        <v>10.573453602163536</v>
      </c>
      <c r="L64" s="625">
        <f t="shared" si="168"/>
        <v>10.573453602163536</v>
      </c>
      <c r="M64" s="625">
        <f t="shared" si="168"/>
        <v>10.573453602163536</v>
      </c>
      <c r="N64" s="625">
        <f t="shared" si="168"/>
        <v>10.573453602163536</v>
      </c>
      <c r="O64" s="625">
        <f t="shared" si="168"/>
        <v>10.573453602163536</v>
      </c>
      <c r="P64" s="625">
        <f t="shared" si="168"/>
        <v>10.573453602163536</v>
      </c>
      <c r="Q64" s="625">
        <f t="shared" si="168"/>
        <v>10.573453602163536</v>
      </c>
      <c r="R64" s="625">
        <f t="shared" si="168"/>
        <v>10.573453602163536</v>
      </c>
      <c r="S64" s="625">
        <f t="shared" si="168"/>
        <v>10.573453602163536</v>
      </c>
      <c r="T64" s="625">
        <f t="shared" si="168"/>
        <v>10.573453602163536</v>
      </c>
      <c r="U64" s="626">
        <f>H64</f>
        <v>10.573453602163536</v>
      </c>
      <c r="V64" s="661">
        <f t="shared" ref="V64:AB64" si="169">U64</f>
        <v>10.573453602163536</v>
      </c>
      <c r="W64" s="661">
        <f t="shared" si="169"/>
        <v>10.573453602163536</v>
      </c>
      <c r="X64" s="661">
        <f t="shared" si="169"/>
        <v>10.573453602163536</v>
      </c>
      <c r="Y64" s="661">
        <f t="shared" si="169"/>
        <v>10.573453602163536</v>
      </c>
      <c r="Z64" s="661">
        <f t="shared" si="169"/>
        <v>10.573453602163536</v>
      </c>
      <c r="AA64" s="661">
        <f t="shared" si="169"/>
        <v>10.573453602163536</v>
      </c>
      <c r="AB64" s="661">
        <f t="shared" si="169"/>
        <v>10.573453602163536</v>
      </c>
    </row>
    <row r="65" spans="2:28">
      <c r="B65" s="554"/>
      <c r="G65" s="607"/>
    </row>
    <row r="66" spans="2:28">
      <c r="B66" s="603"/>
      <c r="C66" s="614"/>
      <c r="D66" s="614"/>
      <c r="E66" s="614"/>
      <c r="F66" s="614"/>
      <c r="G66" s="615"/>
      <c r="H66" s="604"/>
      <c r="I66" s="604"/>
      <c r="J66" s="604"/>
      <c r="K66" s="604"/>
      <c r="L66" s="604"/>
      <c r="M66" s="604"/>
      <c r="N66" s="604"/>
      <c r="O66" s="604"/>
      <c r="P66" s="604"/>
      <c r="Q66" s="604"/>
      <c r="R66" s="604"/>
      <c r="S66" s="604"/>
      <c r="T66" s="604"/>
      <c r="U66" s="604"/>
      <c r="V66" s="604"/>
      <c r="W66" s="604"/>
      <c r="X66" s="604"/>
      <c r="Y66" s="604"/>
      <c r="Z66" s="604"/>
      <c r="AA66" s="604"/>
      <c r="AB66" s="604"/>
    </row>
    <row r="67" spans="2:28">
      <c r="B67" s="598" t="s">
        <v>2923</v>
      </c>
      <c r="C67" s="608"/>
      <c r="D67" s="608"/>
      <c r="E67" s="608"/>
      <c r="F67" s="608"/>
      <c r="G67" s="609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8"/>
      <c r="Z67" s="598"/>
      <c r="AA67" s="598"/>
      <c r="AB67" s="598"/>
    </row>
    <row r="68" spans="2:28">
      <c r="B68" s="554" t="s">
        <v>2920</v>
      </c>
      <c r="E68" s="620">
        <f>E5/E40</f>
        <v>1082.8461112315429</v>
      </c>
      <c r="F68" s="632">
        <f>F5/F40</f>
        <v>1467.7055537158944</v>
      </c>
      <c r="G68" s="621">
        <f>G5/G40</f>
        <v>1421.3721164209073</v>
      </c>
      <c r="H68" s="622">
        <f t="shared" ref="H68:P68" si="170">G68*(1+H73)</f>
        <v>1421.3721164209073</v>
      </c>
      <c r="I68" s="622">
        <f t="shared" si="170"/>
        <v>1421.3721164209073</v>
      </c>
      <c r="J68" s="622">
        <f t="shared" si="170"/>
        <v>1421.3721164209073</v>
      </c>
      <c r="K68" s="622">
        <f t="shared" si="170"/>
        <v>1421.3721164209073</v>
      </c>
      <c r="L68" s="622">
        <f t="shared" si="170"/>
        <v>1421.3721164209073</v>
      </c>
      <c r="M68" s="622">
        <f t="shared" si="170"/>
        <v>1421.3721164209073</v>
      </c>
      <c r="N68" s="622">
        <f t="shared" si="170"/>
        <v>1421.3721164209073</v>
      </c>
      <c r="O68" s="622">
        <f t="shared" si="170"/>
        <v>1421.3721164209073</v>
      </c>
      <c r="P68" s="622">
        <f t="shared" si="170"/>
        <v>1421.3721164209073</v>
      </c>
      <c r="Q68" s="622">
        <f t="shared" ref="Q68" si="171">P68*(1+Q73)</f>
        <v>1421.3721164209073</v>
      </c>
      <c r="R68" s="622">
        <f t="shared" ref="R68" si="172">Q68*(1+R73)</f>
        <v>1421.3721164209073</v>
      </c>
      <c r="S68" s="622">
        <f t="shared" ref="S68" si="173">R68*(1+S73)</f>
        <v>1421.3721164209073</v>
      </c>
      <c r="T68" s="622">
        <f t="shared" ref="T68" si="174">S68*(1+T73)</f>
        <v>1421.3721164209073</v>
      </c>
      <c r="U68" s="622">
        <f t="shared" ref="U68" si="175">T68*(1+U73)</f>
        <v>1421.3721164209073</v>
      </c>
      <c r="V68" s="622">
        <f t="shared" ref="V68" si="176">U68*(1+V73)</f>
        <v>1421.3721164209073</v>
      </c>
      <c r="W68" s="622">
        <f t="shared" ref="W68" si="177">V68*(1+W73)</f>
        <v>1421.3721164209073</v>
      </c>
      <c r="X68" s="622">
        <f t="shared" ref="X68" si="178">W68*(1+X73)</f>
        <v>1421.3721164209073</v>
      </c>
      <c r="Y68" s="622">
        <f t="shared" ref="Y68" si="179">X68*(1+Y73)</f>
        <v>1421.3721164209073</v>
      </c>
      <c r="Z68" s="622">
        <f t="shared" ref="Z68" si="180">Y68*(1+Z73)</f>
        <v>1421.3721164209073</v>
      </c>
      <c r="AA68" s="622">
        <f t="shared" ref="AA68" si="181">Z68*(1+AA73)</f>
        <v>1421.3721164209073</v>
      </c>
      <c r="AB68" s="622">
        <f t="shared" ref="AB68" si="182">AA68*(1+AB73)</f>
        <v>1421.3721164209073</v>
      </c>
    </row>
    <row r="69" spans="2:28">
      <c r="B69" s="554" t="s">
        <v>2915</v>
      </c>
      <c r="E69" s="620">
        <f>E6/E50</f>
        <v>300.89667454590699</v>
      </c>
      <c r="F69" s="632">
        <f>F6/F50</f>
        <v>399.49392394483908</v>
      </c>
      <c r="G69" s="621">
        <f>G6/G50</f>
        <v>355.41667613541426</v>
      </c>
      <c r="H69" s="622">
        <f t="shared" ref="H69:T69" si="183">G69*(1+H74)</f>
        <v>355.41667613541426</v>
      </c>
      <c r="I69" s="622">
        <f t="shared" si="183"/>
        <v>355.41667613541426</v>
      </c>
      <c r="J69" s="622">
        <f t="shared" si="183"/>
        <v>355.41667613541426</v>
      </c>
      <c r="K69" s="622">
        <f t="shared" si="183"/>
        <v>355.41667613541426</v>
      </c>
      <c r="L69" s="622">
        <f t="shared" si="183"/>
        <v>355.41667613541426</v>
      </c>
      <c r="M69" s="622">
        <f t="shared" si="183"/>
        <v>355.41667613541426</v>
      </c>
      <c r="N69" s="622">
        <f t="shared" si="183"/>
        <v>355.41667613541426</v>
      </c>
      <c r="O69" s="622">
        <f t="shared" si="183"/>
        <v>355.41667613541426</v>
      </c>
      <c r="P69" s="622">
        <f t="shared" si="183"/>
        <v>355.41667613541426</v>
      </c>
      <c r="Q69" s="622">
        <f t="shared" si="183"/>
        <v>355.41667613541426</v>
      </c>
      <c r="R69" s="622">
        <f t="shared" si="183"/>
        <v>355.41667613541426</v>
      </c>
      <c r="S69" s="622">
        <f t="shared" si="183"/>
        <v>355.41667613541426</v>
      </c>
      <c r="T69" s="622">
        <f t="shared" si="183"/>
        <v>355.41667613541426</v>
      </c>
      <c r="U69" s="622">
        <f>T69*(1+U74)</f>
        <v>355.41667613541426</v>
      </c>
      <c r="V69" s="622">
        <f t="shared" ref="V69:AB69" si="184">U69*(1+V74)</f>
        <v>355.41667613541426</v>
      </c>
      <c r="W69" s="622">
        <f t="shared" si="184"/>
        <v>355.41667613541426</v>
      </c>
      <c r="X69" s="622">
        <f t="shared" si="184"/>
        <v>355.41667613541426</v>
      </c>
      <c r="Y69" s="622">
        <f t="shared" si="184"/>
        <v>355.41667613541426</v>
      </c>
      <c r="Z69" s="622">
        <f t="shared" si="184"/>
        <v>355.41667613541426</v>
      </c>
      <c r="AA69" s="622">
        <f t="shared" si="184"/>
        <v>355.41667613541426</v>
      </c>
      <c r="AB69" s="622">
        <f t="shared" si="184"/>
        <v>355.41667613541426</v>
      </c>
    </row>
    <row r="70" spans="2:28">
      <c r="B70" s="554" t="s">
        <v>2921</v>
      </c>
      <c r="E70" s="620">
        <f>E10/E55</f>
        <v>20.126287370573355</v>
      </c>
      <c r="F70" s="632">
        <f>F10/F55</f>
        <v>26.929514939655135</v>
      </c>
      <c r="G70" s="621">
        <f>G10/G55</f>
        <v>24.079815075676294</v>
      </c>
      <c r="H70" s="622">
        <f t="shared" ref="H70:T70" si="185">G70*(1+H75)</f>
        <v>24.079815075676294</v>
      </c>
      <c r="I70" s="622">
        <f t="shared" si="185"/>
        <v>24.079815075676294</v>
      </c>
      <c r="J70" s="622">
        <f t="shared" si="185"/>
        <v>24.079815075676294</v>
      </c>
      <c r="K70" s="622">
        <f t="shared" si="185"/>
        <v>24.079815075676294</v>
      </c>
      <c r="L70" s="622">
        <f t="shared" si="185"/>
        <v>24.079815075676294</v>
      </c>
      <c r="M70" s="622">
        <f t="shared" si="185"/>
        <v>24.079815075676294</v>
      </c>
      <c r="N70" s="622">
        <f t="shared" si="185"/>
        <v>24.079815075676294</v>
      </c>
      <c r="O70" s="622">
        <f t="shared" si="185"/>
        <v>24.079815075676294</v>
      </c>
      <c r="P70" s="622">
        <f t="shared" si="185"/>
        <v>24.079815075676294</v>
      </c>
      <c r="Q70" s="622">
        <f t="shared" si="185"/>
        <v>24.079815075676294</v>
      </c>
      <c r="R70" s="622">
        <f t="shared" si="185"/>
        <v>24.079815075676294</v>
      </c>
      <c r="S70" s="622">
        <f t="shared" si="185"/>
        <v>24.079815075676294</v>
      </c>
      <c r="T70" s="622">
        <f t="shared" si="185"/>
        <v>24.079815075676294</v>
      </c>
      <c r="U70" s="622">
        <f>T70*(1+U75)</f>
        <v>24.079815075676294</v>
      </c>
      <c r="V70" s="622">
        <f t="shared" ref="V70:AB70" si="186">U70*(1+V75)</f>
        <v>24.079815075676294</v>
      </c>
      <c r="W70" s="622">
        <f t="shared" si="186"/>
        <v>24.079815075676294</v>
      </c>
      <c r="X70" s="622">
        <f t="shared" si="186"/>
        <v>24.079815075676294</v>
      </c>
      <c r="Y70" s="622">
        <f t="shared" si="186"/>
        <v>24.079815075676294</v>
      </c>
      <c r="Z70" s="622">
        <f t="shared" si="186"/>
        <v>24.079815075676294</v>
      </c>
      <c r="AA70" s="622">
        <f t="shared" si="186"/>
        <v>24.079815075676294</v>
      </c>
      <c r="AB70" s="622">
        <f t="shared" si="186"/>
        <v>24.079815075676294</v>
      </c>
    </row>
    <row r="71" spans="2:28">
      <c r="B71" s="554" t="s">
        <v>2922</v>
      </c>
      <c r="E71" s="620">
        <f>E7/E54</f>
        <v>8.8316770866647598</v>
      </c>
      <c r="F71" s="632">
        <f>F7/F54</f>
        <v>13.970700426109634</v>
      </c>
      <c r="G71" s="621">
        <f>G7/G54</f>
        <v>12.57961174888824</v>
      </c>
      <c r="H71" s="622">
        <f t="shared" ref="H71:T71" si="187">G71*(1+H76)</f>
        <v>12.57961174888824</v>
      </c>
      <c r="I71" s="622">
        <f t="shared" si="187"/>
        <v>12.57961174888824</v>
      </c>
      <c r="J71" s="622">
        <f t="shared" si="187"/>
        <v>12.57961174888824</v>
      </c>
      <c r="K71" s="622">
        <f t="shared" si="187"/>
        <v>12.57961174888824</v>
      </c>
      <c r="L71" s="622">
        <f t="shared" si="187"/>
        <v>12.57961174888824</v>
      </c>
      <c r="M71" s="622">
        <f t="shared" si="187"/>
        <v>12.57961174888824</v>
      </c>
      <c r="N71" s="622">
        <f t="shared" si="187"/>
        <v>12.57961174888824</v>
      </c>
      <c r="O71" s="622">
        <f t="shared" si="187"/>
        <v>12.57961174888824</v>
      </c>
      <c r="P71" s="622">
        <f t="shared" si="187"/>
        <v>12.57961174888824</v>
      </c>
      <c r="Q71" s="622">
        <f t="shared" si="187"/>
        <v>12.57961174888824</v>
      </c>
      <c r="R71" s="622">
        <f t="shared" si="187"/>
        <v>12.57961174888824</v>
      </c>
      <c r="S71" s="622">
        <f t="shared" si="187"/>
        <v>12.57961174888824</v>
      </c>
      <c r="T71" s="622">
        <f t="shared" si="187"/>
        <v>12.57961174888824</v>
      </c>
      <c r="U71" s="622">
        <f>T71*(1+U76)</f>
        <v>12.57961174888824</v>
      </c>
      <c r="V71" s="622">
        <f t="shared" ref="V71:AB71" si="188">U71*(1+V76)</f>
        <v>12.57961174888824</v>
      </c>
      <c r="W71" s="622">
        <f t="shared" si="188"/>
        <v>12.57961174888824</v>
      </c>
      <c r="X71" s="622">
        <f t="shared" si="188"/>
        <v>12.57961174888824</v>
      </c>
      <c r="Y71" s="622">
        <f t="shared" si="188"/>
        <v>12.57961174888824</v>
      </c>
      <c r="Z71" s="622">
        <f t="shared" si="188"/>
        <v>12.57961174888824</v>
      </c>
      <c r="AA71" s="622">
        <f t="shared" si="188"/>
        <v>12.57961174888824</v>
      </c>
      <c r="AB71" s="622">
        <f t="shared" si="188"/>
        <v>12.57961174888824</v>
      </c>
    </row>
    <row r="73" spans="2:28" s="332" customFormat="1">
      <c r="B73" s="616" t="s">
        <v>2916</v>
      </c>
      <c r="C73" s="471"/>
      <c r="D73" s="471"/>
      <c r="E73" s="471"/>
      <c r="F73" s="471">
        <f t="shared" ref="F73:G76" si="189">F68/E68-1</f>
        <v>0.35541471543601255</v>
      </c>
      <c r="G73" s="617">
        <f t="shared" si="189"/>
        <v>-3.1568618908391688E-2</v>
      </c>
      <c r="H73" s="618">
        <v>0</v>
      </c>
      <c r="I73" s="332">
        <f>I$97</f>
        <v>0</v>
      </c>
      <c r="J73" s="332">
        <f t="shared" ref="J73:Y79" si="190">J$97</f>
        <v>0</v>
      </c>
      <c r="K73" s="332">
        <f t="shared" si="190"/>
        <v>0</v>
      </c>
      <c r="L73" s="332">
        <f t="shared" si="190"/>
        <v>0</v>
      </c>
      <c r="M73" s="332">
        <f t="shared" si="190"/>
        <v>0</v>
      </c>
      <c r="N73" s="332">
        <f t="shared" si="190"/>
        <v>0</v>
      </c>
      <c r="O73" s="332">
        <f t="shared" si="190"/>
        <v>0</v>
      </c>
      <c r="P73" s="332">
        <f t="shared" si="190"/>
        <v>0</v>
      </c>
      <c r="Q73" s="332">
        <f t="shared" si="190"/>
        <v>0</v>
      </c>
      <c r="R73" s="332">
        <f t="shared" si="190"/>
        <v>0</v>
      </c>
      <c r="S73" s="332">
        <f t="shared" si="190"/>
        <v>0</v>
      </c>
      <c r="T73" s="332">
        <f t="shared" si="190"/>
        <v>0</v>
      </c>
      <c r="U73" s="332">
        <f t="shared" si="190"/>
        <v>0</v>
      </c>
      <c r="V73" s="332">
        <f t="shared" si="190"/>
        <v>0</v>
      </c>
      <c r="W73" s="332">
        <f t="shared" si="190"/>
        <v>0</v>
      </c>
      <c r="X73" s="332">
        <f t="shared" si="190"/>
        <v>0</v>
      </c>
      <c r="Y73" s="332">
        <f t="shared" si="190"/>
        <v>0</v>
      </c>
      <c r="Z73" s="332">
        <f t="shared" ref="V73:AB79" si="191">Z$97</f>
        <v>0</v>
      </c>
      <c r="AA73" s="332">
        <f t="shared" si="191"/>
        <v>0</v>
      </c>
      <c r="AB73" s="332">
        <f t="shared" si="191"/>
        <v>0</v>
      </c>
    </row>
    <row r="74" spans="2:28" s="332" customFormat="1">
      <c r="B74" s="616" t="s">
        <v>2917</v>
      </c>
      <c r="C74" s="471"/>
      <c r="D74" s="471"/>
      <c r="E74" s="471"/>
      <c r="F74" s="471">
        <f t="shared" si="189"/>
        <v>0.32767809597008157</v>
      </c>
      <c r="G74" s="617">
        <f t="shared" si="189"/>
        <v>-0.11033271138189038</v>
      </c>
      <c r="H74" s="618">
        <v>0</v>
      </c>
      <c r="I74" s="332">
        <f t="shared" ref="I74:I76" si="192">I$97</f>
        <v>0</v>
      </c>
      <c r="J74" s="332">
        <f t="shared" si="190"/>
        <v>0</v>
      </c>
      <c r="K74" s="332">
        <f t="shared" si="190"/>
        <v>0</v>
      </c>
      <c r="L74" s="332">
        <f t="shared" si="190"/>
        <v>0</v>
      </c>
      <c r="M74" s="332">
        <f t="shared" si="190"/>
        <v>0</v>
      </c>
      <c r="N74" s="332">
        <f t="shared" si="190"/>
        <v>0</v>
      </c>
      <c r="O74" s="332">
        <f t="shared" si="190"/>
        <v>0</v>
      </c>
      <c r="P74" s="332">
        <f t="shared" si="190"/>
        <v>0</v>
      </c>
      <c r="Q74" s="332">
        <f t="shared" si="190"/>
        <v>0</v>
      </c>
      <c r="R74" s="332">
        <f t="shared" si="190"/>
        <v>0</v>
      </c>
      <c r="S74" s="332">
        <f t="shared" si="190"/>
        <v>0</v>
      </c>
      <c r="T74" s="332">
        <f t="shared" si="190"/>
        <v>0</v>
      </c>
      <c r="U74" s="332">
        <f t="shared" si="190"/>
        <v>0</v>
      </c>
      <c r="V74" s="332">
        <f t="shared" si="191"/>
        <v>0</v>
      </c>
      <c r="W74" s="332">
        <f t="shared" si="191"/>
        <v>0</v>
      </c>
      <c r="X74" s="332">
        <f t="shared" si="191"/>
        <v>0</v>
      </c>
      <c r="Y74" s="332">
        <f t="shared" si="191"/>
        <v>0</v>
      </c>
      <c r="Z74" s="332">
        <f t="shared" si="191"/>
        <v>0</v>
      </c>
      <c r="AA74" s="332">
        <f t="shared" si="191"/>
        <v>0</v>
      </c>
      <c r="AB74" s="332">
        <f t="shared" si="191"/>
        <v>0</v>
      </c>
    </row>
    <row r="75" spans="2:28" s="332" customFormat="1">
      <c r="B75" s="616" t="s">
        <v>2918</v>
      </c>
      <c r="C75" s="471"/>
      <c r="D75" s="471"/>
      <c r="E75" s="471"/>
      <c r="F75" s="471">
        <f t="shared" si="189"/>
        <v>0.33802695170838004</v>
      </c>
      <c r="G75" s="617">
        <f t="shared" si="189"/>
        <v>-0.10582069043443887</v>
      </c>
      <c r="H75" s="618">
        <v>0</v>
      </c>
      <c r="I75" s="332">
        <f t="shared" si="192"/>
        <v>0</v>
      </c>
      <c r="J75" s="332">
        <f t="shared" si="190"/>
        <v>0</v>
      </c>
      <c r="K75" s="332">
        <f t="shared" si="190"/>
        <v>0</v>
      </c>
      <c r="L75" s="332">
        <f t="shared" si="190"/>
        <v>0</v>
      </c>
      <c r="M75" s="332">
        <f t="shared" si="190"/>
        <v>0</v>
      </c>
      <c r="N75" s="332">
        <f t="shared" si="190"/>
        <v>0</v>
      </c>
      <c r="O75" s="332">
        <f t="shared" si="190"/>
        <v>0</v>
      </c>
      <c r="P75" s="332">
        <f t="shared" si="190"/>
        <v>0</v>
      </c>
      <c r="Q75" s="332">
        <f t="shared" si="190"/>
        <v>0</v>
      </c>
      <c r="R75" s="332">
        <f t="shared" si="190"/>
        <v>0</v>
      </c>
      <c r="S75" s="332">
        <f t="shared" si="190"/>
        <v>0</v>
      </c>
      <c r="T75" s="332">
        <f t="shared" si="190"/>
        <v>0</v>
      </c>
      <c r="U75" s="332">
        <f t="shared" si="190"/>
        <v>0</v>
      </c>
      <c r="V75" s="332">
        <f t="shared" si="191"/>
        <v>0</v>
      </c>
      <c r="W75" s="332">
        <f t="shared" si="191"/>
        <v>0</v>
      </c>
      <c r="X75" s="332">
        <f t="shared" si="191"/>
        <v>0</v>
      </c>
      <c r="Y75" s="332">
        <f t="shared" si="191"/>
        <v>0</v>
      </c>
      <c r="Z75" s="332">
        <f t="shared" si="191"/>
        <v>0</v>
      </c>
      <c r="AA75" s="332">
        <f t="shared" si="191"/>
        <v>0</v>
      </c>
      <c r="AB75" s="332">
        <f t="shared" si="191"/>
        <v>0</v>
      </c>
    </row>
    <row r="76" spans="2:28" s="332" customFormat="1">
      <c r="B76" s="616" t="s">
        <v>2919</v>
      </c>
      <c r="C76" s="471"/>
      <c r="D76" s="471"/>
      <c r="E76" s="471"/>
      <c r="F76" s="471">
        <f t="shared" si="189"/>
        <v>0.58188533038696066</v>
      </c>
      <c r="G76" s="617">
        <f t="shared" si="189"/>
        <v>-9.9571863599738242E-2</v>
      </c>
      <c r="H76" s="618">
        <v>0</v>
      </c>
      <c r="I76" s="332">
        <f t="shared" si="192"/>
        <v>0</v>
      </c>
      <c r="J76" s="332">
        <f t="shared" si="190"/>
        <v>0</v>
      </c>
      <c r="K76" s="332">
        <f t="shared" si="190"/>
        <v>0</v>
      </c>
      <c r="L76" s="332">
        <f t="shared" si="190"/>
        <v>0</v>
      </c>
      <c r="M76" s="332">
        <f t="shared" si="190"/>
        <v>0</v>
      </c>
      <c r="N76" s="332">
        <f t="shared" si="190"/>
        <v>0</v>
      </c>
      <c r="O76" s="332">
        <f t="shared" si="190"/>
        <v>0</v>
      </c>
      <c r="P76" s="332">
        <f t="shared" si="190"/>
        <v>0</v>
      </c>
      <c r="Q76" s="332">
        <f t="shared" si="190"/>
        <v>0</v>
      </c>
      <c r="R76" s="332">
        <f t="shared" si="190"/>
        <v>0</v>
      </c>
      <c r="S76" s="332">
        <f t="shared" si="190"/>
        <v>0</v>
      </c>
      <c r="T76" s="332">
        <f t="shared" si="190"/>
        <v>0</v>
      </c>
      <c r="U76" s="332">
        <f t="shared" si="190"/>
        <v>0</v>
      </c>
      <c r="V76" s="332">
        <f t="shared" si="191"/>
        <v>0</v>
      </c>
      <c r="W76" s="332">
        <f t="shared" si="191"/>
        <v>0</v>
      </c>
      <c r="X76" s="332">
        <f t="shared" si="191"/>
        <v>0</v>
      </c>
      <c r="Y76" s="332">
        <f t="shared" si="191"/>
        <v>0</v>
      </c>
      <c r="Z76" s="332">
        <f t="shared" si="191"/>
        <v>0</v>
      </c>
      <c r="AA76" s="332">
        <f t="shared" si="191"/>
        <v>0</v>
      </c>
      <c r="AB76" s="332">
        <f t="shared" si="191"/>
        <v>0</v>
      </c>
    </row>
    <row r="77" spans="2:28" s="332" customFormat="1">
      <c r="B77" s="628" t="s">
        <v>2926</v>
      </c>
      <c r="C77" s="471"/>
      <c r="D77" s="471">
        <f>D9/C9-1</f>
        <v>6.4428684139134385E-2</v>
      </c>
      <c r="E77" s="471">
        <f>E9/D9-1</f>
        <v>2.6179651394939718E-3</v>
      </c>
      <c r="F77" s="631">
        <f>F9/E9-1</f>
        <v>-0.13309188217109713</v>
      </c>
      <c r="G77" s="617">
        <f>G9/F9-1</f>
        <v>4.8159507453177763E-2</v>
      </c>
      <c r="H77" s="618">
        <v>0.02</v>
      </c>
      <c r="I77" s="332">
        <f t="shared" ref="I77:I79" si="193">I$97</f>
        <v>0</v>
      </c>
      <c r="J77" s="332">
        <f t="shared" si="190"/>
        <v>0</v>
      </c>
      <c r="K77" s="332">
        <f t="shared" si="190"/>
        <v>0</v>
      </c>
      <c r="L77" s="332">
        <f t="shared" si="190"/>
        <v>0</v>
      </c>
      <c r="M77" s="332">
        <f t="shared" si="190"/>
        <v>0</v>
      </c>
      <c r="N77" s="332">
        <f t="shared" si="190"/>
        <v>0</v>
      </c>
      <c r="O77" s="332">
        <f t="shared" si="190"/>
        <v>0</v>
      </c>
      <c r="P77" s="332">
        <f t="shared" si="190"/>
        <v>0</v>
      </c>
      <c r="Q77" s="332">
        <f t="shared" si="190"/>
        <v>0</v>
      </c>
      <c r="R77" s="332">
        <f t="shared" si="190"/>
        <v>0</v>
      </c>
      <c r="S77" s="332">
        <f t="shared" si="190"/>
        <v>0</v>
      </c>
      <c r="T77" s="332">
        <f t="shared" si="190"/>
        <v>0</v>
      </c>
      <c r="U77" s="332">
        <f t="shared" si="190"/>
        <v>0</v>
      </c>
      <c r="V77" s="332">
        <f t="shared" si="191"/>
        <v>0</v>
      </c>
      <c r="W77" s="332">
        <f t="shared" si="191"/>
        <v>0</v>
      </c>
      <c r="X77" s="332">
        <f t="shared" si="191"/>
        <v>0</v>
      </c>
      <c r="Y77" s="332">
        <f t="shared" si="191"/>
        <v>0</v>
      </c>
      <c r="Z77" s="332">
        <f t="shared" si="191"/>
        <v>0</v>
      </c>
      <c r="AA77" s="332">
        <f t="shared" si="191"/>
        <v>0</v>
      </c>
      <c r="AB77" s="332">
        <f t="shared" si="191"/>
        <v>0</v>
      </c>
    </row>
    <row r="78" spans="2:28" s="332" customFormat="1">
      <c r="B78" s="628" t="s">
        <v>2927</v>
      </c>
      <c r="C78" s="471"/>
      <c r="D78" s="471">
        <f>D8/C8-1</f>
        <v>-0.27225820115329746</v>
      </c>
      <c r="E78" s="471">
        <f>E8/D8-1</f>
        <v>-0.26871816133415705</v>
      </c>
      <c r="F78" s="631">
        <f>F8/E8-1</f>
        <v>-7.104766864460188E-2</v>
      </c>
      <c r="G78" s="617">
        <f>G8/F8-1</f>
        <v>1.6469283516389766E-2</v>
      </c>
      <c r="H78" s="618">
        <v>0.02</v>
      </c>
      <c r="I78" s="332">
        <f t="shared" si="193"/>
        <v>0</v>
      </c>
      <c r="J78" s="332">
        <f t="shared" si="190"/>
        <v>0</v>
      </c>
      <c r="K78" s="332">
        <f t="shared" si="190"/>
        <v>0</v>
      </c>
      <c r="L78" s="332">
        <f t="shared" si="190"/>
        <v>0</v>
      </c>
      <c r="M78" s="332">
        <f t="shared" si="190"/>
        <v>0</v>
      </c>
      <c r="N78" s="332">
        <f t="shared" si="190"/>
        <v>0</v>
      </c>
      <c r="O78" s="332">
        <f t="shared" si="190"/>
        <v>0</v>
      </c>
      <c r="P78" s="332">
        <f t="shared" si="190"/>
        <v>0</v>
      </c>
      <c r="Q78" s="332">
        <f t="shared" si="190"/>
        <v>0</v>
      </c>
      <c r="R78" s="332">
        <f t="shared" si="190"/>
        <v>0</v>
      </c>
      <c r="S78" s="332">
        <f t="shared" si="190"/>
        <v>0</v>
      </c>
      <c r="T78" s="332">
        <f t="shared" si="190"/>
        <v>0</v>
      </c>
      <c r="U78" s="332">
        <f t="shared" si="190"/>
        <v>0</v>
      </c>
      <c r="V78" s="332">
        <f t="shared" si="191"/>
        <v>0</v>
      </c>
      <c r="W78" s="332">
        <f t="shared" si="191"/>
        <v>0</v>
      </c>
      <c r="X78" s="332">
        <f t="shared" si="191"/>
        <v>0</v>
      </c>
      <c r="Y78" s="332">
        <f t="shared" si="191"/>
        <v>0</v>
      </c>
      <c r="Z78" s="332">
        <f t="shared" si="191"/>
        <v>0</v>
      </c>
      <c r="AA78" s="332">
        <f t="shared" si="191"/>
        <v>0</v>
      </c>
      <c r="AB78" s="332">
        <f t="shared" si="191"/>
        <v>0</v>
      </c>
    </row>
    <row r="79" spans="2:28" s="332" customFormat="1">
      <c r="B79" s="628" t="s">
        <v>2924</v>
      </c>
      <c r="C79" s="471"/>
      <c r="D79" s="471">
        <f>D16/C16-1</f>
        <v>5.7258500630075648E-2</v>
      </c>
      <c r="E79" s="471">
        <f>E16/D16-1</f>
        <v>5.1508379662194903E-2</v>
      </c>
      <c r="F79" s="631">
        <f>F16/E16-1</f>
        <v>-0.19558240360299628</v>
      </c>
      <c r="G79" s="617">
        <f>G16/F16-1</f>
        <v>0.14649609468724401</v>
      </c>
      <c r="H79" s="618">
        <v>0.05</v>
      </c>
      <c r="I79" s="332">
        <f t="shared" si="193"/>
        <v>0</v>
      </c>
      <c r="J79" s="332">
        <f t="shared" si="190"/>
        <v>0</v>
      </c>
      <c r="K79" s="332">
        <f t="shared" si="190"/>
        <v>0</v>
      </c>
      <c r="L79" s="332">
        <f t="shared" si="190"/>
        <v>0</v>
      </c>
      <c r="M79" s="332">
        <f t="shared" si="190"/>
        <v>0</v>
      </c>
      <c r="N79" s="332">
        <f t="shared" si="190"/>
        <v>0</v>
      </c>
      <c r="O79" s="332">
        <f t="shared" si="190"/>
        <v>0</v>
      </c>
      <c r="P79" s="332">
        <f t="shared" si="190"/>
        <v>0</v>
      </c>
      <c r="Q79" s="332">
        <f t="shared" si="190"/>
        <v>0</v>
      </c>
      <c r="R79" s="332">
        <f t="shared" si="190"/>
        <v>0</v>
      </c>
      <c r="S79" s="332">
        <f t="shared" si="190"/>
        <v>0</v>
      </c>
      <c r="T79" s="332">
        <f t="shared" si="190"/>
        <v>0</v>
      </c>
      <c r="U79" s="332">
        <f t="shared" si="190"/>
        <v>0</v>
      </c>
      <c r="V79" s="332">
        <f t="shared" si="191"/>
        <v>0</v>
      </c>
      <c r="W79" s="332">
        <f t="shared" si="191"/>
        <v>0</v>
      </c>
      <c r="X79" s="332">
        <f t="shared" si="191"/>
        <v>0</v>
      </c>
      <c r="Y79" s="332">
        <f t="shared" si="191"/>
        <v>0</v>
      </c>
      <c r="Z79" s="332">
        <f t="shared" si="191"/>
        <v>0</v>
      </c>
      <c r="AA79" s="332">
        <f t="shared" si="191"/>
        <v>0</v>
      </c>
      <c r="AB79" s="332">
        <f t="shared" si="191"/>
        <v>0</v>
      </c>
    </row>
    <row r="80" spans="2:28" s="332" customFormat="1">
      <c r="B80" s="628" t="s">
        <v>2925</v>
      </c>
      <c r="C80" s="629">
        <f>C17/C4</f>
        <v>7.9750803865779665E-3</v>
      </c>
      <c r="D80" s="629">
        <f>D17/D4</f>
        <v>7.513382781733002E-3</v>
      </c>
      <c r="E80" s="629">
        <f>E17/E4</f>
        <v>6.6621875168118502E-3</v>
      </c>
      <c r="F80" s="633">
        <f>F17/F4</f>
        <v>4.7615719097540863E-3</v>
      </c>
      <c r="G80" s="630">
        <f>G17/G4</f>
        <v>5.7832043028539781E-3</v>
      </c>
      <c r="H80" s="332">
        <f>E80</f>
        <v>6.6621875168118502E-3</v>
      </c>
      <c r="I80" s="332">
        <f t="shared" ref="I80:T80" si="194">H80+($U$80-$H$80)/COUNT($I$39:$U$39)</f>
        <v>6.9189423232109389E-3</v>
      </c>
      <c r="J80" s="332">
        <f t="shared" si="194"/>
        <v>7.1756971296100275E-3</v>
      </c>
      <c r="K80" s="332">
        <f t="shared" si="194"/>
        <v>7.4324519360091162E-3</v>
      </c>
      <c r="L80" s="332">
        <f t="shared" si="194"/>
        <v>7.6892067424082049E-3</v>
      </c>
      <c r="M80" s="332">
        <f t="shared" si="194"/>
        <v>7.9459615488072927E-3</v>
      </c>
      <c r="N80" s="332">
        <f t="shared" si="194"/>
        <v>8.2027163552063805E-3</v>
      </c>
      <c r="O80" s="332">
        <f t="shared" si="194"/>
        <v>8.4594711616054682E-3</v>
      </c>
      <c r="P80" s="332">
        <f t="shared" si="194"/>
        <v>8.716225968004556E-3</v>
      </c>
      <c r="Q80" s="332">
        <f t="shared" si="194"/>
        <v>8.9729807744036438E-3</v>
      </c>
      <c r="R80" s="332">
        <f t="shared" si="194"/>
        <v>9.2297355808027316E-3</v>
      </c>
      <c r="S80" s="332">
        <f t="shared" si="194"/>
        <v>9.4864903872018194E-3</v>
      </c>
      <c r="T80" s="332">
        <f t="shared" si="194"/>
        <v>9.7432451936009072E-3</v>
      </c>
      <c r="U80" s="618">
        <v>0.01</v>
      </c>
      <c r="V80" s="618">
        <f>U80</f>
        <v>0.01</v>
      </c>
      <c r="W80" s="618">
        <f>V80</f>
        <v>0.01</v>
      </c>
      <c r="X80" s="618">
        <f t="shared" ref="X80:AB80" si="195">W80</f>
        <v>0.01</v>
      </c>
      <c r="Y80" s="618">
        <f t="shared" si="195"/>
        <v>0.01</v>
      </c>
      <c r="Z80" s="618">
        <f t="shared" si="195"/>
        <v>0.01</v>
      </c>
      <c r="AA80" s="618">
        <f t="shared" si="195"/>
        <v>0.01</v>
      </c>
      <c r="AB80" s="618">
        <f t="shared" si="195"/>
        <v>0.01</v>
      </c>
    </row>
    <row r="81" spans="2:28" s="332" customFormat="1">
      <c r="B81" s="628" t="s">
        <v>2928</v>
      </c>
      <c r="C81" s="629">
        <f>C17/SUM(C5:C6)</f>
        <v>1.2689078961533829E-2</v>
      </c>
      <c r="D81" s="629">
        <f>D17/SUM(D5:D6)</f>
        <v>1.204731562865511E-2</v>
      </c>
      <c r="E81" s="629">
        <f>E17/SUM(E5:E6)</f>
        <v>1.1644243563326408E-2</v>
      </c>
      <c r="F81" s="633">
        <f>F17/SUM(F5:F6)</f>
        <v>7.9803481911568264E-3</v>
      </c>
      <c r="G81" s="630">
        <f>G17/SUM(G5:G6)</f>
        <v>9.5269278947855279E-3</v>
      </c>
      <c r="H81" s="332">
        <f>G81</f>
        <v>9.5269278947855279E-3</v>
      </c>
      <c r="I81" s="332">
        <f t="shared" ref="I81:T81" si="196">H81+($U$81-$H$81)/COUNT($I$39:$U$39)</f>
        <v>9.5269278947855279E-3</v>
      </c>
      <c r="J81" s="332">
        <f t="shared" si="196"/>
        <v>9.5269278947855279E-3</v>
      </c>
      <c r="K81" s="332">
        <f t="shared" si="196"/>
        <v>9.5269278947855279E-3</v>
      </c>
      <c r="L81" s="332">
        <f t="shared" si="196"/>
        <v>9.5269278947855279E-3</v>
      </c>
      <c r="M81" s="332">
        <f t="shared" si="196"/>
        <v>9.5269278947855279E-3</v>
      </c>
      <c r="N81" s="332">
        <f t="shared" si="196"/>
        <v>9.5269278947855279E-3</v>
      </c>
      <c r="O81" s="332">
        <f t="shared" si="196"/>
        <v>9.5269278947855279E-3</v>
      </c>
      <c r="P81" s="332">
        <f t="shared" si="196"/>
        <v>9.5269278947855279E-3</v>
      </c>
      <c r="Q81" s="332">
        <f t="shared" si="196"/>
        <v>9.5269278947855279E-3</v>
      </c>
      <c r="R81" s="332">
        <f t="shared" si="196"/>
        <v>9.5269278947855279E-3</v>
      </c>
      <c r="S81" s="332">
        <f t="shared" si="196"/>
        <v>9.5269278947855279E-3</v>
      </c>
      <c r="T81" s="332">
        <f t="shared" si="196"/>
        <v>9.5269278947855279E-3</v>
      </c>
      <c r="U81" s="618">
        <f>G81</f>
        <v>9.5269278947855279E-3</v>
      </c>
      <c r="V81" s="618">
        <f t="shared" ref="V81:AB81" si="197">H81</f>
        <v>9.5269278947855279E-3</v>
      </c>
      <c r="W81" s="618">
        <f t="shared" si="197"/>
        <v>9.5269278947855279E-3</v>
      </c>
      <c r="X81" s="618">
        <f t="shared" si="197"/>
        <v>9.5269278947855279E-3</v>
      </c>
      <c r="Y81" s="618">
        <f t="shared" si="197"/>
        <v>9.5269278947855279E-3</v>
      </c>
      <c r="Z81" s="618">
        <f t="shared" si="197"/>
        <v>9.5269278947855279E-3</v>
      </c>
      <c r="AA81" s="618">
        <f t="shared" si="197"/>
        <v>9.5269278947855279E-3</v>
      </c>
      <c r="AB81" s="618">
        <f t="shared" si="197"/>
        <v>9.5269278947855279E-3</v>
      </c>
    </row>
    <row r="82" spans="2:28" s="332" customFormat="1">
      <c r="B82" s="628" t="s">
        <v>2835</v>
      </c>
      <c r="C82" s="471"/>
      <c r="D82" s="471">
        <f>D19/C19-1</f>
        <v>-5.0233354006366526E-2</v>
      </c>
      <c r="E82" s="471">
        <f>E19/D19-1</f>
        <v>-9.3742479033412263E-2</v>
      </c>
      <c r="F82" s="631">
        <f>F19/E19-1</f>
        <v>-8.3175646947028725E-2</v>
      </c>
      <c r="G82" s="617">
        <f>G19/F19-1</f>
        <v>0.34898423449138138</v>
      </c>
      <c r="H82" s="618">
        <v>0</v>
      </c>
      <c r="I82" s="332">
        <f>I$97</f>
        <v>0</v>
      </c>
      <c r="J82" s="332">
        <f t="shared" ref="J82:AB82" si="198">J$97</f>
        <v>0</v>
      </c>
      <c r="K82" s="332">
        <f t="shared" si="198"/>
        <v>0</v>
      </c>
      <c r="L82" s="332">
        <f t="shared" si="198"/>
        <v>0</v>
      </c>
      <c r="M82" s="332">
        <f t="shared" si="198"/>
        <v>0</v>
      </c>
      <c r="N82" s="332">
        <f t="shared" si="198"/>
        <v>0</v>
      </c>
      <c r="O82" s="332">
        <f t="shared" si="198"/>
        <v>0</v>
      </c>
      <c r="P82" s="332">
        <f t="shared" si="198"/>
        <v>0</v>
      </c>
      <c r="Q82" s="332">
        <f t="shared" si="198"/>
        <v>0</v>
      </c>
      <c r="R82" s="332">
        <f t="shared" si="198"/>
        <v>0</v>
      </c>
      <c r="S82" s="332">
        <f t="shared" si="198"/>
        <v>0</v>
      </c>
      <c r="T82" s="332">
        <f t="shared" si="198"/>
        <v>0</v>
      </c>
      <c r="U82" s="332">
        <f t="shared" si="198"/>
        <v>0</v>
      </c>
      <c r="V82" s="332">
        <f t="shared" si="198"/>
        <v>0</v>
      </c>
      <c r="W82" s="332">
        <f t="shared" si="198"/>
        <v>0</v>
      </c>
      <c r="X82" s="332">
        <f t="shared" si="198"/>
        <v>0</v>
      </c>
      <c r="Y82" s="332">
        <f t="shared" si="198"/>
        <v>0</v>
      </c>
      <c r="Z82" s="332">
        <f t="shared" si="198"/>
        <v>0</v>
      </c>
      <c r="AA82" s="332">
        <f t="shared" si="198"/>
        <v>0</v>
      </c>
      <c r="AB82" s="332">
        <f t="shared" si="198"/>
        <v>0</v>
      </c>
    </row>
    <row r="83" spans="2:28" s="332" customFormat="1">
      <c r="B83" s="628" t="s">
        <v>2929</v>
      </c>
      <c r="C83" s="629">
        <f>C20/'PL"0"'!D17</f>
        <v>7.3381605699538799E-3</v>
      </c>
      <c r="D83" s="629">
        <f>D20/'PL"0"'!E17</f>
        <v>7.2344896968351644E-3</v>
      </c>
      <c r="E83" s="629">
        <f>E20/'PL"0"'!F17</f>
        <v>6.764940154808911E-3</v>
      </c>
      <c r="F83" s="633">
        <f>F20/'PL"0"'!G17</f>
        <v>4.3219116925118971E-3</v>
      </c>
      <c r="G83" s="630">
        <f>G20/'PL"0"'!H17</f>
        <v>5.0179326453226166E-3</v>
      </c>
      <c r="H83" s="332">
        <f>E83</f>
        <v>6.764940154808911E-3</v>
      </c>
      <c r="I83" s="332">
        <f t="shared" ref="I83:T83" si="199">H83+($U$83-$H$83)/COUNT($I$39:$U$39)</f>
        <v>6.764940154808911E-3</v>
      </c>
      <c r="J83" s="332">
        <f t="shared" si="199"/>
        <v>6.764940154808911E-3</v>
      </c>
      <c r="K83" s="332">
        <f t="shared" si="199"/>
        <v>6.764940154808911E-3</v>
      </c>
      <c r="L83" s="332">
        <f t="shared" si="199"/>
        <v>6.764940154808911E-3</v>
      </c>
      <c r="M83" s="332">
        <f t="shared" si="199"/>
        <v>6.764940154808911E-3</v>
      </c>
      <c r="N83" s="332">
        <f t="shared" si="199"/>
        <v>6.764940154808911E-3</v>
      </c>
      <c r="O83" s="332">
        <f t="shared" si="199"/>
        <v>6.764940154808911E-3</v>
      </c>
      <c r="P83" s="332">
        <f t="shared" si="199"/>
        <v>6.764940154808911E-3</v>
      </c>
      <c r="Q83" s="332">
        <f t="shared" si="199"/>
        <v>6.764940154808911E-3</v>
      </c>
      <c r="R83" s="332">
        <f t="shared" si="199"/>
        <v>6.764940154808911E-3</v>
      </c>
      <c r="S83" s="332">
        <f t="shared" si="199"/>
        <v>6.764940154808911E-3</v>
      </c>
      <c r="T83" s="332">
        <f t="shared" si="199"/>
        <v>6.764940154808911E-3</v>
      </c>
      <c r="U83" s="618">
        <f>H83</f>
        <v>6.764940154808911E-3</v>
      </c>
      <c r="V83" s="618">
        <f t="shared" ref="V83:AB83" si="200">I83</f>
        <v>6.764940154808911E-3</v>
      </c>
      <c r="W83" s="618">
        <f t="shared" si="200"/>
        <v>6.764940154808911E-3</v>
      </c>
      <c r="X83" s="618">
        <f t="shared" si="200"/>
        <v>6.764940154808911E-3</v>
      </c>
      <c r="Y83" s="618">
        <f t="shared" si="200"/>
        <v>6.764940154808911E-3</v>
      </c>
      <c r="Z83" s="618">
        <f t="shared" si="200"/>
        <v>6.764940154808911E-3</v>
      </c>
      <c r="AA83" s="618">
        <f t="shared" si="200"/>
        <v>6.764940154808911E-3</v>
      </c>
      <c r="AB83" s="618">
        <f t="shared" si="200"/>
        <v>6.764940154808911E-3</v>
      </c>
    </row>
    <row r="84" spans="2:28" s="332" customFormat="1">
      <c r="B84" s="628" t="s">
        <v>2930</v>
      </c>
      <c r="C84" s="471"/>
      <c r="D84" s="471">
        <f t="shared" ref="D84:G87" si="201">D23/C23-1</f>
        <v>3.4389232970257755E-2</v>
      </c>
      <c r="E84" s="471">
        <f t="shared" si="201"/>
        <v>5.1084730051250471E-2</v>
      </c>
      <c r="F84" s="631">
        <f t="shared" si="201"/>
        <v>-7.2140680905680044E-2</v>
      </c>
      <c r="G84" s="617">
        <f t="shared" si="201"/>
        <v>-9.4177788912731653E-2</v>
      </c>
      <c r="H84" s="618">
        <v>0</v>
      </c>
      <c r="I84" s="332">
        <f t="shared" ref="I84:X87" si="202">I$97</f>
        <v>0</v>
      </c>
      <c r="J84" s="332">
        <f t="shared" si="202"/>
        <v>0</v>
      </c>
      <c r="K84" s="332">
        <f t="shared" si="202"/>
        <v>0</v>
      </c>
      <c r="L84" s="332">
        <f t="shared" si="202"/>
        <v>0</v>
      </c>
      <c r="M84" s="332">
        <f t="shared" si="202"/>
        <v>0</v>
      </c>
      <c r="N84" s="332">
        <f t="shared" si="202"/>
        <v>0</v>
      </c>
      <c r="O84" s="332">
        <f t="shared" si="202"/>
        <v>0</v>
      </c>
      <c r="P84" s="332">
        <f t="shared" si="202"/>
        <v>0</v>
      </c>
      <c r="Q84" s="332">
        <f t="shared" si="202"/>
        <v>0</v>
      </c>
      <c r="R84" s="332">
        <f t="shared" si="202"/>
        <v>0</v>
      </c>
      <c r="S84" s="332">
        <f t="shared" si="202"/>
        <v>0</v>
      </c>
      <c r="T84" s="332">
        <f t="shared" si="202"/>
        <v>0</v>
      </c>
      <c r="U84" s="332">
        <f t="shared" si="202"/>
        <v>0</v>
      </c>
      <c r="V84" s="332">
        <f t="shared" si="202"/>
        <v>0</v>
      </c>
      <c r="W84" s="332">
        <f t="shared" si="202"/>
        <v>0</v>
      </c>
      <c r="X84" s="332">
        <f t="shared" si="202"/>
        <v>0</v>
      </c>
      <c r="Y84" s="332">
        <f t="shared" ref="V84:AB87" si="203">Y$97</f>
        <v>0</v>
      </c>
      <c r="Z84" s="332">
        <f t="shared" si="203"/>
        <v>0</v>
      </c>
      <c r="AA84" s="332">
        <f t="shared" si="203"/>
        <v>0</v>
      </c>
      <c r="AB84" s="332">
        <f t="shared" si="203"/>
        <v>0</v>
      </c>
    </row>
    <row r="85" spans="2:28" s="332" customFormat="1">
      <c r="B85" s="628" t="s">
        <v>2931</v>
      </c>
      <c r="C85" s="471"/>
      <c r="D85" s="471">
        <f t="shared" si="201"/>
        <v>-0.75738918739731331</v>
      </c>
      <c r="E85" s="471">
        <f t="shared" si="201"/>
        <v>7.2523610692702745E-2</v>
      </c>
      <c r="F85" s="631">
        <f t="shared" si="201"/>
        <v>-0.15039853667055325</v>
      </c>
      <c r="G85" s="617">
        <f t="shared" si="201"/>
        <v>0.39378919520057654</v>
      </c>
      <c r="H85" s="618">
        <v>0</v>
      </c>
      <c r="I85" s="332">
        <f t="shared" si="202"/>
        <v>0</v>
      </c>
      <c r="J85" s="332">
        <f t="shared" si="202"/>
        <v>0</v>
      </c>
      <c r="K85" s="332">
        <f t="shared" si="202"/>
        <v>0</v>
      </c>
      <c r="L85" s="332">
        <f t="shared" si="202"/>
        <v>0</v>
      </c>
      <c r="M85" s="332">
        <f t="shared" si="202"/>
        <v>0</v>
      </c>
      <c r="N85" s="332">
        <f t="shared" si="202"/>
        <v>0</v>
      </c>
      <c r="O85" s="332">
        <f t="shared" si="202"/>
        <v>0</v>
      </c>
      <c r="P85" s="332">
        <f t="shared" si="202"/>
        <v>0</v>
      </c>
      <c r="Q85" s="332">
        <f t="shared" si="202"/>
        <v>0</v>
      </c>
      <c r="R85" s="332">
        <f t="shared" si="202"/>
        <v>0</v>
      </c>
      <c r="S85" s="332">
        <f t="shared" si="202"/>
        <v>0</v>
      </c>
      <c r="T85" s="332">
        <f t="shared" si="202"/>
        <v>0</v>
      </c>
      <c r="U85" s="332">
        <f t="shared" si="202"/>
        <v>0</v>
      </c>
      <c r="V85" s="332">
        <f t="shared" si="203"/>
        <v>0</v>
      </c>
      <c r="W85" s="332">
        <f t="shared" si="203"/>
        <v>0</v>
      </c>
      <c r="X85" s="332">
        <f t="shared" si="203"/>
        <v>0</v>
      </c>
      <c r="Y85" s="332">
        <f t="shared" si="203"/>
        <v>0</v>
      </c>
      <c r="Z85" s="332">
        <f t="shared" si="203"/>
        <v>0</v>
      </c>
      <c r="AA85" s="332">
        <f t="shared" si="203"/>
        <v>0</v>
      </c>
      <c r="AB85" s="332">
        <f t="shared" si="203"/>
        <v>0</v>
      </c>
    </row>
    <row r="86" spans="2:28" s="332" customFormat="1">
      <c r="B86" s="628" t="s">
        <v>2932</v>
      </c>
      <c r="C86" s="471"/>
      <c r="D86" s="471">
        <f t="shared" si="201"/>
        <v>1.5656474496431594E-2</v>
      </c>
      <c r="E86" s="471">
        <f t="shared" si="201"/>
        <v>7.3159518666818357E-2</v>
      </c>
      <c r="F86" s="631">
        <f t="shared" si="201"/>
        <v>-0.65676829319473917</v>
      </c>
      <c r="G86" s="617">
        <f t="shared" si="201"/>
        <v>0.25493677315595553</v>
      </c>
      <c r="H86" s="618">
        <v>0</v>
      </c>
      <c r="I86" s="332">
        <f t="shared" si="202"/>
        <v>0</v>
      </c>
      <c r="J86" s="332">
        <f t="shared" si="202"/>
        <v>0</v>
      </c>
      <c r="K86" s="332">
        <f t="shared" si="202"/>
        <v>0</v>
      </c>
      <c r="L86" s="332">
        <f t="shared" si="202"/>
        <v>0</v>
      </c>
      <c r="M86" s="332">
        <f t="shared" si="202"/>
        <v>0</v>
      </c>
      <c r="N86" s="332">
        <f t="shared" si="202"/>
        <v>0</v>
      </c>
      <c r="O86" s="332">
        <f t="shared" si="202"/>
        <v>0</v>
      </c>
      <c r="P86" s="332">
        <f t="shared" si="202"/>
        <v>0</v>
      </c>
      <c r="Q86" s="332">
        <f t="shared" si="202"/>
        <v>0</v>
      </c>
      <c r="R86" s="332">
        <f t="shared" si="202"/>
        <v>0</v>
      </c>
      <c r="S86" s="332">
        <f t="shared" si="202"/>
        <v>0</v>
      </c>
      <c r="T86" s="332">
        <f t="shared" si="202"/>
        <v>0</v>
      </c>
      <c r="U86" s="332">
        <f t="shared" si="202"/>
        <v>0</v>
      </c>
      <c r="V86" s="332">
        <f t="shared" si="203"/>
        <v>0</v>
      </c>
      <c r="W86" s="332">
        <f t="shared" si="203"/>
        <v>0</v>
      </c>
      <c r="X86" s="332">
        <f t="shared" si="203"/>
        <v>0</v>
      </c>
      <c r="Y86" s="332">
        <f t="shared" si="203"/>
        <v>0</v>
      </c>
      <c r="Z86" s="332">
        <f t="shared" si="203"/>
        <v>0</v>
      </c>
      <c r="AA86" s="332">
        <f t="shared" si="203"/>
        <v>0</v>
      </c>
      <c r="AB86" s="332">
        <f t="shared" si="203"/>
        <v>0</v>
      </c>
    </row>
    <row r="87" spans="2:28" s="332" customFormat="1">
      <c r="B87" s="628" t="s">
        <v>2933</v>
      </c>
      <c r="C87" s="471"/>
      <c r="D87" s="471">
        <f t="shared" si="201"/>
        <v>-4.5795958500314149E-2</v>
      </c>
      <c r="E87" s="471">
        <f t="shared" si="201"/>
        <v>-3.8179936345915766E-2</v>
      </c>
      <c r="F87" s="631">
        <f t="shared" si="201"/>
        <v>-0.21195163799139627</v>
      </c>
      <c r="G87" s="617">
        <f t="shared" si="201"/>
        <v>-5.6660451128684564E-2</v>
      </c>
      <c r="H87" s="618">
        <v>0</v>
      </c>
      <c r="I87" s="332">
        <f t="shared" si="202"/>
        <v>0</v>
      </c>
      <c r="J87" s="332">
        <f t="shared" si="202"/>
        <v>0</v>
      </c>
      <c r="K87" s="332">
        <f t="shared" si="202"/>
        <v>0</v>
      </c>
      <c r="L87" s="332">
        <f t="shared" si="202"/>
        <v>0</v>
      </c>
      <c r="M87" s="332">
        <f t="shared" si="202"/>
        <v>0</v>
      </c>
      <c r="N87" s="332">
        <f t="shared" si="202"/>
        <v>0</v>
      </c>
      <c r="O87" s="332">
        <f t="shared" si="202"/>
        <v>0</v>
      </c>
      <c r="P87" s="332">
        <f t="shared" si="202"/>
        <v>0</v>
      </c>
      <c r="Q87" s="332">
        <f t="shared" si="202"/>
        <v>0</v>
      </c>
      <c r="R87" s="332">
        <f t="shared" si="202"/>
        <v>0</v>
      </c>
      <c r="S87" s="332">
        <f t="shared" si="202"/>
        <v>0</v>
      </c>
      <c r="T87" s="332">
        <f t="shared" si="202"/>
        <v>0</v>
      </c>
      <c r="U87" s="332">
        <f t="shared" si="202"/>
        <v>0</v>
      </c>
      <c r="V87" s="332">
        <f t="shared" si="203"/>
        <v>0</v>
      </c>
      <c r="W87" s="332">
        <f t="shared" si="203"/>
        <v>0</v>
      </c>
      <c r="X87" s="332">
        <f t="shared" si="203"/>
        <v>0</v>
      </c>
      <c r="Y87" s="332">
        <f t="shared" si="203"/>
        <v>0</v>
      </c>
      <c r="Z87" s="332">
        <f t="shared" si="203"/>
        <v>0</v>
      </c>
      <c r="AA87" s="332">
        <f t="shared" si="203"/>
        <v>0</v>
      </c>
      <c r="AB87" s="332">
        <f t="shared" si="203"/>
        <v>0</v>
      </c>
    </row>
    <row r="88" spans="2:28" s="332" customFormat="1">
      <c r="B88" s="628" t="s">
        <v>2934</v>
      </c>
      <c r="C88" s="471"/>
      <c r="D88" s="471"/>
      <c r="E88" s="471"/>
      <c r="F88" s="631"/>
      <c r="G88" s="617">
        <f>G27/F27-1</f>
        <v>0.31255931433583495</v>
      </c>
      <c r="H88" s="618">
        <v>0</v>
      </c>
      <c r="I88" s="332">
        <f>I4/H4-1</f>
        <v>-1.0070426463135052E-2</v>
      </c>
      <c r="J88" s="332">
        <f t="shared" ref="J88:AB88" si="204">J4/I4-1</f>
        <v>6.9298209420676216E-4</v>
      </c>
      <c r="K88" s="332">
        <f t="shared" si="204"/>
        <v>8.4947948579650046E-4</v>
      </c>
      <c r="L88" s="332">
        <f t="shared" si="204"/>
        <v>4.7302355553859865E-3</v>
      </c>
      <c r="M88" s="332">
        <f t="shared" si="204"/>
        <v>-3.2053084878254645E-2</v>
      </c>
      <c r="N88" s="332">
        <f t="shared" si="204"/>
        <v>-2.7966901434092528E-2</v>
      </c>
      <c r="O88" s="332">
        <f t="shared" si="204"/>
        <v>-1.4069362178178002E-2</v>
      </c>
      <c r="P88" s="332">
        <f t="shared" si="204"/>
        <v>2.7662754737756146E-4</v>
      </c>
      <c r="Q88" s="332">
        <f t="shared" si="204"/>
        <v>-2.8491905796890205E-4</v>
      </c>
      <c r="R88" s="332">
        <f t="shared" si="204"/>
        <v>-3.0589869217334531E-5</v>
      </c>
      <c r="S88" s="332">
        <f t="shared" si="204"/>
        <v>-3.7501261865957591E-4</v>
      </c>
      <c r="T88" s="332">
        <f t="shared" si="204"/>
        <v>-1.1668167942158192E-3</v>
      </c>
      <c r="U88" s="332">
        <f t="shared" si="204"/>
        <v>-1.775648288601106E-3</v>
      </c>
      <c r="V88" s="332">
        <f t="shared" si="204"/>
        <v>1.1643575405484441E-4</v>
      </c>
      <c r="W88" s="332">
        <f t="shared" si="204"/>
        <v>1.1642219834828715E-4</v>
      </c>
      <c r="X88" s="332">
        <f t="shared" si="204"/>
        <v>1.1640864579809396E-4</v>
      </c>
      <c r="Y88" s="332">
        <f t="shared" si="204"/>
        <v>1.1639509640226642E-4</v>
      </c>
      <c r="Z88" s="332">
        <f t="shared" si="204"/>
        <v>1.1638155016058249E-4</v>
      </c>
      <c r="AA88" s="332">
        <f t="shared" si="204"/>
        <v>1.1636800707148787E-4</v>
      </c>
      <c r="AB88" s="332">
        <f t="shared" si="204"/>
        <v>1.1635446713409436E-4</v>
      </c>
    </row>
    <row r="90" spans="2:28" s="332" customFormat="1">
      <c r="B90" s="628" t="s">
        <v>2935</v>
      </c>
      <c r="C90" s="629">
        <f t="shared" ref="C90:G92" si="205">C11/SUM(C$5:C$6)</f>
        <v>7.0031805273553349E-2</v>
      </c>
      <c r="D90" s="629">
        <f t="shared" si="205"/>
        <v>9.2829012210899703E-2</v>
      </c>
      <c r="E90" s="629">
        <f t="shared" si="205"/>
        <v>0.13477713310659301</v>
      </c>
      <c r="F90" s="633">
        <f t="shared" si="205"/>
        <v>9.1802710485630878E-2</v>
      </c>
      <c r="G90" s="630">
        <f t="shared" si="205"/>
        <v>8.5436957005046194E-2</v>
      </c>
      <c r="H90" s="332">
        <f>AVERAGE(F90:G90)</f>
        <v>8.8619833745338536E-2</v>
      </c>
      <c r="I90" s="332">
        <f t="shared" ref="I90:T90" si="206">H90+($U$90-$H$90)/COUNT($I$39:$U$39)</f>
        <v>8.8619833745338536E-2</v>
      </c>
      <c r="J90" s="332">
        <f t="shared" si="206"/>
        <v>8.8619833745338536E-2</v>
      </c>
      <c r="K90" s="332">
        <f t="shared" si="206"/>
        <v>8.8619833745338536E-2</v>
      </c>
      <c r="L90" s="332">
        <f t="shared" si="206"/>
        <v>8.8619833745338536E-2</v>
      </c>
      <c r="M90" s="332">
        <f t="shared" si="206"/>
        <v>8.8619833745338536E-2</v>
      </c>
      <c r="N90" s="332">
        <f t="shared" si="206"/>
        <v>8.8619833745338536E-2</v>
      </c>
      <c r="O90" s="332">
        <f t="shared" si="206"/>
        <v>8.8619833745338536E-2</v>
      </c>
      <c r="P90" s="332">
        <f t="shared" si="206"/>
        <v>8.8619833745338536E-2</v>
      </c>
      <c r="Q90" s="332">
        <f t="shared" si="206"/>
        <v>8.8619833745338536E-2</v>
      </c>
      <c r="R90" s="332">
        <f t="shared" si="206"/>
        <v>8.8619833745338536E-2</v>
      </c>
      <c r="S90" s="332">
        <f t="shared" si="206"/>
        <v>8.8619833745338536E-2</v>
      </c>
      <c r="T90" s="332">
        <f t="shared" si="206"/>
        <v>8.8619833745338536E-2</v>
      </c>
      <c r="U90" s="618">
        <f>H90</f>
        <v>8.8619833745338536E-2</v>
      </c>
      <c r="V90" s="618">
        <f t="shared" ref="V90:AB93" si="207">I90</f>
        <v>8.8619833745338536E-2</v>
      </c>
      <c r="W90" s="618">
        <f t="shared" si="207"/>
        <v>8.8619833745338536E-2</v>
      </c>
      <c r="X90" s="618">
        <f t="shared" si="207"/>
        <v>8.8619833745338536E-2</v>
      </c>
      <c r="Y90" s="618">
        <f t="shared" si="207"/>
        <v>8.8619833745338536E-2</v>
      </c>
      <c r="Z90" s="618">
        <f t="shared" si="207"/>
        <v>8.8619833745338536E-2</v>
      </c>
      <c r="AA90" s="618">
        <f t="shared" si="207"/>
        <v>8.8619833745338536E-2</v>
      </c>
      <c r="AB90" s="618">
        <f t="shared" si="207"/>
        <v>8.8619833745338536E-2</v>
      </c>
    </row>
    <row r="91" spans="2:28" s="332" customFormat="1">
      <c r="B91" s="628" t="s">
        <v>2936</v>
      </c>
      <c r="C91" s="629">
        <f t="shared" si="205"/>
        <v>3.4993086921701569E-2</v>
      </c>
      <c r="D91" s="629">
        <f t="shared" si="205"/>
        <v>3.5322042408815535E-2</v>
      </c>
      <c r="E91" s="629">
        <f t="shared" si="205"/>
        <v>3.7255222745068366E-2</v>
      </c>
      <c r="F91" s="633">
        <f t="shared" si="205"/>
        <v>2.6128168703468329E-2</v>
      </c>
      <c r="G91" s="630">
        <f t="shared" si="205"/>
        <v>2.3405208440662559E-2</v>
      </c>
      <c r="H91" s="332">
        <f>AVERAGE(F91:G91)</f>
        <v>2.4766688572065446E-2</v>
      </c>
      <c r="I91" s="332">
        <f t="shared" ref="I91:T91" si="208">H91+($U$91-$H$91)/COUNT($I$39:$U$39)</f>
        <v>2.4766688572065446E-2</v>
      </c>
      <c r="J91" s="332">
        <f t="shared" si="208"/>
        <v>2.4766688572065446E-2</v>
      </c>
      <c r="K91" s="332">
        <f t="shared" si="208"/>
        <v>2.4766688572065446E-2</v>
      </c>
      <c r="L91" s="332">
        <f t="shared" si="208"/>
        <v>2.4766688572065446E-2</v>
      </c>
      <c r="M91" s="332">
        <f t="shared" si="208"/>
        <v>2.4766688572065446E-2</v>
      </c>
      <c r="N91" s="332">
        <f t="shared" si="208"/>
        <v>2.4766688572065446E-2</v>
      </c>
      <c r="O91" s="332">
        <f t="shared" si="208"/>
        <v>2.4766688572065446E-2</v>
      </c>
      <c r="P91" s="332">
        <f t="shared" si="208"/>
        <v>2.4766688572065446E-2</v>
      </c>
      <c r="Q91" s="332">
        <f t="shared" si="208"/>
        <v>2.4766688572065446E-2</v>
      </c>
      <c r="R91" s="332">
        <f t="shared" si="208"/>
        <v>2.4766688572065446E-2</v>
      </c>
      <c r="S91" s="332">
        <f t="shared" si="208"/>
        <v>2.4766688572065446E-2</v>
      </c>
      <c r="T91" s="332">
        <f t="shared" si="208"/>
        <v>2.4766688572065446E-2</v>
      </c>
      <c r="U91" s="618">
        <f t="shared" ref="U91:U93" si="209">H91</f>
        <v>2.4766688572065446E-2</v>
      </c>
      <c r="V91" s="618">
        <f t="shared" si="207"/>
        <v>2.4766688572065446E-2</v>
      </c>
      <c r="W91" s="618">
        <f t="shared" si="207"/>
        <v>2.4766688572065446E-2</v>
      </c>
      <c r="X91" s="618">
        <f t="shared" si="207"/>
        <v>2.4766688572065446E-2</v>
      </c>
      <c r="Y91" s="618">
        <f t="shared" si="207"/>
        <v>2.4766688572065446E-2</v>
      </c>
      <c r="Z91" s="618">
        <f t="shared" si="207"/>
        <v>2.4766688572065446E-2</v>
      </c>
      <c r="AA91" s="618">
        <f t="shared" si="207"/>
        <v>2.4766688572065446E-2</v>
      </c>
      <c r="AB91" s="618">
        <f t="shared" si="207"/>
        <v>2.4766688572065446E-2</v>
      </c>
    </row>
    <row r="92" spans="2:28" s="332" customFormat="1">
      <c r="B92" s="628" t="s">
        <v>2937</v>
      </c>
      <c r="C92" s="629">
        <f t="shared" si="205"/>
        <v>0.12469679166602279</v>
      </c>
      <c r="D92" s="629">
        <f t="shared" si="205"/>
        <v>0.11495437152551555</v>
      </c>
      <c r="E92" s="629">
        <f t="shared" si="205"/>
        <v>0.11435001666337874</v>
      </c>
      <c r="F92" s="633">
        <f t="shared" si="205"/>
        <v>8.3763150781275664E-2</v>
      </c>
      <c r="G92" s="630">
        <f t="shared" si="205"/>
        <v>7.2613530149782737E-2</v>
      </c>
      <c r="H92" s="332">
        <f>AVERAGE(D92:E92)</f>
        <v>0.11465219409444714</v>
      </c>
      <c r="I92" s="332">
        <f t="shared" ref="I92:T92" si="210">H92+($U$92-$H$92)/COUNT($I$39:$U$39)</f>
        <v>0.11465219409444714</v>
      </c>
      <c r="J92" s="332">
        <f t="shared" si="210"/>
        <v>0.11465219409444714</v>
      </c>
      <c r="K92" s="332">
        <f t="shared" si="210"/>
        <v>0.11465219409444714</v>
      </c>
      <c r="L92" s="332">
        <f t="shared" si="210"/>
        <v>0.11465219409444714</v>
      </c>
      <c r="M92" s="332">
        <f t="shared" si="210"/>
        <v>0.11465219409444714</v>
      </c>
      <c r="N92" s="332">
        <f t="shared" si="210"/>
        <v>0.11465219409444714</v>
      </c>
      <c r="O92" s="332">
        <f t="shared" si="210"/>
        <v>0.11465219409444714</v>
      </c>
      <c r="P92" s="332">
        <f t="shared" si="210"/>
        <v>0.11465219409444714</v>
      </c>
      <c r="Q92" s="332">
        <f t="shared" si="210"/>
        <v>0.11465219409444714</v>
      </c>
      <c r="R92" s="332">
        <f t="shared" si="210"/>
        <v>0.11465219409444714</v>
      </c>
      <c r="S92" s="332">
        <f t="shared" si="210"/>
        <v>0.11465219409444714</v>
      </c>
      <c r="T92" s="332">
        <f t="shared" si="210"/>
        <v>0.11465219409444714</v>
      </c>
      <c r="U92" s="618">
        <f t="shared" si="209"/>
        <v>0.11465219409444714</v>
      </c>
      <c r="V92" s="618">
        <f t="shared" si="207"/>
        <v>0.11465219409444714</v>
      </c>
      <c r="W92" s="618">
        <f t="shared" si="207"/>
        <v>0.11465219409444714</v>
      </c>
      <c r="X92" s="618">
        <f t="shared" si="207"/>
        <v>0.11465219409444714</v>
      </c>
      <c r="Y92" s="618">
        <f t="shared" si="207"/>
        <v>0.11465219409444714</v>
      </c>
      <c r="Z92" s="618">
        <f t="shared" si="207"/>
        <v>0.11465219409444714</v>
      </c>
      <c r="AA92" s="618">
        <f t="shared" si="207"/>
        <v>0.11465219409444714</v>
      </c>
      <c r="AB92" s="618">
        <f t="shared" si="207"/>
        <v>0.11465219409444714</v>
      </c>
    </row>
    <row r="93" spans="2:28" s="332" customFormat="1">
      <c r="B93" s="628" t="s">
        <v>2938</v>
      </c>
      <c r="C93" s="629">
        <f>C14/C10</f>
        <v>0.17126783370658738</v>
      </c>
      <c r="D93" s="629">
        <f>D14/D10</f>
        <v>0.11844759381166188</v>
      </c>
      <c r="E93" s="629">
        <f>E14/E10</f>
        <v>0.65532089860674292</v>
      </c>
      <c r="F93" s="633">
        <f>F14/F10</f>
        <v>0.88497971111844642</v>
      </c>
      <c r="G93" s="630">
        <f>G14/G10</f>
        <v>0.74178513712927163</v>
      </c>
      <c r="H93" s="332">
        <f t="shared" ref="H93" si="211">E93</f>
        <v>0.65532089860674292</v>
      </c>
      <c r="I93" s="332">
        <f t="shared" ref="I93:T93" si="212">H93+($U$93-$H$93)/COUNT($I$39:$U$39)</f>
        <v>0.65532089860674292</v>
      </c>
      <c r="J93" s="332">
        <f t="shared" si="212"/>
        <v>0.65532089860674292</v>
      </c>
      <c r="K93" s="332">
        <f t="shared" si="212"/>
        <v>0.65532089860674292</v>
      </c>
      <c r="L93" s="332">
        <f t="shared" si="212"/>
        <v>0.65532089860674292</v>
      </c>
      <c r="M93" s="332">
        <f t="shared" si="212"/>
        <v>0.65532089860674292</v>
      </c>
      <c r="N93" s="332">
        <f t="shared" si="212"/>
        <v>0.65532089860674292</v>
      </c>
      <c r="O93" s="332">
        <f t="shared" si="212"/>
        <v>0.65532089860674292</v>
      </c>
      <c r="P93" s="332">
        <f t="shared" si="212"/>
        <v>0.65532089860674292</v>
      </c>
      <c r="Q93" s="332">
        <f t="shared" si="212"/>
        <v>0.65532089860674292</v>
      </c>
      <c r="R93" s="332">
        <f t="shared" si="212"/>
        <v>0.65532089860674292</v>
      </c>
      <c r="S93" s="332">
        <f t="shared" si="212"/>
        <v>0.65532089860674292</v>
      </c>
      <c r="T93" s="332">
        <f t="shared" si="212"/>
        <v>0.65532089860674292</v>
      </c>
      <c r="U93" s="618">
        <f t="shared" si="209"/>
        <v>0.65532089860674292</v>
      </c>
      <c r="V93" s="618">
        <f t="shared" si="207"/>
        <v>0.65532089860674292</v>
      </c>
      <c r="W93" s="618">
        <f t="shared" si="207"/>
        <v>0.65532089860674292</v>
      </c>
      <c r="X93" s="618">
        <f t="shared" si="207"/>
        <v>0.65532089860674292</v>
      </c>
      <c r="Y93" s="618">
        <f t="shared" si="207"/>
        <v>0.65532089860674292</v>
      </c>
      <c r="Z93" s="618">
        <f t="shared" si="207"/>
        <v>0.65532089860674292</v>
      </c>
      <c r="AA93" s="618">
        <f t="shared" si="207"/>
        <v>0.65532089860674292</v>
      </c>
      <c r="AB93" s="618">
        <f t="shared" si="207"/>
        <v>0.65532089860674292</v>
      </c>
    </row>
    <row r="97" spans="2:28" s="332" customFormat="1">
      <c r="B97" s="663" t="s">
        <v>2985</v>
      </c>
      <c r="C97" s="664"/>
      <c r="D97" s="664"/>
      <c r="E97" s="664"/>
      <c r="F97" s="665"/>
      <c r="G97" s="666"/>
      <c r="H97" s="667">
        <v>0</v>
      </c>
      <c r="I97" s="667">
        <v>0</v>
      </c>
      <c r="J97" s="667">
        <f>I97</f>
        <v>0</v>
      </c>
      <c r="K97" s="667">
        <f t="shared" ref="K97:AB97" si="213">J97</f>
        <v>0</v>
      </c>
      <c r="L97" s="667">
        <f t="shared" si="213"/>
        <v>0</v>
      </c>
      <c r="M97" s="667">
        <f t="shared" si="213"/>
        <v>0</v>
      </c>
      <c r="N97" s="667">
        <f t="shared" si="213"/>
        <v>0</v>
      </c>
      <c r="O97" s="667">
        <f t="shared" si="213"/>
        <v>0</v>
      </c>
      <c r="P97" s="667">
        <f t="shared" si="213"/>
        <v>0</v>
      </c>
      <c r="Q97" s="667">
        <f t="shared" si="213"/>
        <v>0</v>
      </c>
      <c r="R97" s="667">
        <f t="shared" si="213"/>
        <v>0</v>
      </c>
      <c r="S97" s="667">
        <f t="shared" si="213"/>
        <v>0</v>
      </c>
      <c r="T97" s="667">
        <f t="shared" si="213"/>
        <v>0</v>
      </c>
      <c r="U97" s="667">
        <f t="shared" si="213"/>
        <v>0</v>
      </c>
      <c r="V97" s="667">
        <f t="shared" si="213"/>
        <v>0</v>
      </c>
      <c r="W97" s="667">
        <f t="shared" si="213"/>
        <v>0</v>
      </c>
      <c r="X97" s="667">
        <f t="shared" si="213"/>
        <v>0</v>
      </c>
      <c r="Y97" s="667">
        <f t="shared" si="213"/>
        <v>0</v>
      </c>
      <c r="Z97" s="667">
        <f t="shared" si="213"/>
        <v>0</v>
      </c>
      <c r="AA97" s="667">
        <f t="shared" si="213"/>
        <v>0</v>
      </c>
      <c r="AB97" s="667">
        <f t="shared" si="213"/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CD859-BE6C-4023-B580-24AA38BBA0E3}">
  <sheetPr>
    <tabColor rgb="FFFEF4EC"/>
  </sheetPr>
  <dimension ref="B1:AB101"/>
  <sheetViews>
    <sheetView topLeftCell="A33" workbookViewId="0">
      <selection activeCell="K100" sqref="K100"/>
    </sheetView>
  </sheetViews>
  <sheetFormatPr baseColWidth="10" defaultColWidth="8.83203125" defaultRowHeight="15"/>
  <cols>
    <col min="1" max="1" width="2.6640625" style="69" customWidth="1"/>
    <col min="2" max="2" width="38.1640625" style="69" customWidth="1"/>
    <col min="3" max="7" width="11.83203125" style="458" customWidth="1"/>
    <col min="8" max="28" width="11.83203125" style="69" customWidth="1"/>
    <col min="29" max="16384" width="8.83203125" style="69"/>
  </cols>
  <sheetData>
    <row r="1" spans="2:28" s="568" customFormat="1"/>
    <row r="2" spans="2:28" s="592" customFormat="1">
      <c r="B2" s="704"/>
      <c r="C2" s="705">
        <v>43100</v>
      </c>
      <c r="D2" s="705">
        <f>EOMONTH(C2,12)</f>
        <v>43465</v>
      </c>
      <c r="E2" s="705">
        <f t="shared" ref="E2:U2" si="0">EOMONTH(D2,12)</f>
        <v>43830</v>
      </c>
      <c r="F2" s="705">
        <f t="shared" si="0"/>
        <v>44196</v>
      </c>
      <c r="G2" s="706">
        <f t="shared" si="0"/>
        <v>44561</v>
      </c>
      <c r="H2" s="704">
        <f t="shared" si="0"/>
        <v>44926</v>
      </c>
      <c r="I2" s="704">
        <f t="shared" si="0"/>
        <v>45291</v>
      </c>
      <c r="J2" s="704">
        <f t="shared" si="0"/>
        <v>45657</v>
      </c>
      <c r="K2" s="704">
        <f t="shared" si="0"/>
        <v>46022</v>
      </c>
      <c r="L2" s="704">
        <f t="shared" si="0"/>
        <v>46387</v>
      </c>
      <c r="M2" s="704">
        <f t="shared" si="0"/>
        <v>46752</v>
      </c>
      <c r="N2" s="704">
        <f t="shared" si="0"/>
        <v>47118</v>
      </c>
      <c r="O2" s="704">
        <f t="shared" si="0"/>
        <v>47483</v>
      </c>
      <c r="P2" s="704">
        <f t="shared" si="0"/>
        <v>47848</v>
      </c>
      <c r="Q2" s="704">
        <f t="shared" si="0"/>
        <v>48213</v>
      </c>
      <c r="R2" s="704">
        <f t="shared" si="0"/>
        <v>48579</v>
      </c>
      <c r="S2" s="704">
        <f t="shared" si="0"/>
        <v>48944</v>
      </c>
      <c r="T2" s="704">
        <f t="shared" si="0"/>
        <v>49309</v>
      </c>
      <c r="U2" s="704">
        <f t="shared" si="0"/>
        <v>49674</v>
      </c>
      <c r="V2" s="704">
        <f t="shared" ref="V2" si="1">EOMONTH(U2,12)</f>
        <v>50040</v>
      </c>
      <c r="W2" s="704">
        <f t="shared" ref="W2" si="2">EOMONTH(V2,12)</f>
        <v>50405</v>
      </c>
      <c r="X2" s="704">
        <f t="shared" ref="X2" si="3">EOMONTH(W2,12)</f>
        <v>50770</v>
      </c>
      <c r="Y2" s="704">
        <f t="shared" ref="Y2" si="4">EOMONTH(X2,12)</f>
        <v>51135</v>
      </c>
      <c r="Z2" s="704">
        <f t="shared" ref="Z2" si="5">EOMONTH(Y2,12)</f>
        <v>51501</v>
      </c>
      <c r="AA2" s="704">
        <f t="shared" ref="AA2" si="6">EOMONTH(Z2,12)</f>
        <v>51866</v>
      </c>
      <c r="AB2" s="704">
        <f t="shared" ref="AB2" si="7">EOMONTH(AA2,12)</f>
        <v>52231</v>
      </c>
    </row>
    <row r="3" spans="2:28" s="457" customFormat="1">
      <c r="B3" s="598" t="s">
        <v>2992</v>
      </c>
      <c r="C3" s="608">
        <f>C6+C17</f>
        <v>37200873.170000002</v>
      </c>
      <c r="D3" s="608">
        <f>D6+D17</f>
        <v>39837612.020000003</v>
      </c>
      <c r="E3" s="608">
        <f>E6+E17</f>
        <v>47111293.770000003</v>
      </c>
      <c r="F3" s="608">
        <f>F6+F17</f>
        <v>49705294.820000008</v>
      </c>
      <c r="G3" s="609">
        <f>G6+G17</f>
        <v>56365612.129999995</v>
      </c>
      <c r="H3" s="598">
        <f t="shared" ref="H3:U3" si="8">H6+H17</f>
        <v>60742394.808226317</v>
      </c>
      <c r="I3" s="598">
        <f t="shared" si="8"/>
        <v>60681456.191156849</v>
      </c>
      <c r="J3" s="598">
        <f t="shared" si="8"/>
        <v>60811467.753096841</v>
      </c>
      <c r="K3" s="598">
        <f t="shared" si="8"/>
        <v>60939968.773647562</v>
      </c>
      <c r="L3" s="598">
        <f t="shared" si="8"/>
        <v>61253578.636511937</v>
      </c>
      <c r="M3" s="598">
        <f t="shared" si="8"/>
        <v>59824094.456510074</v>
      </c>
      <c r="N3" s="598">
        <f t="shared" si="8"/>
        <v>58632709.113856293</v>
      </c>
      <c r="O3" s="598">
        <f t="shared" si="8"/>
        <v>58099671.658766061</v>
      </c>
      <c r="P3" s="598">
        <f t="shared" si="8"/>
        <v>58209091.324818231</v>
      </c>
      <c r="Q3" s="598">
        <f t="shared" si="8"/>
        <v>58295701.482293099</v>
      </c>
      <c r="R3" s="598">
        <f t="shared" si="8"/>
        <v>58395480.997998774</v>
      </c>
      <c r="S3" s="598">
        <f t="shared" si="8"/>
        <v>58478503.995232821</v>
      </c>
      <c r="T3" s="598">
        <f t="shared" si="8"/>
        <v>58529495.036927268</v>
      </c>
      <c r="U3" s="598">
        <f t="shared" si="8"/>
        <v>58555805.503280967</v>
      </c>
      <c r="V3" s="598">
        <f t="shared" ref="V3:AB3" si="9">V6+V17</f>
        <v>58667370.565252833</v>
      </c>
      <c r="W3" s="598">
        <f t="shared" si="9"/>
        <v>58781044.82598038</v>
      </c>
      <c r="X3" s="598">
        <f t="shared" si="9"/>
        <v>58896870.469438709</v>
      </c>
      <c r="Y3" s="598">
        <f t="shared" si="9"/>
        <v>59014890.523282461</v>
      </c>
      <c r="Z3" s="598">
        <f t="shared" si="9"/>
        <v>59135148.875719331</v>
      </c>
      <c r="AA3" s="598">
        <f t="shared" si="9"/>
        <v>59257690.292721167</v>
      </c>
      <c r="AB3" s="598">
        <f t="shared" si="9"/>
        <v>59382560.4355793</v>
      </c>
    </row>
    <row r="4" spans="2:28" s="457" customFormat="1">
      <c r="B4" s="598" t="s">
        <v>2993</v>
      </c>
      <c r="C4" s="608">
        <f>C36</f>
        <v>4557201.59</v>
      </c>
      <c r="D4" s="608">
        <f t="shared" ref="D4:G4" si="10">D36</f>
        <v>4844338.1899999995</v>
      </c>
      <c r="E4" s="608">
        <f t="shared" si="10"/>
        <v>5479386.6899999995</v>
      </c>
      <c r="F4" s="608">
        <f t="shared" si="10"/>
        <v>6025849.8399999999</v>
      </c>
      <c r="G4" s="609">
        <f t="shared" si="10"/>
        <v>5666221.75</v>
      </c>
      <c r="H4" s="598">
        <f t="shared" ref="H4:U4" si="11">H36</f>
        <v>4625768.4790000003</v>
      </c>
      <c r="I4" s="598">
        <f t="shared" si="11"/>
        <v>4680239.1118750004</v>
      </c>
      <c r="J4" s="598">
        <f t="shared" si="11"/>
        <v>4736071.5105718756</v>
      </c>
      <c r="K4" s="598">
        <f t="shared" si="11"/>
        <v>4793299.7192361718</v>
      </c>
      <c r="L4" s="598">
        <f t="shared" si="11"/>
        <v>4851958.633117076</v>
      </c>
      <c r="M4" s="598">
        <f t="shared" si="11"/>
        <v>4912084.0198450023</v>
      </c>
      <c r="N4" s="598">
        <f t="shared" si="11"/>
        <v>4973712.5412411271</v>
      </c>
      <c r="O4" s="598">
        <f t="shared" si="11"/>
        <v>5036881.7756721554</v>
      </c>
      <c r="P4" s="598">
        <f t="shared" si="11"/>
        <v>5101630.2409639582</v>
      </c>
      <c r="Q4" s="598">
        <f t="shared" si="11"/>
        <v>5167997.4178880574</v>
      </c>
      <c r="R4" s="598">
        <f t="shared" si="11"/>
        <v>5236023.7742352588</v>
      </c>
      <c r="S4" s="598">
        <f t="shared" si="11"/>
        <v>5305750.7894911384</v>
      </c>
      <c r="T4" s="598">
        <f t="shared" si="11"/>
        <v>5377220.9801284168</v>
      </c>
      <c r="U4" s="598">
        <f t="shared" si="11"/>
        <v>5450477.9255316267</v>
      </c>
      <c r="V4" s="598">
        <f t="shared" ref="V4:AB4" si="12">V36</f>
        <v>5525566.294569917</v>
      </c>
      <c r="W4" s="598">
        <f t="shared" si="12"/>
        <v>5602531.8728341646</v>
      </c>
      <c r="X4" s="598">
        <f t="shared" si="12"/>
        <v>5681421.5905550187</v>
      </c>
      <c r="Y4" s="598">
        <f t="shared" si="12"/>
        <v>5762283.5512188943</v>
      </c>
      <c r="Z4" s="598">
        <f t="shared" si="12"/>
        <v>5845167.0608993657</v>
      </c>
      <c r="AA4" s="598">
        <f t="shared" si="12"/>
        <v>5930122.65832185</v>
      </c>
      <c r="AB4" s="598">
        <f t="shared" si="12"/>
        <v>6017202.1456798958</v>
      </c>
    </row>
    <row r="5" spans="2:28">
      <c r="B5" s="552"/>
      <c r="H5" s="458"/>
    </row>
    <row r="6" spans="2:28" s="457" customFormat="1">
      <c r="B6" s="598" t="s">
        <v>2990</v>
      </c>
      <c r="C6" s="608">
        <f>SUM(C7,C12:C16)</f>
        <v>7098149.4300000025</v>
      </c>
      <c r="D6" s="608">
        <f>SUM(D7,D12:D16)</f>
        <v>7406515.4100000029</v>
      </c>
      <c r="E6" s="608">
        <f>SUM(E7,E12:E16)</f>
        <v>7405862.7499999981</v>
      </c>
      <c r="F6" s="608">
        <f>SUM(F7,F12:F16)</f>
        <v>7869579.1000000127</v>
      </c>
      <c r="G6" s="609">
        <f>SUM(G7,G12:G16)</f>
        <v>7081074.3600000013</v>
      </c>
      <c r="H6" s="598">
        <f t="shared" ref="H6:U6" si="13">SUM(H7,H12:H16)</f>
        <v>7530241.7771976292</v>
      </c>
      <c r="I6" s="598">
        <f t="shared" si="13"/>
        <v>7600696.6150077246</v>
      </c>
      <c r="J6" s="598">
        <f t="shared" si="13"/>
        <v>7684640.2567399647</v>
      </c>
      <c r="K6" s="598">
        <f t="shared" si="13"/>
        <v>7772941.8542144131</v>
      </c>
      <c r="L6" s="598">
        <f t="shared" si="13"/>
        <v>7867256.3127995264</v>
      </c>
      <c r="M6" s="598">
        <f t="shared" si="13"/>
        <v>7922713.2569960449</v>
      </c>
      <c r="N6" s="598">
        <f t="shared" si="13"/>
        <v>7985337.0794118997</v>
      </c>
      <c r="O6" s="598">
        <f t="shared" si="13"/>
        <v>8065040.0454571228</v>
      </c>
      <c r="P6" s="598">
        <f t="shared" si="13"/>
        <v>8161595.8193887565</v>
      </c>
      <c r="Q6" s="598">
        <f t="shared" si="13"/>
        <v>8259496.9069526494</v>
      </c>
      <c r="R6" s="598">
        <f t="shared" si="13"/>
        <v>8359625.9573711902</v>
      </c>
      <c r="S6" s="598">
        <f t="shared" si="13"/>
        <v>8457812.2203110456</v>
      </c>
      <c r="T6" s="598">
        <f t="shared" si="13"/>
        <v>8558004.6152437218</v>
      </c>
      <c r="U6" s="598">
        <f t="shared" si="13"/>
        <v>8659606.812203262</v>
      </c>
      <c r="V6" s="598">
        <f t="shared" ref="V6" si="14">SUM(V7,V12:V16)</f>
        <v>8765218.3012558166</v>
      </c>
      <c r="W6" s="598">
        <f t="shared" ref="W6" si="15">SUM(W7,W12:W16)</f>
        <v>8872938.9890640546</v>
      </c>
      <c r="X6" s="598">
        <f t="shared" ref="X6" si="16">SUM(X7,X12:X16)</f>
        <v>8982811.0596030876</v>
      </c>
      <c r="Y6" s="598">
        <f t="shared" ref="Y6" si="17">SUM(Y7,Y12:Y16)</f>
        <v>9094877.54052753</v>
      </c>
      <c r="Z6" s="598">
        <f t="shared" ref="Z6" si="18">SUM(Z7,Z12:Z16)</f>
        <v>9209182.3200450912</v>
      </c>
      <c r="AA6" s="598">
        <f t="shared" ref="AA6" si="19">SUM(AA7,AA12:AA16)</f>
        <v>9325770.1641276348</v>
      </c>
      <c r="AB6" s="598">
        <f t="shared" ref="AB6" si="20">SUM(AB7,AB12:AB16)</f>
        <v>9444686.7340664584</v>
      </c>
    </row>
    <row r="7" spans="2:28" s="457" customFormat="1">
      <c r="B7" s="593" t="s">
        <v>2987</v>
      </c>
      <c r="C7" s="610">
        <f>SUM(C8:C11)</f>
        <v>3935911.08</v>
      </c>
      <c r="D7" s="610">
        <f t="shared" ref="D7:U7" si="21">SUM(D8:D11)</f>
        <v>4160530.45</v>
      </c>
      <c r="E7" s="610">
        <f t="shared" si="21"/>
        <v>4660855.6400000006</v>
      </c>
      <c r="F7" s="610">
        <f t="shared" si="21"/>
        <v>5440074.4000000004</v>
      </c>
      <c r="G7" s="611">
        <f t="shared" si="21"/>
        <v>4076198.0999999996</v>
      </c>
      <c r="H7" s="457">
        <f t="shared" si="21"/>
        <v>4076198.0999999996</v>
      </c>
      <c r="I7" s="457">
        <f t="shared" si="21"/>
        <v>4157722.0619999999</v>
      </c>
      <c r="J7" s="457">
        <f t="shared" si="21"/>
        <v>4240876.5032400005</v>
      </c>
      <c r="K7" s="457">
        <f t="shared" si="21"/>
        <v>4325694.0333048003</v>
      </c>
      <c r="L7" s="457">
        <f t="shared" si="21"/>
        <v>4412207.913970896</v>
      </c>
      <c r="M7" s="457">
        <f t="shared" si="21"/>
        <v>4500452.0722503141</v>
      </c>
      <c r="N7" s="457">
        <f t="shared" si="21"/>
        <v>4590461.1136953207</v>
      </c>
      <c r="O7" s="457">
        <f t="shared" si="21"/>
        <v>4682270.3359692264</v>
      </c>
      <c r="P7" s="457">
        <f t="shared" si="21"/>
        <v>4775915.7426886111</v>
      </c>
      <c r="Q7" s="457">
        <f t="shared" si="21"/>
        <v>4871434.0575423837</v>
      </c>
      <c r="R7" s="457">
        <f t="shared" si="21"/>
        <v>4968862.7386932308</v>
      </c>
      <c r="S7" s="457">
        <f t="shared" si="21"/>
        <v>5068239.9934670962</v>
      </c>
      <c r="T7" s="457">
        <f t="shared" si="21"/>
        <v>5169604.793336438</v>
      </c>
      <c r="U7" s="457">
        <f t="shared" si="21"/>
        <v>5272996.8892031675</v>
      </c>
      <c r="V7" s="457">
        <f t="shared" ref="V7:AB7" si="22">SUM(V8:V11)</f>
        <v>5378456.8269872312</v>
      </c>
      <c r="W7" s="457">
        <f t="shared" si="22"/>
        <v>5486025.9635269754</v>
      </c>
      <c r="X7" s="457">
        <f t="shared" si="22"/>
        <v>5595746.4827975156</v>
      </c>
      <c r="Y7" s="457">
        <f t="shared" si="22"/>
        <v>5707661.4124534661</v>
      </c>
      <c r="Z7" s="457">
        <f t="shared" si="22"/>
        <v>5821814.6407025354</v>
      </c>
      <c r="AA7" s="457">
        <f t="shared" si="22"/>
        <v>5938250.9335165862</v>
      </c>
      <c r="AB7" s="457">
        <f t="shared" si="22"/>
        <v>6057015.9521869179</v>
      </c>
    </row>
    <row r="8" spans="2:28">
      <c r="B8" s="594" t="s">
        <v>2988</v>
      </c>
      <c r="C8" s="458">
        <f>Ucto_HK_summ!D438+Ucto_HK_summ!D442</f>
        <v>1223525.56</v>
      </c>
      <c r="D8" s="458">
        <f>Ucto_HK_summ!E438+Ucto_HK_summ!E442</f>
        <v>1331037.25</v>
      </c>
      <c r="E8" s="458">
        <f>Ucto_HK_summ!F438+Ucto_HK_summ!F442</f>
        <v>1490302.4100000001</v>
      </c>
      <c r="F8" s="458">
        <f>Ucto_HK_summ!G438+Ucto_HK_summ!G442</f>
        <v>2329817.64</v>
      </c>
      <c r="G8" s="607">
        <f>Ucto_HK_summ!H438+Ucto_HK_summ!H442</f>
        <v>1273564.75</v>
      </c>
      <c r="H8" s="69">
        <f t="shared" ref="H8" si="23">G8*(1+H61)</f>
        <v>1273564.75</v>
      </c>
      <c r="I8" s="69">
        <f>H8*(1+I61)*(1+I101)</f>
        <v>1299036.0449999999</v>
      </c>
      <c r="J8" s="69">
        <f t="shared" ref="J8:AB8" si="24">I8*(1+J61)*(1+J101)</f>
        <v>1325016.7659</v>
      </c>
      <c r="K8" s="69">
        <f t="shared" si="24"/>
        <v>1351517.1012180001</v>
      </c>
      <c r="L8" s="69">
        <f t="shared" si="24"/>
        <v>1378547.4432423601</v>
      </c>
      <c r="M8" s="69">
        <f t="shared" si="24"/>
        <v>1406118.3921072073</v>
      </c>
      <c r="N8" s="69">
        <f t="shared" si="24"/>
        <v>1434240.7599493514</v>
      </c>
      <c r="O8" s="69">
        <f t="shared" si="24"/>
        <v>1462925.5751483385</v>
      </c>
      <c r="P8" s="69">
        <f t="shared" si="24"/>
        <v>1492184.0866513052</v>
      </c>
      <c r="Q8" s="69">
        <f t="shared" si="24"/>
        <v>1522027.7683843314</v>
      </c>
      <c r="R8" s="69">
        <f t="shared" si="24"/>
        <v>1552468.3237520179</v>
      </c>
      <c r="S8" s="69">
        <f t="shared" si="24"/>
        <v>1583517.6902270583</v>
      </c>
      <c r="T8" s="69">
        <f t="shared" si="24"/>
        <v>1615188.0440315995</v>
      </c>
      <c r="U8" s="69">
        <f t="shared" si="24"/>
        <v>1647491.8049122316</v>
      </c>
      <c r="V8" s="69">
        <f t="shared" si="24"/>
        <v>1680441.6410104763</v>
      </c>
      <c r="W8" s="69">
        <f t="shared" si="24"/>
        <v>1714050.4738306857</v>
      </c>
      <c r="X8" s="69">
        <f t="shared" si="24"/>
        <v>1748331.4833072994</v>
      </c>
      <c r="Y8" s="69">
        <f t="shared" si="24"/>
        <v>1783298.1129734456</v>
      </c>
      <c r="Z8" s="69">
        <f t="shared" si="24"/>
        <v>1818964.0752329144</v>
      </c>
      <c r="AA8" s="69">
        <f t="shared" si="24"/>
        <v>1855343.3567375727</v>
      </c>
      <c r="AB8" s="69">
        <f t="shared" si="24"/>
        <v>1892450.2238723242</v>
      </c>
    </row>
    <row r="9" spans="2:28">
      <c r="B9" s="594" t="s">
        <v>1891</v>
      </c>
      <c r="C9" s="458">
        <f>Ucto_HK_summ!D439+Ucto_HK_summ!D443</f>
        <v>1104214.27</v>
      </c>
      <c r="D9" s="458">
        <f>Ucto_HK_summ!E439+Ucto_HK_summ!E443</f>
        <v>1147790.0899999999</v>
      </c>
      <c r="E9" s="458">
        <f>Ucto_HK_summ!F439+Ucto_HK_summ!F443</f>
        <v>1385207.22</v>
      </c>
      <c r="F9" s="458">
        <f>Ucto_HK_summ!G439+Ucto_HK_summ!G443</f>
        <v>1283938.1600000001</v>
      </c>
      <c r="G9" s="607">
        <f>Ucto_HK_summ!H439+Ucto_HK_summ!H443</f>
        <v>747556.32</v>
      </c>
      <c r="H9" s="69">
        <f t="shared" ref="H9" si="25">G9*(1+H62)</f>
        <v>747556.32</v>
      </c>
      <c r="I9" s="69">
        <f>H9*(1+I62)*(1+I101)</f>
        <v>762507.44640000002</v>
      </c>
      <c r="J9" s="69">
        <f t="shared" ref="J9:AB9" si="26">I9*(1+J62)*(1+J101)</f>
        <v>777757.59532800002</v>
      </c>
      <c r="K9" s="69">
        <f t="shared" si="26"/>
        <v>793312.74723456008</v>
      </c>
      <c r="L9" s="69">
        <f t="shared" si="26"/>
        <v>809179.00217925129</v>
      </c>
      <c r="M9" s="69">
        <f t="shared" si="26"/>
        <v>825362.58222283632</v>
      </c>
      <c r="N9" s="69">
        <f t="shared" si="26"/>
        <v>841869.83386729308</v>
      </c>
      <c r="O9" s="69">
        <f t="shared" si="26"/>
        <v>858707.23054463894</v>
      </c>
      <c r="P9" s="69">
        <f t="shared" si="26"/>
        <v>875881.37515553168</v>
      </c>
      <c r="Q9" s="69">
        <f t="shared" si="26"/>
        <v>893399.00265864236</v>
      </c>
      <c r="R9" s="69">
        <f t="shared" si="26"/>
        <v>911266.98271181528</v>
      </c>
      <c r="S9" s="69">
        <f t="shared" si="26"/>
        <v>929492.32236605161</v>
      </c>
      <c r="T9" s="69">
        <f t="shared" si="26"/>
        <v>948082.16881337261</v>
      </c>
      <c r="U9" s="69">
        <f t="shared" si="26"/>
        <v>967043.81218964013</v>
      </c>
      <c r="V9" s="69">
        <f t="shared" si="26"/>
        <v>986384.68843343295</v>
      </c>
      <c r="W9" s="69">
        <f t="shared" si="26"/>
        <v>1006112.3822021016</v>
      </c>
      <c r="X9" s="69">
        <f t="shared" si="26"/>
        <v>1026234.6298461437</v>
      </c>
      <c r="Y9" s="69">
        <f t="shared" si="26"/>
        <v>1046759.3224430665</v>
      </c>
      <c r="Z9" s="69">
        <f t="shared" si="26"/>
        <v>1067694.5088919278</v>
      </c>
      <c r="AA9" s="69">
        <f t="shared" si="26"/>
        <v>1089048.3990697663</v>
      </c>
      <c r="AB9" s="69">
        <f t="shared" si="26"/>
        <v>1110829.3670511616</v>
      </c>
    </row>
    <row r="10" spans="2:28">
      <c r="B10" s="594" t="s">
        <v>1893</v>
      </c>
      <c r="C10" s="458">
        <f>Ucto_HK_summ!D440+Ucto_HK_summ!D444</f>
        <v>411657.64</v>
      </c>
      <c r="D10" s="458">
        <f>Ucto_HK_summ!E440+Ucto_HK_summ!E444</f>
        <v>417616.24</v>
      </c>
      <c r="E10" s="458">
        <f>Ucto_HK_summ!F440+Ucto_HK_summ!F444</f>
        <v>373076.81</v>
      </c>
      <c r="F10" s="458">
        <f>Ucto_HK_summ!G440+Ucto_HK_summ!G444</f>
        <v>344647.32</v>
      </c>
      <c r="G10" s="607">
        <f>Ucto_HK_summ!H440+Ucto_HK_summ!H444</f>
        <v>351139.4</v>
      </c>
      <c r="H10" s="69">
        <f t="shared" ref="H10" si="27">G10*(1+H63)</f>
        <v>351139.4</v>
      </c>
      <c r="I10" s="69">
        <f>H10*(1+I63)*(1+I101)</f>
        <v>358162.18800000002</v>
      </c>
      <c r="J10" s="69">
        <f t="shared" ref="J10:AB10" si="28">I10*(1+J63)*(1+J101)</f>
        <v>365325.43176000001</v>
      </c>
      <c r="K10" s="69">
        <f t="shared" si="28"/>
        <v>372631.94039519998</v>
      </c>
      <c r="L10" s="69">
        <f t="shared" si="28"/>
        <v>380084.57920310402</v>
      </c>
      <c r="M10" s="69">
        <f t="shared" si="28"/>
        <v>387686.27078716608</v>
      </c>
      <c r="N10" s="69">
        <f t="shared" si="28"/>
        <v>395439.99620290939</v>
      </c>
      <c r="O10" s="69">
        <f t="shared" si="28"/>
        <v>403348.79612696759</v>
      </c>
      <c r="P10" s="69">
        <f t="shared" si="28"/>
        <v>411415.77204950695</v>
      </c>
      <c r="Q10" s="69">
        <f t="shared" si="28"/>
        <v>419644.0874904971</v>
      </c>
      <c r="R10" s="69">
        <f t="shared" si="28"/>
        <v>428036.96924030705</v>
      </c>
      <c r="S10" s="69">
        <f t="shared" si="28"/>
        <v>436597.70862511318</v>
      </c>
      <c r="T10" s="69">
        <f t="shared" si="28"/>
        <v>445329.66279761546</v>
      </c>
      <c r="U10" s="69">
        <f t="shared" si="28"/>
        <v>454236.25605356775</v>
      </c>
      <c r="V10" s="69">
        <f t="shared" si="28"/>
        <v>463320.98117463914</v>
      </c>
      <c r="W10" s="69">
        <f t="shared" si="28"/>
        <v>472587.40079813194</v>
      </c>
      <c r="X10" s="69">
        <f t="shared" si="28"/>
        <v>482039.1488140946</v>
      </c>
      <c r="Y10" s="69">
        <f t="shared" si="28"/>
        <v>491679.93179037649</v>
      </c>
      <c r="Z10" s="69">
        <f t="shared" si="28"/>
        <v>501513.53042618401</v>
      </c>
      <c r="AA10" s="69">
        <f t="shared" si="28"/>
        <v>511543.80103470769</v>
      </c>
      <c r="AB10" s="69">
        <f t="shared" si="28"/>
        <v>521774.67705540184</v>
      </c>
    </row>
    <row r="11" spans="2:28">
      <c r="B11" s="672" t="s">
        <v>2989</v>
      </c>
      <c r="C11" s="673">
        <f>Ucto_HK_summ!D441+Ucto_HK_summ!D445</f>
        <v>1196513.6100000001</v>
      </c>
      <c r="D11" s="673">
        <f>Ucto_HK_summ!E441+Ucto_HK_summ!E445</f>
        <v>1264086.8699999999</v>
      </c>
      <c r="E11" s="673">
        <f>Ucto_HK_summ!F441+Ucto_HK_summ!F445</f>
        <v>1412269.2000000002</v>
      </c>
      <c r="F11" s="673">
        <f>Ucto_HK_summ!G441+Ucto_HK_summ!G445</f>
        <v>1481671.2799999998</v>
      </c>
      <c r="G11" s="674">
        <f>Ucto_HK_summ!H441+Ucto_HK_summ!H445</f>
        <v>1703937.63</v>
      </c>
      <c r="H11" s="675">
        <f t="shared" ref="H11" si="29">G11*(1+H64)</f>
        <v>1703937.63</v>
      </c>
      <c r="I11" s="675">
        <f>H11*(1+I64)*(1+I101)</f>
        <v>1738016.3825999999</v>
      </c>
      <c r="J11" s="675">
        <f t="shared" ref="J11:AB11" si="30">I11*(1+J64)*(1+J101)</f>
        <v>1772776.710252</v>
      </c>
      <c r="K11" s="675">
        <f t="shared" si="30"/>
        <v>1808232.24445704</v>
      </c>
      <c r="L11" s="675">
        <f t="shared" si="30"/>
        <v>1844396.8893461807</v>
      </c>
      <c r="M11" s="675">
        <f t="shared" si="30"/>
        <v>1881284.8271331044</v>
      </c>
      <c r="N11" s="675">
        <f t="shared" si="30"/>
        <v>1918910.5236757665</v>
      </c>
      <c r="O11" s="675">
        <f t="shared" si="30"/>
        <v>1957288.7341492819</v>
      </c>
      <c r="P11" s="675">
        <f t="shared" si="30"/>
        <v>1996434.5088322675</v>
      </c>
      <c r="Q11" s="675">
        <f t="shared" si="30"/>
        <v>2036363.1990089128</v>
      </c>
      <c r="R11" s="675">
        <f t="shared" si="30"/>
        <v>2077090.4629890912</v>
      </c>
      <c r="S11" s="675">
        <f t="shared" si="30"/>
        <v>2118632.272248873</v>
      </c>
      <c r="T11" s="675">
        <f t="shared" si="30"/>
        <v>2161004.9176938506</v>
      </c>
      <c r="U11" s="675">
        <f t="shared" si="30"/>
        <v>2204225.0160477278</v>
      </c>
      <c r="V11" s="675">
        <f t="shared" si="30"/>
        <v>2248309.5163686825</v>
      </c>
      <c r="W11" s="675">
        <f t="shared" si="30"/>
        <v>2293275.7066960563</v>
      </c>
      <c r="X11" s="675">
        <f t="shared" si="30"/>
        <v>2339141.2208299777</v>
      </c>
      <c r="Y11" s="675">
        <f t="shared" si="30"/>
        <v>2385924.0452465774</v>
      </c>
      <c r="Z11" s="675">
        <f t="shared" si="30"/>
        <v>2433642.526151509</v>
      </c>
      <c r="AA11" s="675">
        <f t="shared" si="30"/>
        <v>2482315.3766745394</v>
      </c>
      <c r="AB11" s="675">
        <f t="shared" si="30"/>
        <v>2531961.6842080303</v>
      </c>
    </row>
    <row r="12" spans="2:28">
      <c r="B12" s="676" t="s">
        <v>3005</v>
      </c>
      <c r="C12" s="458">
        <f>SUM(Ucto_HK_summ!D396:D397)</f>
        <v>704506.29</v>
      </c>
      <c r="D12" s="458">
        <f>SUM(Ucto_HK_summ!E396:E397)</f>
        <v>676907.91999999993</v>
      </c>
      <c r="E12" s="458">
        <f>SUM(Ucto_HK_summ!F396:F397)</f>
        <v>679180.33</v>
      </c>
      <c r="F12" s="458">
        <f>SUM(Ucto_HK_summ!G396:G397)</f>
        <v>605337.79</v>
      </c>
      <c r="G12" s="607">
        <f>SUM(Ucto_HK_summ!H396:H397)</f>
        <v>618281.62</v>
      </c>
      <c r="H12" s="69">
        <f>'Revenues"0"'!H61*H65</f>
        <v>830881.56787702255</v>
      </c>
      <c r="I12" s="69">
        <f>'Revenues"0"'!I61*I65</f>
        <v>822487.00937432307</v>
      </c>
      <c r="J12" s="69">
        <f>'Revenues"0"'!J61*J65</f>
        <v>823087.84126469935</v>
      </c>
      <c r="K12" s="69">
        <f>'Revenues"0"'!K61*K65</f>
        <v>823818.76204732177</v>
      </c>
      <c r="L12" s="69">
        <f>'Revenues"0"'!L61*L65</f>
        <v>827768.40822967957</v>
      </c>
      <c r="M12" s="69">
        <f>'Revenues"0"'!M61*M65</f>
        <v>801089.27993150649</v>
      </c>
      <c r="N12" s="69">
        <f>'Revenues"0"'!N61*N65</f>
        <v>778559.99523863418</v>
      </c>
      <c r="O12" s="69">
        <f>'Revenues"0"'!O61*O65</f>
        <v>767555.48215062486</v>
      </c>
      <c r="P12" s="69">
        <f>'Revenues"0"'!P61*P65</f>
        <v>767794.56319355383</v>
      </c>
      <c r="Q12" s="69">
        <f>'Revenues"0"'!Q61*Q65</f>
        <v>767599.5140251664</v>
      </c>
      <c r="R12" s="69">
        <f>'Revenues"0"'!R61*R65</f>
        <v>767601.10935735272</v>
      </c>
      <c r="S12" s="69">
        <f>'Revenues"0"'!S61*S65</f>
        <v>767336.45085062389</v>
      </c>
      <c r="T12" s="69">
        <f>'Revenues"0"'!T61*T65</f>
        <v>766460.00180477451</v>
      </c>
      <c r="U12" s="69">
        <f>'Revenues"0"'!U61*U65</f>
        <v>765114.59284573235</v>
      </c>
      <c r="V12" s="69">
        <f>'Revenues"0"'!V61*V65</f>
        <v>765229.44439029996</v>
      </c>
      <c r="W12" s="69">
        <f>'Revenues"0"'!W61*W65</f>
        <v>765344.29593486793</v>
      </c>
      <c r="X12" s="69">
        <f>'Revenues"0"'!X61*X65</f>
        <v>765459.14747943566</v>
      </c>
      <c r="Y12" s="69">
        <f>'Revenues"0"'!Y61*Y65</f>
        <v>765573.99902400351</v>
      </c>
      <c r="Z12" s="69">
        <f>'Revenues"0"'!Z61*Z65</f>
        <v>765688.85056857136</v>
      </c>
      <c r="AA12" s="69">
        <f>'Revenues"0"'!AA61*AA65</f>
        <v>765803.70211313886</v>
      </c>
      <c r="AB12" s="69">
        <f>'Revenues"0"'!AB61*AB65</f>
        <v>765918.55365770671</v>
      </c>
    </row>
    <row r="13" spans="2:28">
      <c r="B13" s="676" t="s">
        <v>3007</v>
      </c>
      <c r="C13" s="458">
        <f>SUM(Ucto_HK_summ!D398:D402)</f>
        <v>235325.39</v>
      </c>
      <c r="D13" s="458">
        <f>SUM(Ucto_HK_summ!E398:E402)</f>
        <v>230619.26</v>
      </c>
      <c r="E13" s="458">
        <f>SUM(Ucto_HK_summ!F398:F402)</f>
        <v>238361.66</v>
      </c>
      <c r="F13" s="458">
        <f>SUM(Ucto_HK_summ!G398:G402)</f>
        <v>175927.96000000002</v>
      </c>
      <c r="G13" s="607">
        <f>SUM(Ucto_HK_summ!H398:H402)</f>
        <v>274713.75999999995</v>
      </c>
      <c r="H13" s="69">
        <f>H67*'PL"0"'!I18</f>
        <v>346878.94082060352</v>
      </c>
      <c r="I13" s="69">
        <f>I67*'PL"0"'!J18</f>
        <v>344204.37513339933</v>
      </c>
      <c r="J13" s="69">
        <f>J67*'PL"0"'!K18</f>
        <v>344392.74373526173</v>
      </c>
      <c r="K13" s="69">
        <f>K67*'PL"0"'!L18</f>
        <v>347145.89036228904</v>
      </c>
      <c r="L13" s="69">
        <f>L67*'PL"0"'!M18</f>
        <v>350996.82209894777</v>
      </c>
      <c r="M13" s="69">
        <f>M67*'PL"0"'!N18</f>
        <v>344888.7363142214</v>
      </c>
      <c r="N13" s="69">
        <f>N67*'PL"0"'!O18</f>
        <v>340032.80197794252</v>
      </c>
      <c r="O13" s="69">
        <f>O67*'PL"0"'!P18</f>
        <v>338931.05883726955</v>
      </c>
      <c r="P13" s="69">
        <f>P67*'PL"0"'!Q18</f>
        <v>341602.34500658768</v>
      </c>
      <c r="Q13" s="69">
        <f>Q67*'PL"0"'!R18</f>
        <v>344180.16688509705</v>
      </c>
      <c r="R13" s="69">
        <f>R67*'PL"0"'!S18</f>
        <v>346878.94082060352</v>
      </c>
      <c r="S13" s="69">
        <f>S67*'PL"0"'!T18</f>
        <v>345952.60749332322</v>
      </c>
      <c r="T13" s="69">
        <f>T67*'PL"0"'!U18</f>
        <v>345656.65160250629</v>
      </c>
      <c r="U13" s="69">
        <f>U67*'PL"0"'!V18</f>
        <v>345212.16165435861</v>
      </c>
      <c r="V13" s="69">
        <f>V67*'PL"0"'!W18</f>
        <v>345248.86137828336</v>
      </c>
      <c r="W13" s="69">
        <f>W67*'PL"0"'!X18</f>
        <v>345285.5611022081</v>
      </c>
      <c r="X13" s="69">
        <f>X67*'PL"0"'!Y18</f>
        <v>345322.2608261329</v>
      </c>
      <c r="Y13" s="69">
        <f>Y67*'PL"0"'!Z18</f>
        <v>345358.9605500577</v>
      </c>
      <c r="Z13" s="69">
        <f>Z67*'PL"0"'!AA18</f>
        <v>345395.66027398233</v>
      </c>
      <c r="AA13" s="69">
        <f>AA67*'PL"0"'!AB18</f>
        <v>345432.35999790713</v>
      </c>
      <c r="AB13" s="69">
        <f>AB67*'PL"0"'!AC18</f>
        <v>345469.05972183187</v>
      </c>
    </row>
    <row r="14" spans="2:28">
      <c r="B14" s="676" t="s">
        <v>3010</v>
      </c>
      <c r="C14" s="458">
        <f>Ucto_HK_summ!D415+Ucto_HK_summ!D424+Ucto_HK_summ!D417</f>
        <v>1708737.5999999999</v>
      </c>
      <c r="D14" s="458">
        <f>Ucto_HK_summ!E415+Ucto_HK_summ!E424+Ucto_HK_summ!E417</f>
        <v>1817334.35</v>
      </c>
      <c r="E14" s="458">
        <f>Ucto_HK_summ!F415+Ucto_HK_summ!F424+Ucto_HK_summ!F417</f>
        <v>1142633.3599999999</v>
      </c>
      <c r="F14" s="458">
        <f>Ucto_HK_summ!G415+Ucto_HK_summ!G424+Ucto_HK_summ!G417</f>
        <v>864677.59</v>
      </c>
      <c r="G14" s="607">
        <f>Ucto_HK_summ!H415+Ucto_HK_summ!H424+Ucto_HK_summ!H417</f>
        <v>1042303.5</v>
      </c>
      <c r="H14" s="69">
        <f t="shared" ref="H14:U14" si="31">G14*(1+H68)</f>
        <v>1146533.8500000001</v>
      </c>
      <c r="I14" s="69">
        <f t="shared" si="31"/>
        <v>1146533.8500000001</v>
      </c>
      <c r="J14" s="69">
        <f t="shared" si="31"/>
        <v>1146533.8500000001</v>
      </c>
      <c r="K14" s="69">
        <f t="shared" si="31"/>
        <v>1146533.8500000001</v>
      </c>
      <c r="L14" s="69">
        <f t="shared" si="31"/>
        <v>1146533.8500000001</v>
      </c>
      <c r="M14" s="69">
        <f t="shared" si="31"/>
        <v>1146533.8500000001</v>
      </c>
      <c r="N14" s="69">
        <f t="shared" si="31"/>
        <v>1146533.8500000001</v>
      </c>
      <c r="O14" s="69">
        <f t="shared" si="31"/>
        <v>1146533.8500000001</v>
      </c>
      <c r="P14" s="69">
        <f t="shared" si="31"/>
        <v>1146533.8500000001</v>
      </c>
      <c r="Q14" s="69">
        <f t="shared" si="31"/>
        <v>1146533.8500000001</v>
      </c>
      <c r="R14" s="69">
        <f t="shared" si="31"/>
        <v>1146533.8500000001</v>
      </c>
      <c r="S14" s="69">
        <f t="shared" si="31"/>
        <v>1146533.8500000001</v>
      </c>
      <c r="T14" s="69">
        <f t="shared" si="31"/>
        <v>1146533.8500000001</v>
      </c>
      <c r="U14" s="69">
        <f t="shared" si="31"/>
        <v>1146533.8500000001</v>
      </c>
      <c r="V14" s="69">
        <f t="shared" ref="V14:AB14" si="32">U14*(1+V68)</f>
        <v>1146533.8500000001</v>
      </c>
      <c r="W14" s="69">
        <f t="shared" si="32"/>
        <v>1146533.8500000001</v>
      </c>
      <c r="X14" s="69">
        <f t="shared" si="32"/>
        <v>1146533.8500000001</v>
      </c>
      <c r="Y14" s="69">
        <f t="shared" si="32"/>
        <v>1146533.8500000001</v>
      </c>
      <c r="Z14" s="69">
        <f t="shared" si="32"/>
        <v>1146533.8500000001</v>
      </c>
      <c r="AA14" s="69">
        <f t="shared" si="32"/>
        <v>1146533.8500000001</v>
      </c>
      <c r="AB14" s="69">
        <f t="shared" si="32"/>
        <v>1146533.8500000001</v>
      </c>
    </row>
    <row r="15" spans="2:28">
      <c r="B15" s="676" t="s">
        <v>3008</v>
      </c>
      <c r="C15" s="458">
        <f>SUM(Ucto_HK_summ!D430:D436)</f>
        <v>209187.05</v>
      </c>
      <c r="D15" s="458">
        <f>SUM(Ucto_HK_summ!E430:E436)</f>
        <v>214246.94</v>
      </c>
      <c r="E15" s="458">
        <f>SUM(Ucto_HK_summ!F430:F436)</f>
        <v>230244.18</v>
      </c>
      <c r="F15" s="458">
        <f>SUM(Ucto_HK_summ!G430:G436)</f>
        <v>88256.420000000013</v>
      </c>
      <c r="G15" s="607">
        <f>SUM(Ucto_HK_summ!H430:H436)</f>
        <v>133861.39000000001</v>
      </c>
      <c r="H15" s="69">
        <f t="shared" ref="H15:U15" si="33">G15*(1+H69)</f>
        <v>147247.52900000004</v>
      </c>
      <c r="I15" s="69">
        <f t="shared" si="33"/>
        <v>147247.52900000004</v>
      </c>
      <c r="J15" s="69">
        <f t="shared" si="33"/>
        <v>147247.52900000004</v>
      </c>
      <c r="K15" s="69">
        <f t="shared" si="33"/>
        <v>147247.52900000004</v>
      </c>
      <c r="L15" s="69">
        <f t="shared" si="33"/>
        <v>147247.52900000004</v>
      </c>
      <c r="M15" s="69">
        <f t="shared" si="33"/>
        <v>147247.52900000004</v>
      </c>
      <c r="N15" s="69">
        <f t="shared" si="33"/>
        <v>147247.52900000004</v>
      </c>
      <c r="O15" s="69">
        <f t="shared" si="33"/>
        <v>147247.52900000004</v>
      </c>
      <c r="P15" s="69">
        <f t="shared" si="33"/>
        <v>147247.52900000004</v>
      </c>
      <c r="Q15" s="69">
        <f t="shared" si="33"/>
        <v>147247.52900000004</v>
      </c>
      <c r="R15" s="69">
        <f t="shared" si="33"/>
        <v>147247.52900000004</v>
      </c>
      <c r="S15" s="69">
        <f t="shared" si="33"/>
        <v>147247.52900000004</v>
      </c>
      <c r="T15" s="69">
        <f t="shared" si="33"/>
        <v>147247.52900000004</v>
      </c>
      <c r="U15" s="69">
        <f t="shared" si="33"/>
        <v>147247.52900000004</v>
      </c>
      <c r="V15" s="69">
        <f t="shared" ref="V15:AB15" si="34">U15*(1+V69)</f>
        <v>147247.52900000004</v>
      </c>
      <c r="W15" s="69">
        <f t="shared" si="34"/>
        <v>147247.52900000004</v>
      </c>
      <c r="X15" s="69">
        <f t="shared" si="34"/>
        <v>147247.52900000004</v>
      </c>
      <c r="Y15" s="69">
        <f t="shared" si="34"/>
        <v>147247.52900000004</v>
      </c>
      <c r="Z15" s="69">
        <f t="shared" si="34"/>
        <v>147247.52900000004</v>
      </c>
      <c r="AA15" s="69">
        <f t="shared" si="34"/>
        <v>147247.52900000004</v>
      </c>
      <c r="AB15" s="69">
        <f t="shared" si="34"/>
        <v>147247.52900000004</v>
      </c>
    </row>
    <row r="16" spans="2:28">
      <c r="B16" s="676" t="s">
        <v>3011</v>
      </c>
      <c r="C16" s="458">
        <f>Ucto_HK_summ!D437+Ucto_HK_summ!D446-C7-SUM(C12:C15)-C17</f>
        <v>304482.02000000328</v>
      </c>
      <c r="D16" s="458">
        <f>Ucto_HK_summ!E437+Ucto_HK_summ!E446-D7-SUM(D12:D15)-D17</f>
        <v>306876.49000000209</v>
      </c>
      <c r="E16" s="458">
        <f>Ucto_HK_summ!F437+Ucto_HK_summ!F446-E7-SUM(E12:E15)-E17</f>
        <v>454587.57999999821</v>
      </c>
      <c r="F16" s="458">
        <f>Ucto_HK_summ!G437+Ucto_HK_summ!G446-F7-SUM(F12:F15)-F17</f>
        <v>695304.94000001252</v>
      </c>
      <c r="G16" s="607">
        <f>Ucto_HK_summ!H437+Ucto_HK_summ!H446-G7-SUM(G12:G15)-G17</f>
        <v>935715.99000000209</v>
      </c>
      <c r="H16" s="69">
        <f t="shared" ref="H16:U16" si="35">G16*(1+H70)</f>
        <v>982501.78950000228</v>
      </c>
      <c r="I16" s="69">
        <f t="shared" si="35"/>
        <v>982501.78950000228</v>
      </c>
      <c r="J16" s="69">
        <f t="shared" si="35"/>
        <v>982501.78950000228</v>
      </c>
      <c r="K16" s="69">
        <f t="shared" si="35"/>
        <v>982501.78950000228</v>
      </c>
      <c r="L16" s="69">
        <f t="shared" si="35"/>
        <v>982501.78950000228</v>
      </c>
      <c r="M16" s="69">
        <f t="shared" si="35"/>
        <v>982501.78950000228</v>
      </c>
      <c r="N16" s="69">
        <f t="shared" si="35"/>
        <v>982501.78950000228</v>
      </c>
      <c r="O16" s="69">
        <f t="shared" si="35"/>
        <v>982501.78950000228</v>
      </c>
      <c r="P16" s="69">
        <f t="shared" si="35"/>
        <v>982501.78950000228</v>
      </c>
      <c r="Q16" s="69">
        <f t="shared" si="35"/>
        <v>982501.78950000228</v>
      </c>
      <c r="R16" s="69">
        <f t="shared" si="35"/>
        <v>982501.78950000228</v>
      </c>
      <c r="S16" s="69">
        <f t="shared" si="35"/>
        <v>982501.78950000228</v>
      </c>
      <c r="T16" s="69">
        <f t="shared" si="35"/>
        <v>982501.78950000228</v>
      </c>
      <c r="U16" s="69">
        <f t="shared" si="35"/>
        <v>982501.78950000228</v>
      </c>
      <c r="V16" s="69">
        <f t="shared" ref="V16:AB16" si="36">U16*(1+V70)</f>
        <v>982501.78950000228</v>
      </c>
      <c r="W16" s="69">
        <f t="shared" si="36"/>
        <v>982501.78950000228</v>
      </c>
      <c r="X16" s="69">
        <f t="shared" si="36"/>
        <v>982501.78950000228</v>
      </c>
      <c r="Y16" s="69">
        <f t="shared" si="36"/>
        <v>982501.78950000228</v>
      </c>
      <c r="Z16" s="69">
        <f t="shared" si="36"/>
        <v>982501.78950000228</v>
      </c>
      <c r="AA16" s="69">
        <f t="shared" si="36"/>
        <v>982501.78950000228</v>
      </c>
      <c r="AB16" s="69">
        <f t="shared" si="36"/>
        <v>982501.78950000228</v>
      </c>
    </row>
    <row r="17" spans="2:28" s="457" customFormat="1">
      <c r="B17" s="598" t="s">
        <v>2991</v>
      </c>
      <c r="C17" s="608">
        <f>SUM(C18:C19,C23,C26,C31:C34)</f>
        <v>30102723.740000002</v>
      </c>
      <c r="D17" s="608">
        <f t="shared" ref="D17:F17" si="37">SUM(D18:D19,D23,D26,D31:D34)</f>
        <v>32431096.609999999</v>
      </c>
      <c r="E17" s="608">
        <f t="shared" si="37"/>
        <v>39705431.020000003</v>
      </c>
      <c r="F17" s="608">
        <f t="shared" si="37"/>
        <v>41835715.719999991</v>
      </c>
      <c r="G17" s="608">
        <f>SUM(G18:G19,G23,G26,G31:G34)</f>
        <v>49284537.769999996</v>
      </c>
      <c r="H17" s="598">
        <f t="shared" ref="H17:U17" si="38">SUM(H18:H19,H23,H26,H31:H34)</f>
        <v>53212153.031028688</v>
      </c>
      <c r="I17" s="598">
        <f t="shared" si="38"/>
        <v>53080759.576149128</v>
      </c>
      <c r="J17" s="598">
        <f t="shared" si="38"/>
        <v>53126827.496356875</v>
      </c>
      <c r="K17" s="598">
        <f t="shared" si="38"/>
        <v>53167026.919433147</v>
      </c>
      <c r="L17" s="598">
        <f t="shared" si="38"/>
        <v>53386322.323712409</v>
      </c>
      <c r="M17" s="598">
        <f t="shared" si="38"/>
        <v>51901381.199514031</v>
      </c>
      <c r="N17" s="598">
        <f t="shared" si="38"/>
        <v>50647372.034444392</v>
      </c>
      <c r="O17" s="598">
        <f t="shared" si="38"/>
        <v>50034631.613308936</v>
      </c>
      <c r="P17" s="598">
        <f t="shared" si="38"/>
        <v>50047495.505429476</v>
      </c>
      <c r="Q17" s="598">
        <f t="shared" si="38"/>
        <v>50036204.57534045</v>
      </c>
      <c r="R17" s="598">
        <f t="shared" si="38"/>
        <v>50035855.040627584</v>
      </c>
      <c r="S17" s="598">
        <f t="shared" si="38"/>
        <v>50020691.774921775</v>
      </c>
      <c r="T17" s="598">
        <f t="shared" si="38"/>
        <v>49971490.42168355</v>
      </c>
      <c r="U17" s="598">
        <f t="shared" si="38"/>
        <v>49896198.691077709</v>
      </c>
      <c r="V17" s="598">
        <f t="shared" ref="V17" si="39">SUM(V18:V19,V23,V26,V31:V34)</f>
        <v>49902152.263997018</v>
      </c>
      <c r="W17" s="598">
        <f t="shared" ref="W17" si="40">SUM(W18:W19,W23,W26,W31:W34)</f>
        <v>49908105.836916327</v>
      </c>
      <c r="X17" s="598">
        <f t="shared" ref="X17" si="41">SUM(X18:X19,X23,X26,X31:X34)</f>
        <v>49914059.409835622</v>
      </c>
      <c r="Y17" s="598">
        <f t="shared" ref="Y17" si="42">SUM(Y18:Y19,Y23,Y26,Y31:Y34)</f>
        <v>49920012.982754931</v>
      </c>
      <c r="Z17" s="598">
        <f t="shared" ref="Z17" si="43">SUM(Z18:Z19,Z23,Z26,Z31:Z34)</f>
        <v>49925966.55567424</v>
      </c>
      <c r="AA17" s="598">
        <f t="shared" ref="AA17" si="44">SUM(AA18:AA19,AA23,AA26,AA31:AA34)</f>
        <v>49931920.128593534</v>
      </c>
      <c r="AB17" s="598">
        <f t="shared" ref="AB17" si="45">SUM(AB18:AB19,AB23,AB26,AB31:AB34)</f>
        <v>49937873.701512843</v>
      </c>
    </row>
    <row r="18" spans="2:28" s="552" customFormat="1">
      <c r="B18" s="552" t="s">
        <v>1292</v>
      </c>
      <c r="C18" s="458">
        <f>Ucto_HK_summ!D375</f>
        <v>2082687.56</v>
      </c>
      <c r="D18" s="458">
        <f>Ucto_HK_summ!E375</f>
        <v>2286266.9300000002</v>
      </c>
      <c r="E18" s="458">
        <f>Ucto_HK_summ!F375</f>
        <v>2334448.7999999998</v>
      </c>
      <c r="F18" s="458">
        <f>Ucto_HK_summ!G375</f>
        <v>1843687.9</v>
      </c>
      <c r="G18" s="607">
        <f>Ucto_HK_summ!H375</f>
        <v>2001749.67</v>
      </c>
      <c r="H18" s="552">
        <f>H71*'Revenues"0"'!H40</f>
        <v>2116159.5754814073</v>
      </c>
      <c r="I18" s="552">
        <f>I71*'Revenues"0"'!I40</f>
        <v>2094931.0023339046</v>
      </c>
      <c r="J18" s="552">
        <f>J71*'Revenues"0"'!J40</f>
        <v>2096612.8272303967</v>
      </c>
      <c r="K18" s="552">
        <f>K71*'Revenues"0"'!K40</f>
        <v>2098626.2209125822</v>
      </c>
      <c r="L18" s="552">
        <f>L71*'Revenues"0"'!L40</f>
        <v>2108839.9293679269</v>
      </c>
      <c r="M18" s="552">
        <f>M71*'Revenues"0"'!M40</f>
        <v>2041018.9135724031</v>
      </c>
      <c r="N18" s="552">
        <f>N71*'Revenues"0"'!N40</f>
        <v>1983761.7980090224</v>
      </c>
      <c r="O18" s="552">
        <f>O71*'Revenues"0"'!O40</f>
        <v>1955863.4603673483</v>
      </c>
      <c r="P18" s="552">
        <f>P71*'Revenues"0"'!P40</f>
        <v>1956613.7150618371</v>
      </c>
      <c r="Q18" s="552">
        <f>Q71*'Revenues"0"'!Q40</f>
        <v>1956257.6172537196</v>
      </c>
      <c r="R18" s="552">
        <f>R71*'Revenues"0"'!R40</f>
        <v>1956402.5978443976</v>
      </c>
      <c r="S18" s="552">
        <f>S71*'Revenues"0"'!S40</f>
        <v>1955868.8805572256</v>
      </c>
      <c r="T18" s="552">
        <f>T71*'Revenues"0"'!T40</f>
        <v>1953775.5147218145</v>
      </c>
      <c r="U18" s="552">
        <f>U71*'Revenues"0"'!U40</f>
        <v>1950486.2780852816</v>
      </c>
      <c r="V18" s="552">
        <f>V71*'Revenues"0"'!V40</f>
        <v>1950919.3768744073</v>
      </c>
      <c r="W18" s="552">
        <f>W71*'Revenues"0"'!W40</f>
        <v>1951352.4756635332</v>
      </c>
      <c r="X18" s="552">
        <f>X71*'Revenues"0"'!X40</f>
        <v>1951785.5744526593</v>
      </c>
      <c r="Y18" s="552">
        <f>Y71*'Revenues"0"'!Y40</f>
        <v>1952218.673241785</v>
      </c>
      <c r="Z18" s="552">
        <f>Z71*'Revenues"0"'!Z40</f>
        <v>1952651.7720309112</v>
      </c>
      <c r="AA18" s="552">
        <f>AA71*'Revenues"0"'!AA40</f>
        <v>1953084.8708200369</v>
      </c>
      <c r="AB18" s="552">
        <f>AB71*'Revenues"0"'!AB40</f>
        <v>1953517.9696091628</v>
      </c>
    </row>
    <row r="19" spans="2:28" s="552" customFormat="1">
      <c r="B19" s="552" t="s">
        <v>3012</v>
      </c>
      <c r="C19" s="458">
        <f>SUM(C20:C22)</f>
        <v>6029654.6799999997</v>
      </c>
      <c r="D19" s="458">
        <f t="shared" ref="D19:G19" si="46">SUM(D20:D22)</f>
        <v>6166948.1600000001</v>
      </c>
      <c r="E19" s="458">
        <f t="shared" si="46"/>
        <v>9186260.8900000006</v>
      </c>
      <c r="F19" s="458">
        <f t="shared" si="46"/>
        <v>12488631.129999999</v>
      </c>
      <c r="G19" s="607">
        <f t="shared" si="46"/>
        <v>14104253.310000001</v>
      </c>
      <c r="H19" s="552">
        <f>H73*('Revenues"0"'!H10+'Revenues"0"'!H14)</f>
        <v>14267195.663728261</v>
      </c>
      <c r="I19" s="552">
        <f>I73*('Revenues"0"'!I10+'Revenues"0"'!I14)</f>
        <v>14120927.563293038</v>
      </c>
      <c r="J19" s="552">
        <f>J73*('Revenues"0"'!J10+'Revenues"0"'!J14)</f>
        <v>14129118.236083869</v>
      </c>
      <c r="K19" s="552">
        <f>K73*('Revenues"0"'!K10+'Revenues"0"'!K14)</f>
        <v>14139539.21516983</v>
      </c>
      <c r="L19" s="552">
        <f>L73*('Revenues"0"'!L10+'Revenues"0"'!L14)</f>
        <v>14205193.061332328</v>
      </c>
      <c r="M19" s="552">
        <f>M73*('Revenues"0"'!M10+'Revenues"0"'!M14)</f>
        <v>13745290.971541749</v>
      </c>
      <c r="N19" s="552">
        <f>N73*('Revenues"0"'!N10+'Revenues"0"'!N14)</f>
        <v>13356720.45768312</v>
      </c>
      <c r="O19" s="552">
        <f>O73*('Revenues"0"'!O10+'Revenues"0"'!O14)</f>
        <v>13165952.209614081</v>
      </c>
      <c r="P19" s="552">
        <f>P73*('Revenues"0"'!P10+'Revenues"0"'!P14)</f>
        <v>13168074.744557945</v>
      </c>
      <c r="Q19" s="552">
        <f>Q73*('Revenues"0"'!Q10+'Revenues"0"'!Q14)</f>
        <v>13162752.202061377</v>
      </c>
      <c r="R19" s="552">
        <f>R73*('Revenues"0"'!R10+'Revenues"0"'!R14)</f>
        <v>13160802.800370146</v>
      </c>
      <c r="S19" s="552">
        <f>S73*('Revenues"0"'!S10+'Revenues"0"'!S14)</f>
        <v>13154289.649759162</v>
      </c>
      <c r="T19" s="552">
        <f>T73*('Revenues"0"'!T10+'Revenues"0"'!T14)</f>
        <v>13137292.231044063</v>
      </c>
      <c r="U19" s="552">
        <f>U73*('Revenues"0"'!U10+'Revenues"0"'!U14)</f>
        <v>13112263.046319218</v>
      </c>
      <c r="V19" s="552">
        <f>V73*('Revenues"0"'!V10+'Revenues"0"'!V14)</f>
        <v>13112263.046319218</v>
      </c>
      <c r="W19" s="552">
        <f>W73*('Revenues"0"'!W10+'Revenues"0"'!W14)</f>
        <v>13112263.046319218</v>
      </c>
      <c r="X19" s="552">
        <f>X73*('Revenues"0"'!X10+'Revenues"0"'!X14)</f>
        <v>13112263.046319218</v>
      </c>
      <c r="Y19" s="552">
        <f>Y73*('Revenues"0"'!Y10+'Revenues"0"'!Y14)</f>
        <v>13112263.046319218</v>
      </c>
      <c r="Z19" s="552">
        <f>Z73*('Revenues"0"'!Z10+'Revenues"0"'!Z14)</f>
        <v>13112263.046319218</v>
      </c>
      <c r="AA19" s="552">
        <f>AA73*('Revenues"0"'!AA10+'Revenues"0"'!AA14)</f>
        <v>13112263.046319218</v>
      </c>
      <c r="AB19" s="552">
        <f>AB73*('Revenues"0"'!AB10+'Revenues"0"'!AB14)</f>
        <v>13112263.046319218</v>
      </c>
    </row>
    <row r="20" spans="2:28" s="677" customFormat="1" ht="14">
      <c r="B20" s="680" t="s">
        <v>2996</v>
      </c>
      <c r="C20" s="678">
        <f>Ucto_HK_summ!D377+Ucto_HK_summ!D386</f>
        <v>2967581.06</v>
      </c>
      <c r="D20" s="678">
        <f>Ucto_HK_summ!E377+Ucto_HK_summ!E386</f>
        <v>2847101.52</v>
      </c>
      <c r="E20" s="678">
        <f>Ucto_HK_summ!F377+Ucto_HK_summ!F386</f>
        <v>5547324.0899999999</v>
      </c>
      <c r="F20" s="678">
        <f>Ucto_HK_summ!G377+Ucto_HK_summ!G386</f>
        <v>7775747.7800000003</v>
      </c>
      <c r="G20" s="679">
        <f>Ucto_HK_summ!H377+Ucto_HK_summ!H386</f>
        <v>8024900.6400000006</v>
      </c>
      <c r="H20" s="677">
        <f>G20/G19*H19</f>
        <v>8117609.9929857375</v>
      </c>
      <c r="I20" s="677">
        <f t="shared" ref="I20:U20" si="47">H20/H19*I19</f>
        <v>8034387.7941925554</v>
      </c>
      <c r="J20" s="677">
        <f t="shared" si="47"/>
        <v>8039048.0434008259</v>
      </c>
      <c r="K20" s="677">
        <f t="shared" si="47"/>
        <v>8044977.2705565142</v>
      </c>
      <c r="L20" s="677">
        <f t="shared" si="47"/>
        <v>8082332.3563244604</v>
      </c>
      <c r="M20" s="677">
        <f t="shared" si="47"/>
        <v>7820661.7457944406</v>
      </c>
      <c r="N20" s="677">
        <f t="shared" si="47"/>
        <v>7599576.6804022593</v>
      </c>
      <c r="O20" s="677">
        <f t="shared" si="47"/>
        <v>7491035.2211436182</v>
      </c>
      <c r="P20" s="677">
        <f t="shared" si="47"/>
        <v>7492242.8803975377</v>
      </c>
      <c r="Q20" s="677">
        <f t="shared" si="47"/>
        <v>7489214.5120218182</v>
      </c>
      <c r="R20" s="677">
        <f t="shared" si="47"/>
        <v>7488105.3604392605</v>
      </c>
      <c r="S20" s="677">
        <f t="shared" si="47"/>
        <v>7484399.571457901</v>
      </c>
      <c r="T20" s="677">
        <f t="shared" si="47"/>
        <v>7474728.5457518874</v>
      </c>
      <c r="U20" s="677">
        <f t="shared" si="47"/>
        <v>7460487.6840697816</v>
      </c>
      <c r="V20" s="677">
        <f t="shared" ref="V20" si="48">U20/U19*V19</f>
        <v>7460487.6840697816</v>
      </c>
      <c r="W20" s="677">
        <f t="shared" ref="W20" si="49">V20/V19*W19</f>
        <v>7460487.6840697816</v>
      </c>
      <c r="X20" s="677">
        <f t="shared" ref="X20" si="50">W20/W19*X19</f>
        <v>7460487.6840697816</v>
      </c>
      <c r="Y20" s="677">
        <f t="shared" ref="Y20" si="51">X20/X19*Y19</f>
        <v>7460487.6840697816</v>
      </c>
      <c r="Z20" s="677">
        <f t="shared" ref="Z20" si="52">Y20/Y19*Z19</f>
        <v>7460487.6840697816</v>
      </c>
      <c r="AA20" s="677">
        <f t="shared" ref="AA20" si="53">Z20/Z19*AA19</f>
        <v>7460487.6840697816</v>
      </c>
      <c r="AB20" s="677">
        <f t="shared" ref="AB20" si="54">AA20/AA19*AB19</f>
        <v>7460487.6840697816</v>
      </c>
    </row>
    <row r="21" spans="2:28" s="677" customFormat="1" ht="14">
      <c r="B21" s="680" t="s">
        <v>2997</v>
      </c>
      <c r="C21" s="678">
        <f>Ucto_HK_summ!D369</f>
        <v>238119.88</v>
      </c>
      <c r="D21" s="678">
        <f>Ucto_HK_summ!E369</f>
        <v>220739.8</v>
      </c>
      <c r="E21" s="678">
        <f>Ucto_HK_summ!F369</f>
        <v>217116.56</v>
      </c>
      <c r="F21" s="678">
        <f>Ucto_HK_summ!G369</f>
        <v>234111.8</v>
      </c>
      <c r="G21" s="679">
        <f>Ucto_HK_summ!H369</f>
        <v>193858.39</v>
      </c>
      <c r="H21" s="677">
        <f>G21/G19*H19</f>
        <v>196097.97983593805</v>
      </c>
      <c r="I21" s="677">
        <f t="shared" ref="I21:U21" si="55">H21/H19*I19</f>
        <v>194087.57220672831</v>
      </c>
      <c r="J21" s="677">
        <f t="shared" si="55"/>
        <v>194200.1503493175</v>
      </c>
      <c r="K21" s="677">
        <f t="shared" si="55"/>
        <v>194343.38332900283</v>
      </c>
      <c r="L21" s="677">
        <f t="shared" si="55"/>
        <v>195245.77416349994</v>
      </c>
      <c r="M21" s="677">
        <f t="shared" si="55"/>
        <v>188924.56901177278</v>
      </c>
      <c r="N21" s="677">
        <f t="shared" si="55"/>
        <v>183583.79324984719</v>
      </c>
      <c r="O21" s="677">
        <f t="shared" si="55"/>
        <v>180961.74551566734</v>
      </c>
      <c r="P21" s="677">
        <f t="shared" si="55"/>
        <v>180990.91907047329</v>
      </c>
      <c r="Q21" s="677">
        <f t="shared" si="55"/>
        <v>180917.76244910437</v>
      </c>
      <c r="R21" s="677">
        <f t="shared" si="55"/>
        <v>180890.96855473652</v>
      </c>
      <c r="S21" s="677">
        <f t="shared" si="55"/>
        <v>180801.44741075809</v>
      </c>
      <c r="T21" s="677">
        <f t="shared" si="55"/>
        <v>180567.82340005424</v>
      </c>
      <c r="U21" s="677">
        <f t="shared" si="55"/>
        <v>180223.80536895926</v>
      </c>
      <c r="V21" s="677">
        <f t="shared" ref="V21:AB21" si="56">U21/U19*V19</f>
        <v>180223.80536895926</v>
      </c>
      <c r="W21" s="677">
        <f t="shared" si="56"/>
        <v>180223.80536895926</v>
      </c>
      <c r="X21" s="677">
        <f t="shared" si="56"/>
        <v>180223.80536895926</v>
      </c>
      <c r="Y21" s="677">
        <f t="shared" si="56"/>
        <v>180223.80536895926</v>
      </c>
      <c r="Z21" s="677">
        <f t="shared" si="56"/>
        <v>180223.80536895926</v>
      </c>
      <c r="AA21" s="677">
        <f t="shared" si="56"/>
        <v>180223.80536895926</v>
      </c>
      <c r="AB21" s="677">
        <f t="shared" si="56"/>
        <v>180223.80536895926</v>
      </c>
    </row>
    <row r="22" spans="2:28" s="677" customFormat="1" ht="14">
      <c r="B22" s="680" t="s">
        <v>3002</v>
      </c>
      <c r="C22" s="678">
        <f>Ucto_HK_summ!D366+Ucto_HK_summ!D393+Ucto_HK_summ!D394</f>
        <v>2823953.74</v>
      </c>
      <c r="D22" s="678">
        <f>Ucto_HK_summ!E366+Ucto_HK_summ!E393+Ucto_HK_summ!E394</f>
        <v>3099106.8400000003</v>
      </c>
      <c r="E22" s="678">
        <f>Ucto_HK_summ!F366+Ucto_HK_summ!F393+Ucto_HK_summ!F394</f>
        <v>3421820.24</v>
      </c>
      <c r="F22" s="678">
        <f>Ucto_HK_summ!G366+Ucto_HK_summ!G393+Ucto_HK_summ!G394</f>
        <v>4478771.55</v>
      </c>
      <c r="G22" s="679">
        <f>Ucto_HK_summ!H366+Ucto_HK_summ!H393+Ucto_HK_summ!H394</f>
        <v>5885494.2800000003</v>
      </c>
      <c r="H22" s="677">
        <f>G22/G19*H19</f>
        <v>5953487.6909065871</v>
      </c>
      <c r="I22" s="677">
        <f t="shared" ref="I22:U22" si="57">H22/H19*I19</f>
        <v>5892452.1968937553</v>
      </c>
      <c r="J22" s="677">
        <f t="shared" si="57"/>
        <v>5895870.0423337268</v>
      </c>
      <c r="K22" s="677">
        <f t="shared" si="57"/>
        <v>5900218.5612843148</v>
      </c>
      <c r="L22" s="677">
        <f t="shared" si="57"/>
        <v>5927614.9308443693</v>
      </c>
      <c r="M22" s="677">
        <f t="shared" si="57"/>
        <v>5735704.6567355376</v>
      </c>
      <c r="N22" s="677">
        <f t="shared" si="57"/>
        <v>5573559.984031016</v>
      </c>
      <c r="O22" s="677">
        <f t="shared" si="57"/>
        <v>5493955.242954798</v>
      </c>
      <c r="P22" s="677">
        <f t="shared" si="57"/>
        <v>5494840.9450899372</v>
      </c>
      <c r="Q22" s="677">
        <f t="shared" si="57"/>
        <v>5492619.9275904568</v>
      </c>
      <c r="R22" s="677">
        <f t="shared" si="57"/>
        <v>5491806.4713761508</v>
      </c>
      <c r="S22" s="677">
        <f t="shared" si="57"/>
        <v>5489088.6308905054</v>
      </c>
      <c r="T22" s="677">
        <f t="shared" si="57"/>
        <v>5481995.8618921246</v>
      </c>
      <c r="U22" s="677">
        <f t="shared" si="57"/>
        <v>5471551.5568804797</v>
      </c>
      <c r="V22" s="677">
        <f t="shared" ref="V22:AB22" si="58">U22/U19*V19</f>
        <v>5471551.5568804797</v>
      </c>
      <c r="W22" s="677">
        <f t="shared" si="58"/>
        <v>5471551.5568804797</v>
      </c>
      <c r="X22" s="677">
        <f t="shared" si="58"/>
        <v>5471551.5568804797</v>
      </c>
      <c r="Y22" s="677">
        <f t="shared" si="58"/>
        <v>5471551.5568804797</v>
      </c>
      <c r="Z22" s="677">
        <f t="shared" si="58"/>
        <v>5471551.5568804797</v>
      </c>
      <c r="AA22" s="677">
        <f t="shared" si="58"/>
        <v>5471551.5568804797</v>
      </c>
      <c r="AB22" s="677">
        <f t="shared" si="58"/>
        <v>5471551.5568804797</v>
      </c>
    </row>
    <row r="23" spans="2:28" s="552" customFormat="1">
      <c r="B23" s="552" t="s">
        <v>3013</v>
      </c>
      <c r="C23" s="458">
        <f>SUM(C24:C25)</f>
        <v>6608919.1000000006</v>
      </c>
      <c r="D23" s="458">
        <f t="shared" ref="D23:G23" si="59">SUM(D24:D25)</f>
        <v>6496327.4500000002</v>
      </c>
      <c r="E23" s="458">
        <f t="shared" si="59"/>
        <v>7071248.6900000004</v>
      </c>
      <c r="F23" s="458">
        <f t="shared" si="59"/>
        <v>5779705.8300000001</v>
      </c>
      <c r="G23" s="607">
        <f t="shared" si="59"/>
        <v>5685647.4699999997</v>
      </c>
      <c r="H23" s="552">
        <f>H74*'Revenues"0"'!H13</f>
        <v>9132914.8421449531</v>
      </c>
      <c r="I23" s="552">
        <f>I74*'Revenues"0"'!I13</f>
        <v>9040735.920604568</v>
      </c>
      <c r="J23" s="552">
        <f>J74*'Revenues"0"'!J13</f>
        <v>9047432.9724378865</v>
      </c>
      <c r="K23" s="552">
        <f>K74*'Revenues"0"'!K13</f>
        <v>9055560.0916429311</v>
      </c>
      <c r="L23" s="552">
        <f>L74*'Revenues"0"'!L13</f>
        <v>9099068.5032485519</v>
      </c>
      <c r="M23" s="552">
        <f>M74*'Revenues"0"'!M13</f>
        <v>8805894.0269379634</v>
      </c>
      <c r="N23" s="552">
        <f>N74*'Revenues"0"'!N13</f>
        <v>8558330.7269608434</v>
      </c>
      <c r="O23" s="552">
        <f>O74*'Revenues"0"'!O13</f>
        <v>8437449.8268807121</v>
      </c>
      <c r="P23" s="552">
        <f>P74*'Revenues"0"'!P13</f>
        <v>8440164.3072432391</v>
      </c>
      <c r="Q23" s="552">
        <f>Q74*'Revenues"0"'!Q13</f>
        <v>8438106.4870459996</v>
      </c>
      <c r="R23" s="552">
        <f>R74*'Revenues"0"'!R13</f>
        <v>8438210.3027174957</v>
      </c>
      <c r="S23" s="552">
        <f>S74*'Revenues"0"'!S13</f>
        <v>8435387.1444204822</v>
      </c>
      <c r="T23" s="552">
        <f>T74*'Revenues"0"'!T13</f>
        <v>8425838.3727683891</v>
      </c>
      <c r="U23" s="552">
        <f>U74*'Revenues"0"'!U13</f>
        <v>8411133.9615550283</v>
      </c>
      <c r="V23" s="552">
        <f>V74*'Revenues"0"'!V13</f>
        <v>8412482.467593167</v>
      </c>
      <c r="W23" s="552">
        <f>W74*'Revenues"0"'!W13</f>
        <v>8413830.9736313056</v>
      </c>
      <c r="X23" s="552">
        <f>X74*'Revenues"0"'!X13</f>
        <v>8415179.4796694443</v>
      </c>
      <c r="Y23" s="552">
        <f>Y74*'Revenues"0"'!Y13</f>
        <v>8416527.985707581</v>
      </c>
      <c r="Z23" s="552">
        <f>Z74*'Revenues"0"'!Z13</f>
        <v>8417876.4917457178</v>
      </c>
      <c r="AA23" s="552">
        <f>AA74*'Revenues"0"'!AA13</f>
        <v>8419224.9977838565</v>
      </c>
      <c r="AB23" s="552">
        <f>AB74*'Revenues"0"'!AB13</f>
        <v>8420573.5038219951</v>
      </c>
    </row>
    <row r="24" spans="2:28" s="677" customFormat="1" ht="14">
      <c r="B24" s="680" t="s">
        <v>2994</v>
      </c>
      <c r="C24" s="678">
        <f>Ucto_HK_summ!D376</f>
        <v>4784985.49</v>
      </c>
      <c r="D24" s="678">
        <f>Ucto_HK_summ!E376</f>
        <v>4691374.0800000001</v>
      </c>
      <c r="E24" s="678">
        <f>Ucto_HK_summ!F376</f>
        <v>5132662.49</v>
      </c>
      <c r="F24" s="678">
        <f>Ucto_HK_summ!G376</f>
        <v>4106303.69</v>
      </c>
      <c r="G24" s="679">
        <f>Ucto_HK_summ!H376</f>
        <v>4007271.44</v>
      </c>
      <c r="H24" s="677">
        <f>G24/G23*H23</f>
        <v>6436921.9168067025</v>
      </c>
      <c r="I24" s="677">
        <f t="shared" ref="I24" si="60">H24/H23*I23</f>
        <v>6371953.7734935917</v>
      </c>
      <c r="J24" s="677">
        <f t="shared" ref="J24" si="61">I24/I23*J23</f>
        <v>6376673.8875501631</v>
      </c>
      <c r="K24" s="677">
        <f t="shared" ref="K24" si="62">J24/J23*K23</f>
        <v>6382401.9199073734</v>
      </c>
      <c r="L24" s="677">
        <f t="shared" ref="L24" si="63">K24/K23*L23</f>
        <v>6413066.8558090311</v>
      </c>
      <c r="M24" s="677">
        <f t="shared" ref="M24" si="64">L24/L23*M23</f>
        <v>6206436.0873600021</v>
      </c>
      <c r="N24" s="677">
        <f t="shared" ref="N24" si="65">M24/M23*N23</f>
        <v>6031952.2934165718</v>
      </c>
      <c r="O24" s="677">
        <f t="shared" ref="O24" si="66">N24/N23*O23</f>
        <v>5946754.8588080192</v>
      </c>
      <c r="P24" s="677">
        <f t="shared" ref="P24" si="67">O24/O23*P23</f>
        <v>5948668.0375072956</v>
      </c>
      <c r="Q24" s="677">
        <f t="shared" ref="Q24" si="68">P24/P23*Q23</f>
        <v>5947217.6760227736</v>
      </c>
      <c r="R24" s="677">
        <f t="shared" ref="R24" si="69">Q24/Q23*R23</f>
        <v>5947290.8458029274</v>
      </c>
      <c r="S24" s="677">
        <f t="shared" ref="S24" si="70">R24/R23*S23</f>
        <v>5945301.0703773648</v>
      </c>
      <c r="T24" s="677">
        <f t="shared" ref="T24" si="71">S24/S23*T23</f>
        <v>5938571.0505985413</v>
      </c>
      <c r="U24" s="677">
        <f t="shared" ref="U24" si="72">T24/T23*U23</f>
        <v>5928207.3114803098</v>
      </c>
      <c r="V24" s="677">
        <f t="shared" ref="V24" si="73">U24/U23*V23</f>
        <v>5929157.7449642383</v>
      </c>
      <c r="W24" s="677">
        <f t="shared" ref="W24" si="74">V24/V23*W23</f>
        <v>5930108.1784481658</v>
      </c>
      <c r="X24" s="677">
        <f t="shared" ref="X24" si="75">W24/W23*X23</f>
        <v>5931058.6119320942</v>
      </c>
      <c r="Y24" s="677">
        <f t="shared" ref="Y24" si="76">X24/X23*Y23</f>
        <v>5932009.0454160217</v>
      </c>
      <c r="Z24" s="677">
        <f t="shared" ref="Z24" si="77">Y24/Y23*Z23</f>
        <v>5932959.4788999483</v>
      </c>
      <c r="AA24" s="677">
        <f t="shared" ref="AA24" si="78">Z24/Z23*AA23</f>
        <v>5933909.9123838767</v>
      </c>
      <c r="AB24" s="677">
        <f t="shared" ref="AB24" si="79">AA24/AA23*AB23</f>
        <v>5934860.3458678052</v>
      </c>
    </row>
    <row r="25" spans="2:28" s="677" customFormat="1" ht="14">
      <c r="B25" s="680" t="s">
        <v>2995</v>
      </c>
      <c r="C25" s="678">
        <f>Ucto_HK_summ!D382</f>
        <v>1823933.61</v>
      </c>
      <c r="D25" s="678">
        <f>Ucto_HK_summ!E382</f>
        <v>1804953.37</v>
      </c>
      <c r="E25" s="678">
        <f>Ucto_HK_summ!F382</f>
        <v>1938586.2</v>
      </c>
      <c r="F25" s="678">
        <f>Ucto_HK_summ!G382</f>
        <v>1673402.14</v>
      </c>
      <c r="G25" s="679">
        <f>Ucto_HK_summ!H382</f>
        <v>1678376.03</v>
      </c>
      <c r="H25" s="677">
        <f>G25/G23*H23</f>
        <v>2695992.9253382511</v>
      </c>
      <c r="I25" s="677">
        <f t="shared" ref="I25:U25" si="80">H25/H23*I23</f>
        <v>2668782.1471109767</v>
      </c>
      <c r="J25" s="677">
        <f t="shared" si="80"/>
        <v>2670759.0848877239</v>
      </c>
      <c r="K25" s="677">
        <f t="shared" si="80"/>
        <v>2673158.1717355582</v>
      </c>
      <c r="L25" s="677">
        <f t="shared" si="80"/>
        <v>2686001.6474395217</v>
      </c>
      <c r="M25" s="677">
        <f t="shared" si="80"/>
        <v>2599457.9395779623</v>
      </c>
      <c r="N25" s="677">
        <f t="shared" si="80"/>
        <v>2526378.4335442726</v>
      </c>
      <c r="O25" s="677">
        <f t="shared" si="80"/>
        <v>2490694.9680726933</v>
      </c>
      <c r="P25" s="677">
        <f t="shared" si="80"/>
        <v>2491496.2697359445</v>
      </c>
      <c r="Q25" s="677">
        <f t="shared" si="80"/>
        <v>2490888.811023226</v>
      </c>
      <c r="R25" s="677">
        <f t="shared" si="80"/>
        <v>2490919.4569145683</v>
      </c>
      <c r="S25" s="677">
        <f t="shared" si="80"/>
        <v>2490086.0740431184</v>
      </c>
      <c r="T25" s="677">
        <f t="shared" si="80"/>
        <v>2487267.3221698478</v>
      </c>
      <c r="U25" s="677">
        <f t="shared" si="80"/>
        <v>2482926.6500747195</v>
      </c>
      <c r="V25" s="677">
        <f t="shared" ref="V25:AB25" si="81">U25/U23*V23</f>
        <v>2483324.7226289297</v>
      </c>
      <c r="W25" s="677">
        <f t="shared" si="81"/>
        <v>2483722.7951831399</v>
      </c>
      <c r="X25" s="677">
        <f t="shared" si="81"/>
        <v>2484120.8677373501</v>
      </c>
      <c r="Y25" s="677">
        <f t="shared" si="81"/>
        <v>2484518.9402915598</v>
      </c>
      <c r="Z25" s="677">
        <f t="shared" si="81"/>
        <v>2484917.0128457695</v>
      </c>
      <c r="AA25" s="677">
        <f t="shared" si="81"/>
        <v>2485315.0853999797</v>
      </c>
      <c r="AB25" s="677">
        <f t="shared" si="81"/>
        <v>2485713.1579541904</v>
      </c>
    </row>
    <row r="26" spans="2:28" s="552" customFormat="1">
      <c r="B26" s="552" t="s">
        <v>1180</v>
      </c>
      <c r="C26" s="458">
        <f>SUM(C27:C30)</f>
        <v>8924248.4699999988</v>
      </c>
      <c r="D26" s="458">
        <f t="shared" ref="D26:G26" si="82">SUM(D27:D30)</f>
        <v>10507805.67</v>
      </c>
      <c r="E26" s="458">
        <f t="shared" si="82"/>
        <v>11407808.530000001</v>
      </c>
      <c r="F26" s="458">
        <f t="shared" si="82"/>
        <v>10744461.539999999</v>
      </c>
      <c r="G26" s="607">
        <f t="shared" si="82"/>
        <v>14107736.899999999</v>
      </c>
      <c r="H26" s="552">
        <f>H75*('Revenues"0"'!H5+'Revenues"0"'!H11)</f>
        <v>14173738.963340295</v>
      </c>
      <c r="I26" s="552">
        <f>I75*('Revenues"0"'!I5+'Revenues"0"'!I11)</f>
        <v>14031479.567601759</v>
      </c>
      <c r="J26" s="552">
        <f>J75*('Revenues"0"'!J5+'Revenues"0"'!J11)</f>
        <v>14042670.707915319</v>
      </c>
      <c r="K26" s="552">
        <f>K75*('Revenues"0"'!K5+'Revenues"0"'!K11)</f>
        <v>14056082.529353183</v>
      </c>
      <c r="L26" s="552">
        <f>L75*('Revenues"0"'!L5+'Revenues"0"'!L11)</f>
        <v>14124417.648110537</v>
      </c>
      <c r="M26" s="552">
        <f>M75*('Revenues"0"'!M5+'Revenues"0"'!M11)</f>
        <v>13670100.144827422</v>
      </c>
      <c r="N26" s="552">
        <f>N75*('Revenues"0"'!N5+'Revenues"0"'!N11)</f>
        <v>13286540.714777572</v>
      </c>
      <c r="O26" s="552">
        <f>O75*('Revenues"0"'!O5+'Revenues"0"'!O11)</f>
        <v>13099619.088999165</v>
      </c>
      <c r="P26" s="552">
        <f>P75*('Revenues"0"'!P5+'Revenues"0"'!P11)</f>
        <v>13104575.664102672</v>
      </c>
      <c r="Q26" s="552">
        <f>Q75*('Revenues"0"'!Q5+'Revenues"0"'!Q11)</f>
        <v>13102122.372106671</v>
      </c>
      <c r="R26" s="552">
        <f>R75*('Revenues"0"'!R5+'Revenues"0"'!R11)</f>
        <v>13103025.112690071</v>
      </c>
      <c r="S26" s="552">
        <f>S75*('Revenues"0"'!S5+'Revenues"0"'!S11)</f>
        <v>13099382.311635435</v>
      </c>
      <c r="T26" s="552">
        <f>T75*('Revenues"0"'!T5+'Revenues"0"'!T11)</f>
        <v>13085293.925823858</v>
      </c>
      <c r="U26" s="552">
        <f>U75*('Revenues"0"'!U5+'Revenues"0"'!U11)</f>
        <v>13063196.485166017</v>
      </c>
      <c r="V26" s="552">
        <f>V75*('Revenues"0"'!V5+'Revenues"0"'!V11)</f>
        <v>13066029.162000302</v>
      </c>
      <c r="W26" s="552">
        <f>W75*('Revenues"0"'!W5+'Revenues"0"'!W11)</f>
        <v>13068861.838834586</v>
      </c>
      <c r="X26" s="552">
        <f>X75*('Revenues"0"'!X5+'Revenues"0"'!X11)</f>
        <v>13071694.515668873</v>
      </c>
      <c r="Y26" s="552">
        <f>Y75*('Revenues"0"'!Y5+'Revenues"0"'!Y11)</f>
        <v>13074527.192503154</v>
      </c>
      <c r="Z26" s="552">
        <f>Z75*('Revenues"0"'!Z5+'Revenues"0"'!Z11)</f>
        <v>13077359.869337441</v>
      </c>
      <c r="AA26" s="552">
        <f>AA75*('Revenues"0"'!AA5+'Revenues"0"'!AA11)</f>
        <v>13080192.546171723</v>
      </c>
      <c r="AB26" s="552">
        <f>AB75*('Revenues"0"'!AB5+'Revenues"0"'!AB11)</f>
        <v>13083025.22300601</v>
      </c>
    </row>
    <row r="27" spans="2:28" s="677" customFormat="1" ht="14">
      <c r="B27" s="680" t="s">
        <v>2998</v>
      </c>
      <c r="C27" s="678">
        <f>Ucto_HK_summ!D361</f>
        <v>2305155.86</v>
      </c>
      <c r="D27" s="678">
        <f>Ucto_HK_summ!E361</f>
        <v>3916991.05</v>
      </c>
      <c r="E27" s="678">
        <f>Ucto_HK_summ!F361</f>
        <v>4062686.62</v>
      </c>
      <c r="F27" s="678">
        <f>Ucto_HK_summ!G361</f>
        <v>4311918.1399999997</v>
      </c>
      <c r="G27" s="679">
        <f>Ucto_HK_summ!H361</f>
        <v>7585677.2999999998</v>
      </c>
      <c r="H27" s="677">
        <f>G27/G26*H26</f>
        <v>7621166.3622913193</v>
      </c>
      <c r="I27" s="677">
        <f t="shared" ref="I27" si="83">H27/H26*I26</f>
        <v>7544674.0179405017</v>
      </c>
      <c r="J27" s="677">
        <f t="shared" ref="J27" si="84">I27/I26*J26</f>
        <v>7550691.452178142</v>
      </c>
      <c r="K27" s="677">
        <f t="shared" ref="K27" si="85">J27/J26*K26</f>
        <v>7557902.9383402392</v>
      </c>
      <c r="L27" s="677">
        <f t="shared" ref="L27" si="86">K27/K26*L26</f>
        <v>7594646.4757924061</v>
      </c>
      <c r="M27" s="677">
        <f t="shared" ref="M27" si="87">L27/L26*M26</f>
        <v>7350361.6556206178</v>
      </c>
      <c r="N27" s="677">
        <f t="shared" ref="N27" si="88">M27/M26*N26</f>
        <v>7144123.1864491319</v>
      </c>
      <c r="O27" s="677">
        <f t="shared" ref="O27" si="89">N27/N26*O26</f>
        <v>7043616.1282585049</v>
      </c>
      <c r="P27" s="677">
        <f t="shared" ref="P27" si="90">O27/O26*P26</f>
        <v>7046281.2601301102</v>
      </c>
      <c r="Q27" s="677">
        <f t="shared" ref="Q27" si="91">P27/P26*Q26</f>
        <v>7044962.1342110317</v>
      </c>
      <c r="R27" s="677">
        <f t="shared" ref="R27" si="92">Q27/Q26*R26</f>
        <v>7045447.5344421128</v>
      </c>
      <c r="S27" s="677">
        <f t="shared" ref="S27" si="93">R27/R26*S26</f>
        <v>7043488.8139567189</v>
      </c>
      <c r="T27" s="677">
        <f t="shared" ref="T27" si="94">S27/S26*T26</f>
        <v>7035913.5416644979</v>
      </c>
      <c r="U27" s="677">
        <f t="shared" ref="U27" si="95">T27/T26*U26</f>
        <v>7024031.8305740189</v>
      </c>
      <c r="V27" s="677">
        <f t="shared" ref="V27" si="96">U27/U26*V26</f>
        <v>7025554.9502999103</v>
      </c>
      <c r="W27" s="677">
        <f t="shared" ref="W27" si="97">V27/V26*W26</f>
        <v>7027078.0700258007</v>
      </c>
      <c r="X27" s="677">
        <f t="shared" ref="X27" si="98">W27/W26*X26</f>
        <v>7028601.189751693</v>
      </c>
      <c r="Y27" s="677">
        <f t="shared" ref="Y27" si="99">X27/X26*Y26</f>
        <v>7030124.3094775826</v>
      </c>
      <c r="Z27" s="677">
        <f t="shared" ref="Z27" si="100">Y27/Y26*Z26</f>
        <v>7031647.429203474</v>
      </c>
      <c r="AA27" s="677">
        <f t="shared" ref="AA27" si="101">Z27/Z26*AA26</f>
        <v>7033170.5489293635</v>
      </c>
      <c r="AB27" s="677">
        <f t="shared" ref="AB27" si="102">AA27/AA26*AB26</f>
        <v>7034693.6686552558</v>
      </c>
    </row>
    <row r="28" spans="2:28" s="677" customFormat="1" ht="14">
      <c r="B28" s="680" t="s">
        <v>2999</v>
      </c>
      <c r="C28" s="678">
        <f>Ucto_HK_summ!D360</f>
        <v>1831844.34</v>
      </c>
      <c r="D28" s="678">
        <f>Ucto_HK_summ!E360</f>
        <v>1610247.22</v>
      </c>
      <c r="E28" s="678">
        <f>Ucto_HK_summ!F360</f>
        <v>1604683.29</v>
      </c>
      <c r="F28" s="678">
        <f>Ucto_HK_summ!G360</f>
        <v>2277529.0699999998</v>
      </c>
      <c r="G28" s="679">
        <f>Ucto_HK_summ!H360</f>
        <v>2325935.19</v>
      </c>
      <c r="H28" s="677">
        <f>G28/G26*H26</f>
        <v>2336816.9155966691</v>
      </c>
      <c r="I28" s="677">
        <f t="shared" ref="I28:U28" si="103">H28/H26*I26</f>
        <v>2313362.6835676897</v>
      </c>
      <c r="J28" s="677">
        <f t="shared" si="103"/>
        <v>2315207.7610068312</v>
      </c>
      <c r="K28" s="677">
        <f t="shared" si="103"/>
        <v>2317418.960979261</v>
      </c>
      <c r="L28" s="677">
        <f t="shared" si="103"/>
        <v>2328685.3361999784</v>
      </c>
      <c r="M28" s="677">
        <f t="shared" si="103"/>
        <v>2253782.2475040774</v>
      </c>
      <c r="N28" s="677">
        <f t="shared" si="103"/>
        <v>2190545.0052636662</v>
      </c>
      <c r="O28" s="677">
        <f t="shared" si="103"/>
        <v>2159727.3347718092</v>
      </c>
      <c r="P28" s="677">
        <f t="shared" si="103"/>
        <v>2160544.5227117911</v>
      </c>
      <c r="Q28" s="677">
        <f t="shared" si="103"/>
        <v>2160140.0497459788</v>
      </c>
      <c r="R28" s="677">
        <f t="shared" si="103"/>
        <v>2160288.8841129118</v>
      </c>
      <c r="S28" s="677">
        <f t="shared" si="103"/>
        <v>2159688.2974119261</v>
      </c>
      <c r="T28" s="677">
        <f t="shared" si="103"/>
        <v>2157365.5526257344</v>
      </c>
      <c r="U28" s="677">
        <f t="shared" si="103"/>
        <v>2153722.3591639246</v>
      </c>
      <c r="V28" s="677">
        <f t="shared" ref="V28:AB28" si="104">U28/U26*V26</f>
        <v>2154189.3811092209</v>
      </c>
      <c r="W28" s="677">
        <f t="shared" si="104"/>
        <v>2154656.4030545163</v>
      </c>
      <c r="X28" s="677">
        <f t="shared" si="104"/>
        <v>2155123.4249998126</v>
      </c>
      <c r="Y28" s="677">
        <f t="shared" si="104"/>
        <v>2155590.446945108</v>
      </c>
      <c r="Z28" s="677">
        <f t="shared" si="104"/>
        <v>2156057.4688904043</v>
      </c>
      <c r="AA28" s="677">
        <f t="shared" si="104"/>
        <v>2156524.4908356997</v>
      </c>
      <c r="AB28" s="677">
        <f t="shared" si="104"/>
        <v>2156991.512780996</v>
      </c>
    </row>
    <row r="29" spans="2:28" s="677" customFormat="1" ht="14">
      <c r="B29" s="680" t="s">
        <v>3000</v>
      </c>
      <c r="C29" s="678">
        <f>Ucto_HK_summ!D355</f>
        <v>1906854.38</v>
      </c>
      <c r="D29" s="678">
        <f>Ucto_HK_summ!E355</f>
        <v>1591076.3</v>
      </c>
      <c r="E29" s="678">
        <f>Ucto_HK_summ!F355</f>
        <v>1674471.41</v>
      </c>
      <c r="F29" s="678">
        <f>Ucto_HK_summ!G355</f>
        <v>1557902.81</v>
      </c>
      <c r="G29" s="679">
        <f>Ucto_HK_summ!H355</f>
        <v>1685043.1</v>
      </c>
      <c r="H29" s="677">
        <f>G29/G26*H26</f>
        <v>1692926.4566436394</v>
      </c>
      <c r="I29" s="677">
        <f t="shared" ref="I29:U29" si="105">H29/H26*I26</f>
        <v>1675934.8431128121</v>
      </c>
      <c r="J29" s="677">
        <f t="shared" si="105"/>
        <v>1677271.5248145028</v>
      </c>
      <c r="K29" s="677">
        <f t="shared" si="105"/>
        <v>1678873.4470315457</v>
      </c>
      <c r="L29" s="677">
        <f t="shared" si="105"/>
        <v>1687035.4662955822</v>
      </c>
      <c r="M29" s="677">
        <f t="shared" si="105"/>
        <v>1632771.3005018155</v>
      </c>
      <c r="N29" s="677">
        <f t="shared" si="105"/>
        <v>1586958.5542316868</v>
      </c>
      <c r="O29" s="677">
        <f t="shared" si="105"/>
        <v>1564632.4364431784</v>
      </c>
      <c r="P29" s="677">
        <f t="shared" si="105"/>
        <v>1565224.4550452402</v>
      </c>
      <c r="Q29" s="677">
        <f t="shared" si="105"/>
        <v>1564931.4312399733</v>
      </c>
      <c r="R29" s="677">
        <f t="shared" si="105"/>
        <v>1565039.2555353886</v>
      </c>
      <c r="S29" s="677">
        <f t="shared" si="105"/>
        <v>1564604.1555030236</v>
      </c>
      <c r="T29" s="677">
        <f t="shared" si="105"/>
        <v>1562921.4237176063</v>
      </c>
      <c r="U29" s="677">
        <f t="shared" si="105"/>
        <v>1560282.0819031049</v>
      </c>
      <c r="V29" s="677">
        <f t="shared" ref="V29:AB29" si="106">U29/U26*V26</f>
        <v>1560620.4198369617</v>
      </c>
      <c r="W29" s="677">
        <f t="shared" si="106"/>
        <v>1560958.7577708182</v>
      </c>
      <c r="X29" s="677">
        <f t="shared" si="106"/>
        <v>1561297.0957046754</v>
      </c>
      <c r="Y29" s="677">
        <f t="shared" si="106"/>
        <v>1561635.4336385319</v>
      </c>
      <c r="Z29" s="677">
        <f t="shared" si="106"/>
        <v>1561973.7715723889</v>
      </c>
      <c r="AA29" s="677">
        <f t="shared" si="106"/>
        <v>1562312.1095062455</v>
      </c>
      <c r="AB29" s="677">
        <f t="shared" si="106"/>
        <v>1562650.4474401025</v>
      </c>
    </row>
    <row r="30" spans="2:28" s="677" customFormat="1" ht="14">
      <c r="B30" s="680" t="s">
        <v>3001</v>
      </c>
      <c r="C30" s="678">
        <f>SUM(Ucto_HK_summ!D354,Ucto_HK_summ!D356:D359,Ucto_HK_summ!D362:D365,Ucto_HK_summ!D367:D368)</f>
        <v>2880393.8899999997</v>
      </c>
      <c r="D30" s="678">
        <f>SUM(Ucto_HK_summ!E354,Ucto_HK_summ!E356:E359,Ucto_HK_summ!E362:E365,Ucto_HK_summ!E367:E368)</f>
        <v>3389491.1</v>
      </c>
      <c r="E30" s="678">
        <f>SUM(Ucto_HK_summ!F354,Ucto_HK_summ!F356:F359,Ucto_HK_summ!F362:F365,Ucto_HK_summ!F367:F368)</f>
        <v>4065967.21</v>
      </c>
      <c r="F30" s="678">
        <f>SUM(Ucto_HK_summ!G354,Ucto_HK_summ!G356:G359,Ucto_HK_summ!G362:G365,Ucto_HK_summ!G367:G368)</f>
        <v>2597111.52</v>
      </c>
      <c r="G30" s="679">
        <f>SUM(Ucto_HK_summ!H354,Ucto_HK_summ!H356:H359,Ucto_HK_summ!H362:H365,Ucto_HK_summ!H367:H368)</f>
        <v>2511081.3099999996</v>
      </c>
      <c r="H30" s="677">
        <f>G30/G26*H26</f>
        <v>2522829.228808668</v>
      </c>
      <c r="I30" s="677">
        <f t="shared" ref="I30:U30" si="107">H30/H26*I26</f>
        <v>2497508.0229807557</v>
      </c>
      <c r="J30" s="677">
        <f t="shared" si="107"/>
        <v>2499499.9699158426</v>
      </c>
      <c r="K30" s="677">
        <f t="shared" si="107"/>
        <v>2501887.1830021371</v>
      </c>
      <c r="L30" s="677">
        <f t="shared" si="107"/>
        <v>2514050.3698225706</v>
      </c>
      <c r="M30" s="677">
        <f t="shared" si="107"/>
        <v>2433184.9412009115</v>
      </c>
      <c r="N30" s="677">
        <f t="shared" si="107"/>
        <v>2364913.9688330875</v>
      </c>
      <c r="O30" s="677">
        <f t="shared" si="107"/>
        <v>2331643.1895256727</v>
      </c>
      <c r="P30" s="677">
        <f t="shared" si="107"/>
        <v>2332525.4262155294</v>
      </c>
      <c r="Q30" s="677">
        <f t="shared" si="107"/>
        <v>2332088.7569096871</v>
      </c>
      <c r="R30" s="677">
        <f t="shared" si="107"/>
        <v>2332249.4385996577</v>
      </c>
      <c r="S30" s="677">
        <f t="shared" si="107"/>
        <v>2331601.0447637658</v>
      </c>
      <c r="T30" s="677">
        <f t="shared" si="107"/>
        <v>2329093.4078160198</v>
      </c>
      <c r="U30" s="677">
        <f t="shared" si="107"/>
        <v>2325160.2135249679</v>
      </c>
      <c r="V30" s="677">
        <f t="shared" ref="V30:AB30" si="108">U30/U26*V26</f>
        <v>2325664.4107542094</v>
      </c>
      <c r="W30" s="677">
        <f t="shared" si="108"/>
        <v>2326168.6079834499</v>
      </c>
      <c r="X30" s="677">
        <f t="shared" si="108"/>
        <v>2326672.8052126914</v>
      </c>
      <c r="Y30" s="677">
        <f t="shared" si="108"/>
        <v>2327177.002441932</v>
      </c>
      <c r="Z30" s="677">
        <f t="shared" si="108"/>
        <v>2327681.1996711735</v>
      </c>
      <c r="AA30" s="677">
        <f t="shared" si="108"/>
        <v>2328185.396900414</v>
      </c>
      <c r="AB30" s="677">
        <f t="shared" si="108"/>
        <v>2328689.5941296555</v>
      </c>
    </row>
    <row r="31" spans="2:28">
      <c r="B31" s="552" t="s">
        <v>3003</v>
      </c>
      <c r="C31" s="458">
        <f>Ucto_HK_summ!D391</f>
        <v>3826235.53</v>
      </c>
      <c r="D31" s="458">
        <f>Ucto_HK_summ!E391</f>
        <v>3879186.01</v>
      </c>
      <c r="E31" s="458">
        <f>Ucto_HK_summ!F391</f>
        <v>4283857.4400000004</v>
      </c>
      <c r="F31" s="458">
        <f>Ucto_HK_summ!G391</f>
        <v>5243009.3600000003</v>
      </c>
      <c r="G31" s="607">
        <f>Ucto_HK_summ!H391</f>
        <v>6944455.1799999997</v>
      </c>
      <c r="H31" s="69">
        <f>H76*'Revenues"0"'!H5</f>
        <v>6543897.352333772</v>
      </c>
      <c r="I31" s="69">
        <f>I76*'Revenues"0"'!I5</f>
        <v>6478251.2615458565</v>
      </c>
      <c r="J31" s="69">
        <f>J76*'Revenues"0"'!J5</f>
        <v>6483452.045841502</v>
      </c>
      <c r="K31" s="69">
        <f>K76*'Revenues"0"'!K5</f>
        <v>6489678.1555067254</v>
      </c>
      <c r="L31" s="69">
        <f>L76*'Revenues"0"'!L5</f>
        <v>6521262.4748051576</v>
      </c>
      <c r="M31" s="69">
        <f>M76*'Revenues"0"'!M5</f>
        <v>6311536.4357865965</v>
      </c>
      <c r="N31" s="69">
        <f>N76*'Revenues"0"'!N5</f>
        <v>6134477.6301659308</v>
      </c>
      <c r="O31" s="69">
        <f>O76*'Revenues"0"'!O5</f>
        <v>6048206.3205997162</v>
      </c>
      <c r="P31" s="69">
        <f>P76*'Revenues"0"'!P5</f>
        <v>6050526.3676158879</v>
      </c>
      <c r="Q31" s="69">
        <f>Q76*'Revenues"0"'!Q5</f>
        <v>6049425.1900247885</v>
      </c>
      <c r="R31" s="69">
        <f>R76*'Revenues"0"'!R5</f>
        <v>6049873.5201575775</v>
      </c>
      <c r="S31" s="69">
        <f>S76*'Revenues"0"'!S5</f>
        <v>6048223.0817015711</v>
      </c>
      <c r="T31" s="69">
        <f>T76*'Revenues"0"'!T5</f>
        <v>6041749.6704775169</v>
      </c>
      <c r="U31" s="69">
        <f>U76*'Revenues"0"'!U5</f>
        <v>6031578.2131042648</v>
      </c>
      <c r="V31" s="69">
        <f>V76*'Revenues"0"'!V5</f>
        <v>6032917.5043620216</v>
      </c>
      <c r="W31" s="69">
        <f>W76*'Revenues"0"'!W5</f>
        <v>6034256.7956197774</v>
      </c>
      <c r="X31" s="69">
        <f>X76*'Revenues"0"'!X5</f>
        <v>6035596.0868775351</v>
      </c>
      <c r="Y31" s="69">
        <f>Y76*'Revenues"0"'!Y5</f>
        <v>6036935.3781352909</v>
      </c>
      <c r="Z31" s="69">
        <f>Z76*'Revenues"0"'!Z5</f>
        <v>6038274.6693930477</v>
      </c>
      <c r="AA31" s="69">
        <f>AA76*'Revenues"0"'!AA5</f>
        <v>6039613.9606508035</v>
      </c>
      <c r="AB31" s="69">
        <f>AB76*'Revenues"0"'!AB5</f>
        <v>6040953.2519085603</v>
      </c>
    </row>
    <row r="32" spans="2:28">
      <c r="B32" s="552" t="s">
        <v>3004</v>
      </c>
      <c r="C32" s="458">
        <f>SUM(Ucto_HK_summ!D370:D374,Ucto_HK_summ!D378:D381,Ucto_HK_summ!D383:D385,Ucto_HK_summ!D387:D390,Ucto_HK_summ!D392,Ucto_HK_summ!D395)</f>
        <v>2201975.2800000003</v>
      </c>
      <c r="D32" s="458">
        <f>SUM(Ucto_HK_summ!E370:E374,Ucto_HK_summ!E378:E381,Ucto_HK_summ!E383:E385,Ucto_HK_summ!E387:E390,Ucto_HK_summ!E392,Ucto_HK_summ!E395)</f>
        <v>2696638.12</v>
      </c>
      <c r="E32" s="458">
        <f>SUM(Ucto_HK_summ!F370:F374,Ucto_HK_summ!F378:F381,Ucto_HK_summ!F383:F385,Ucto_HK_summ!F387:F390,Ucto_HK_summ!F392,Ucto_HK_summ!F395)</f>
        <v>3550443.1700000004</v>
      </c>
      <c r="F32" s="458">
        <f>SUM(Ucto_HK_summ!G370:G374,Ucto_HK_summ!G378:G381,Ucto_HK_summ!G383:G385,Ucto_HK_summ!G387:G390,Ucto_HK_summ!G392,Ucto_HK_summ!G395)</f>
        <v>3542062.4400000004</v>
      </c>
      <c r="G32" s="607">
        <f>SUM(Ucto_HK_summ!H370:H374,Ucto_HK_summ!H378:H381,Ucto_HK_summ!H383:H385,Ucto_HK_summ!H387:H390,Ucto_HK_summ!H392,Ucto_HK_summ!H395)</f>
        <v>4310332.6399999997</v>
      </c>
      <c r="H32" s="69">
        <f t="shared" ref="H32:U32" si="109">G32*(1+H77)</f>
        <v>4741365.9040000001</v>
      </c>
      <c r="I32" s="69">
        <f t="shared" si="109"/>
        <v>4978434.1992000006</v>
      </c>
      <c r="J32" s="69">
        <f t="shared" si="109"/>
        <v>4978434.1992000006</v>
      </c>
      <c r="K32" s="69">
        <f t="shared" si="109"/>
        <v>4978434.1992000006</v>
      </c>
      <c r="L32" s="69">
        <f t="shared" si="109"/>
        <v>4978434.1992000006</v>
      </c>
      <c r="M32" s="69">
        <f t="shared" si="109"/>
        <v>4978434.1992000006</v>
      </c>
      <c r="N32" s="69">
        <f t="shared" si="109"/>
        <v>4978434.1992000006</v>
      </c>
      <c r="O32" s="69">
        <f t="shared" si="109"/>
        <v>4978434.1992000006</v>
      </c>
      <c r="P32" s="69">
        <f t="shared" si="109"/>
        <v>4978434.1992000006</v>
      </c>
      <c r="Q32" s="69">
        <f t="shared" si="109"/>
        <v>4978434.1992000006</v>
      </c>
      <c r="R32" s="69">
        <f t="shared" si="109"/>
        <v>4978434.1992000006</v>
      </c>
      <c r="S32" s="69">
        <f t="shared" si="109"/>
        <v>4978434.1992000006</v>
      </c>
      <c r="T32" s="69">
        <f t="shared" si="109"/>
        <v>4978434.1992000006</v>
      </c>
      <c r="U32" s="69">
        <f t="shared" si="109"/>
        <v>4978434.1992000006</v>
      </c>
      <c r="V32" s="69">
        <f t="shared" ref="V32:AB32" si="110">U32*(1+V77)</f>
        <v>4978434.1992000006</v>
      </c>
      <c r="W32" s="69">
        <f t="shared" si="110"/>
        <v>4978434.1992000006</v>
      </c>
      <c r="X32" s="69">
        <f t="shared" si="110"/>
        <v>4978434.1992000006</v>
      </c>
      <c r="Y32" s="69">
        <f t="shared" si="110"/>
        <v>4978434.1992000006</v>
      </c>
      <c r="Z32" s="69">
        <f t="shared" si="110"/>
        <v>4978434.1992000006</v>
      </c>
      <c r="AA32" s="69">
        <f t="shared" si="110"/>
        <v>4978434.1992000006</v>
      </c>
      <c r="AB32" s="69">
        <f t="shared" si="110"/>
        <v>4978434.1992000006</v>
      </c>
    </row>
    <row r="33" spans="2:28">
      <c r="B33" s="552" t="s">
        <v>3009</v>
      </c>
      <c r="C33" s="458">
        <f>Ucto_HK_summ!D416+Ucto_HK_summ!D413</f>
        <v>0</v>
      </c>
      <c r="D33" s="458">
        <f>Ucto_HK_summ!E416+Ucto_HK_summ!E413</f>
        <v>109.88</v>
      </c>
      <c r="E33" s="458">
        <f>Ucto_HK_summ!F416+Ucto_HK_summ!F413</f>
        <v>1435132.95</v>
      </c>
      <c r="F33" s="458">
        <f>Ucto_HK_summ!G416+Ucto_HK_summ!G413</f>
        <v>1628388.3599999999</v>
      </c>
      <c r="G33" s="607">
        <f>Ucto_HK_summ!H416+Ucto_HK_summ!H413</f>
        <v>1524424.27</v>
      </c>
      <c r="H33" s="69">
        <f t="shared" ref="H33:U33" si="111">G33*(1+H78)</f>
        <v>1600645.4835000001</v>
      </c>
      <c r="I33" s="69">
        <f t="shared" si="111"/>
        <v>1680677.7576750002</v>
      </c>
      <c r="J33" s="69">
        <f t="shared" si="111"/>
        <v>1680677.7576750002</v>
      </c>
      <c r="K33" s="69">
        <f t="shared" si="111"/>
        <v>1680677.7576750002</v>
      </c>
      <c r="L33" s="69">
        <f t="shared" si="111"/>
        <v>1680677.7576750002</v>
      </c>
      <c r="M33" s="69">
        <f t="shared" si="111"/>
        <v>1680677.7576750002</v>
      </c>
      <c r="N33" s="69">
        <f t="shared" si="111"/>
        <v>1680677.7576750002</v>
      </c>
      <c r="O33" s="69">
        <f t="shared" si="111"/>
        <v>1680677.7576750002</v>
      </c>
      <c r="P33" s="69">
        <f t="shared" si="111"/>
        <v>1680677.7576750002</v>
      </c>
      <c r="Q33" s="69">
        <f t="shared" si="111"/>
        <v>1680677.7576750002</v>
      </c>
      <c r="R33" s="69">
        <f t="shared" si="111"/>
        <v>1680677.7576750002</v>
      </c>
      <c r="S33" s="69">
        <f t="shared" si="111"/>
        <v>1680677.7576750002</v>
      </c>
      <c r="T33" s="69">
        <f t="shared" si="111"/>
        <v>1680677.7576750002</v>
      </c>
      <c r="U33" s="69">
        <f t="shared" si="111"/>
        <v>1680677.7576750002</v>
      </c>
      <c r="V33" s="69">
        <f t="shared" ref="V33:AB33" si="112">U33*(1+V78)</f>
        <v>1680677.7576750002</v>
      </c>
      <c r="W33" s="69">
        <f t="shared" si="112"/>
        <v>1680677.7576750002</v>
      </c>
      <c r="X33" s="69">
        <f t="shared" si="112"/>
        <v>1680677.7576750002</v>
      </c>
      <c r="Y33" s="69">
        <f t="shared" si="112"/>
        <v>1680677.7576750002</v>
      </c>
      <c r="Z33" s="69">
        <f t="shared" si="112"/>
        <v>1680677.7576750002</v>
      </c>
      <c r="AA33" s="69">
        <f t="shared" si="112"/>
        <v>1680677.7576750002</v>
      </c>
      <c r="AB33" s="69">
        <f t="shared" si="112"/>
        <v>1680677.7576750002</v>
      </c>
    </row>
    <row r="34" spans="2:28">
      <c r="B34" s="552" t="s">
        <v>3006</v>
      </c>
      <c r="C34" s="458">
        <f>SUM(Ucto_HK_summ!D403:D404,Ucto_HK_summ!D409)</f>
        <v>429003.12</v>
      </c>
      <c r="D34" s="458">
        <f>SUM(Ucto_HK_summ!E403:E404,Ucto_HK_summ!E409)</f>
        <v>397814.39</v>
      </c>
      <c r="E34" s="458">
        <f>SUM(Ucto_HK_summ!F403:F404,Ucto_HK_summ!F409)</f>
        <v>436230.55</v>
      </c>
      <c r="F34" s="458">
        <f>SUM(Ucto_HK_summ!G403:G404,Ucto_HK_summ!G409)</f>
        <v>565769.16</v>
      </c>
      <c r="G34" s="607">
        <f>SUM(Ucto_HK_summ!H403:H404,Ucto_HK_summ!H409)</f>
        <v>605938.32999999996</v>
      </c>
      <c r="H34" s="69">
        <f t="shared" ref="H34:U34" si="113">G34*(1+H79)</f>
        <v>636235.24650000001</v>
      </c>
      <c r="I34" s="69">
        <f t="shared" si="113"/>
        <v>655322.30389500002</v>
      </c>
      <c r="J34" s="69">
        <f t="shared" si="113"/>
        <v>668428.74997290003</v>
      </c>
      <c r="K34" s="69">
        <f t="shared" si="113"/>
        <v>668428.74997290003</v>
      </c>
      <c r="L34" s="69">
        <f t="shared" si="113"/>
        <v>668428.74997290003</v>
      </c>
      <c r="M34" s="69">
        <f t="shared" si="113"/>
        <v>668428.74997290003</v>
      </c>
      <c r="N34" s="69">
        <f t="shared" si="113"/>
        <v>668428.74997290003</v>
      </c>
      <c r="O34" s="69">
        <f t="shared" si="113"/>
        <v>668428.74997290003</v>
      </c>
      <c r="P34" s="69">
        <f t="shared" si="113"/>
        <v>668428.74997290003</v>
      </c>
      <c r="Q34" s="69">
        <f t="shared" si="113"/>
        <v>668428.74997290003</v>
      </c>
      <c r="R34" s="69">
        <f t="shared" si="113"/>
        <v>668428.74997290003</v>
      </c>
      <c r="S34" s="69">
        <f t="shared" si="113"/>
        <v>668428.74997290003</v>
      </c>
      <c r="T34" s="69">
        <f t="shared" si="113"/>
        <v>668428.74997290003</v>
      </c>
      <c r="U34" s="69">
        <f t="shared" si="113"/>
        <v>668428.74997290003</v>
      </c>
      <c r="V34" s="69">
        <f t="shared" ref="V34:AB34" si="114">U34*(1+V79)</f>
        <v>668428.74997290003</v>
      </c>
      <c r="W34" s="69">
        <f t="shared" si="114"/>
        <v>668428.74997290003</v>
      </c>
      <c r="X34" s="69">
        <f t="shared" si="114"/>
        <v>668428.74997290003</v>
      </c>
      <c r="Y34" s="69">
        <f t="shared" si="114"/>
        <v>668428.74997290003</v>
      </c>
      <c r="Z34" s="69">
        <f t="shared" si="114"/>
        <v>668428.74997290003</v>
      </c>
      <c r="AA34" s="69">
        <f t="shared" si="114"/>
        <v>668428.74997290003</v>
      </c>
      <c r="AB34" s="69">
        <f t="shared" si="114"/>
        <v>668428.74997290003</v>
      </c>
    </row>
    <row r="35" spans="2:28" s="457" customFormat="1">
      <c r="B35" s="598" t="s">
        <v>2986</v>
      </c>
      <c r="C35" s="608">
        <f>Ucto_HK_summ!D451</f>
        <v>0</v>
      </c>
      <c r="D35" s="608">
        <f>Ucto_HK_summ!E451</f>
        <v>0</v>
      </c>
      <c r="E35" s="608">
        <f>Ucto_HK_summ!F451</f>
        <v>162991.97</v>
      </c>
      <c r="F35" s="608">
        <f>Ucto_HK_summ!G451</f>
        <v>2138186.7799999998</v>
      </c>
      <c r="G35" s="609">
        <f>Ucto_HK_summ!H451</f>
        <v>2875276.47</v>
      </c>
      <c r="H35" s="598">
        <f>'Revenues"0"'!H27-H80*'Revenues"0"'!H27</f>
        <v>2809131.4463573173</v>
      </c>
      <c r="I35" s="598">
        <f>'Revenues"0"'!I27-I80*'Revenues"0"'!I27</f>
        <v>2780842.2947014957</v>
      </c>
      <c r="J35" s="598">
        <f>'Revenues"0"'!J27-J80*'Revenues"0"'!J27</f>
        <v>2782769.3686185367</v>
      </c>
      <c r="K35" s="598">
        <f>'Revenues"0"'!K27-K80*'Revenues"0"'!K27</f>
        <v>2785133.2741108811</v>
      </c>
      <c r="L35" s="598">
        <f>'Revenues"0"'!L27-L80*'Revenues"0"'!L27</f>
        <v>2798307.6105505689</v>
      </c>
      <c r="M35" s="598">
        <f>'Revenues"0"'!M27-M80*'Revenues"0"'!M27</f>
        <v>2708613.2191941254</v>
      </c>
      <c r="N35" s="598">
        <f>'Revenues"0"'!N27-N80*'Revenues"0"'!N27</f>
        <v>2632861.7002698435</v>
      </c>
      <c r="O35" s="598">
        <f>'Revenues"0"'!O27-O80*'Revenues"0"'!O27</f>
        <v>2595819.0154436934</v>
      </c>
      <c r="P35" s="598">
        <f>'Revenues"0"'!P27-P80*'Revenues"0"'!P27</f>
        <v>2596537.0904913712</v>
      </c>
      <c r="Q35" s="598">
        <f>'Revenues"0"'!Q27-Q80*'Revenues"0"'!Q27</f>
        <v>2595797.2875895672</v>
      </c>
      <c r="R35" s="598">
        <f>'Revenues"0"'!R27-R80*'Revenues"0"'!R27</f>
        <v>2595717.8824900254</v>
      </c>
      <c r="S35" s="598">
        <f>'Revenues"0"'!S27-S80*'Revenues"0"'!S27</f>
        <v>2594744.4555296116</v>
      </c>
      <c r="T35" s="598">
        <f>'Revenues"0"'!T27-T80*'Revenues"0"'!T27</f>
        <v>2591716.8641222008</v>
      </c>
      <c r="U35" s="598">
        <f>'Revenues"0"'!U27-U80*'Revenues"0"'!U27</f>
        <v>2587114.8865078837</v>
      </c>
      <c r="V35" s="598">
        <f>'Revenues"0"'!V27-V80*'Revenues"0"'!V27</f>
        <v>2587416.119180521</v>
      </c>
      <c r="W35" s="598">
        <f>'Revenues"0"'!W27-W80*'Revenues"0"'!W27</f>
        <v>2587717.3518531574</v>
      </c>
      <c r="X35" s="598">
        <f>'Revenues"0"'!X27-X80*'Revenues"0"'!X27</f>
        <v>2588018.5845257952</v>
      </c>
      <c r="Y35" s="598">
        <f>'Revenues"0"'!Y27-Y80*'Revenues"0"'!Y27</f>
        <v>2588319.8171984316</v>
      </c>
      <c r="Z35" s="598">
        <f>'Revenues"0"'!Z27-Z80*'Revenues"0"'!Z27</f>
        <v>2588621.0498710689</v>
      </c>
      <c r="AA35" s="598">
        <f>'Revenues"0"'!AA27-AA80*'Revenues"0"'!AA27</f>
        <v>2588922.2825437053</v>
      </c>
      <c r="AB35" s="598">
        <f>'Revenues"0"'!AB27-AB80*'Revenues"0"'!AB27</f>
        <v>2589223.5152163426</v>
      </c>
    </row>
    <row r="36" spans="2:28">
      <c r="B36" s="598" t="s">
        <v>2993</v>
      </c>
      <c r="C36" s="608">
        <f t="shared" ref="C36:U36" si="115">SUM(C37:C43)</f>
        <v>4557201.59</v>
      </c>
      <c r="D36" s="608">
        <f t="shared" si="115"/>
        <v>4844338.1899999995</v>
      </c>
      <c r="E36" s="608">
        <f t="shared" si="115"/>
        <v>5479386.6899999995</v>
      </c>
      <c r="F36" s="608">
        <f t="shared" si="115"/>
        <v>6025849.8399999999</v>
      </c>
      <c r="G36" s="609">
        <f t="shared" si="115"/>
        <v>5666221.75</v>
      </c>
      <c r="H36" s="598">
        <f t="shared" si="115"/>
        <v>4625768.4790000003</v>
      </c>
      <c r="I36" s="598">
        <f t="shared" si="115"/>
        <v>4680239.1118750004</v>
      </c>
      <c r="J36" s="598">
        <f t="shared" si="115"/>
        <v>4736071.5105718756</v>
      </c>
      <c r="K36" s="598">
        <f t="shared" si="115"/>
        <v>4793299.7192361718</v>
      </c>
      <c r="L36" s="598">
        <f t="shared" si="115"/>
        <v>4851958.633117076</v>
      </c>
      <c r="M36" s="598">
        <f t="shared" si="115"/>
        <v>4912084.0198450023</v>
      </c>
      <c r="N36" s="598">
        <f t="shared" si="115"/>
        <v>4973712.5412411271</v>
      </c>
      <c r="O36" s="598">
        <f t="shared" si="115"/>
        <v>5036881.7756721554</v>
      </c>
      <c r="P36" s="598">
        <f t="shared" si="115"/>
        <v>5101630.2409639582</v>
      </c>
      <c r="Q36" s="598">
        <f t="shared" si="115"/>
        <v>5167997.4178880574</v>
      </c>
      <c r="R36" s="598">
        <f t="shared" si="115"/>
        <v>5236023.7742352588</v>
      </c>
      <c r="S36" s="598">
        <f t="shared" si="115"/>
        <v>5305750.7894911384</v>
      </c>
      <c r="T36" s="598">
        <f t="shared" si="115"/>
        <v>5377220.9801284168</v>
      </c>
      <c r="U36" s="598">
        <f t="shared" si="115"/>
        <v>5450477.9255316267</v>
      </c>
      <c r="V36" s="598">
        <f t="shared" ref="V36:AB36" si="116">SUM(V37:V43)</f>
        <v>5525566.294569917</v>
      </c>
      <c r="W36" s="598">
        <f t="shared" si="116"/>
        <v>5602531.8728341646</v>
      </c>
      <c r="X36" s="598">
        <f t="shared" si="116"/>
        <v>5681421.5905550187</v>
      </c>
      <c r="Y36" s="598">
        <f t="shared" si="116"/>
        <v>5762283.5512188943</v>
      </c>
      <c r="Z36" s="598">
        <f t="shared" si="116"/>
        <v>5845167.0608993657</v>
      </c>
      <c r="AA36" s="598">
        <f t="shared" si="116"/>
        <v>5930122.65832185</v>
      </c>
      <c r="AB36" s="598">
        <f t="shared" si="116"/>
        <v>6017202.1456798958</v>
      </c>
    </row>
    <row r="37" spans="2:28" s="552" customFormat="1">
      <c r="B37" s="552" t="s">
        <v>3015</v>
      </c>
      <c r="C37" s="458">
        <f>SUM(Ucto_HK_summ!D453)</f>
        <v>1211677.03</v>
      </c>
      <c r="D37" s="458">
        <f>SUM(Ucto_HK_summ!E453)</f>
        <v>1210845.75</v>
      </c>
      <c r="E37" s="458">
        <f>SUM(Ucto_HK_summ!F453)</f>
        <v>1186640.3999999999</v>
      </c>
      <c r="F37" s="458">
        <f>SUM(Ucto_HK_summ!G453)</f>
        <v>1283909.18</v>
      </c>
      <c r="G37" s="607">
        <f>SUM(Ucto_HK_summ!H453)</f>
        <v>952677.78</v>
      </c>
      <c r="H37" s="552">
        <f t="shared" ref="H37:H43" si="117">G37*(1+H81)</f>
        <v>1047945.5580000001</v>
      </c>
      <c r="I37" s="552">
        <f>H37*(1+I81)*(1+I100)</f>
        <v>1074144.19695</v>
      </c>
      <c r="J37" s="552">
        <f t="shared" ref="J37:AB37" si="118">I37*(1+J81)*(1+J100)</f>
        <v>1100997.8018737498</v>
      </c>
      <c r="K37" s="552">
        <f t="shared" si="118"/>
        <v>1128522.7469205935</v>
      </c>
      <c r="L37" s="552">
        <f t="shared" si="118"/>
        <v>1156735.8155936082</v>
      </c>
      <c r="M37" s="552">
        <f t="shared" si="118"/>
        <v>1185654.2109834482</v>
      </c>
      <c r="N37" s="552">
        <f t="shared" si="118"/>
        <v>1215295.5662580342</v>
      </c>
      <c r="O37" s="552">
        <f t="shared" si="118"/>
        <v>1245677.955414485</v>
      </c>
      <c r="P37" s="552">
        <f t="shared" si="118"/>
        <v>1276819.9042998469</v>
      </c>
      <c r="Q37" s="552">
        <f t="shared" si="118"/>
        <v>1308740.401907343</v>
      </c>
      <c r="R37" s="552">
        <f t="shared" si="118"/>
        <v>1341458.9119550264</v>
      </c>
      <c r="S37" s="552">
        <f t="shared" si="118"/>
        <v>1374995.384753902</v>
      </c>
      <c r="T37" s="552">
        <f t="shared" si="118"/>
        <v>1409370.2693727494</v>
      </c>
      <c r="U37" s="552">
        <f t="shared" si="118"/>
        <v>1444604.5261070679</v>
      </c>
      <c r="V37" s="552">
        <f t="shared" si="118"/>
        <v>1480719.6392597444</v>
      </c>
      <c r="W37" s="552">
        <f t="shared" si="118"/>
        <v>1517737.6302412378</v>
      </c>
      <c r="X37" s="552">
        <f t="shared" si="118"/>
        <v>1555681.0709972687</v>
      </c>
      <c r="Y37" s="552">
        <f t="shared" si="118"/>
        <v>1594573.0977722001</v>
      </c>
      <c r="Z37" s="552">
        <f t="shared" si="118"/>
        <v>1634437.4252165051</v>
      </c>
      <c r="AA37" s="552">
        <f t="shared" si="118"/>
        <v>1675298.3608469176</v>
      </c>
      <c r="AB37" s="552">
        <f t="shared" si="118"/>
        <v>1717180.8198680903</v>
      </c>
    </row>
    <row r="38" spans="2:28" s="552" customFormat="1">
      <c r="B38" s="552" t="s">
        <v>3016</v>
      </c>
      <c r="C38" s="458">
        <f>SUM(Ucto_HK_summ!D454:D464)</f>
        <v>278571.82000000007</v>
      </c>
      <c r="D38" s="458">
        <f>SUM(Ucto_HK_summ!E454:E464)</f>
        <v>437151.68999999994</v>
      </c>
      <c r="E38" s="458">
        <f>SUM(Ucto_HK_summ!F454:F464)</f>
        <v>887130.53999999992</v>
      </c>
      <c r="F38" s="458">
        <f>SUM(Ucto_HK_summ!G454:G464)</f>
        <v>627729.16999999993</v>
      </c>
      <c r="G38" s="607">
        <f>SUM(Ucto_HK_summ!H454:H464)</f>
        <v>1077028.3399999999</v>
      </c>
      <c r="H38" s="552">
        <f t="shared" si="117"/>
        <v>1130879.757</v>
      </c>
      <c r="I38" s="552">
        <f>H38*(1+I82)*(1+I100)</f>
        <v>1159151.7509249998</v>
      </c>
      <c r="J38" s="552">
        <f t="shared" ref="J38:AB38" si="119">I38*(1+J82)*(1+J100)</f>
        <v>1188130.5446981248</v>
      </c>
      <c r="K38" s="552">
        <f t="shared" si="119"/>
        <v>1217833.8083155777</v>
      </c>
      <c r="L38" s="552">
        <f t="shared" si="119"/>
        <v>1248279.653523467</v>
      </c>
      <c r="M38" s="552">
        <f t="shared" si="119"/>
        <v>1279486.6448615536</v>
      </c>
      <c r="N38" s="552">
        <f t="shared" si="119"/>
        <v>1311473.8109830923</v>
      </c>
      <c r="O38" s="552">
        <f t="shared" si="119"/>
        <v>1344260.6562576694</v>
      </c>
      <c r="P38" s="552">
        <f t="shared" si="119"/>
        <v>1377867.172664111</v>
      </c>
      <c r="Q38" s="552">
        <f t="shared" si="119"/>
        <v>1412313.8519807137</v>
      </c>
      <c r="R38" s="552">
        <f t="shared" si="119"/>
        <v>1447621.6982802313</v>
      </c>
      <c r="S38" s="552">
        <f t="shared" si="119"/>
        <v>1483812.240737237</v>
      </c>
      <c r="T38" s="552">
        <f t="shared" si="119"/>
        <v>1520907.5467556678</v>
      </c>
      <c r="U38" s="552">
        <f t="shared" si="119"/>
        <v>1558930.2354245593</v>
      </c>
      <c r="V38" s="552">
        <f t="shared" si="119"/>
        <v>1597903.4913101732</v>
      </c>
      <c r="W38" s="552">
        <f t="shared" si="119"/>
        <v>1637851.0785929274</v>
      </c>
      <c r="X38" s="552">
        <f t="shared" si="119"/>
        <v>1678797.3555577504</v>
      </c>
      <c r="Y38" s="552">
        <f t="shared" si="119"/>
        <v>1720767.2894466941</v>
      </c>
      <c r="Z38" s="552">
        <f t="shared" si="119"/>
        <v>1763786.4716828612</v>
      </c>
      <c r="AA38" s="552">
        <f t="shared" si="119"/>
        <v>1807881.1334749325</v>
      </c>
      <c r="AB38" s="552">
        <f t="shared" si="119"/>
        <v>1853078.1618118056</v>
      </c>
    </row>
    <row r="39" spans="2:28" s="552" customFormat="1">
      <c r="B39" s="552" t="s">
        <v>1944</v>
      </c>
      <c r="C39" s="458">
        <f>Ucto_HK_summ!D479</f>
        <v>1667518.19</v>
      </c>
      <c r="D39" s="458">
        <f>Ucto_HK_summ!E479</f>
        <v>1657302.91</v>
      </c>
      <c r="E39" s="458">
        <f>Ucto_HK_summ!F479</f>
        <v>1662794.15</v>
      </c>
      <c r="F39" s="458">
        <f>Ucto_HK_summ!G479</f>
        <v>2219702.11</v>
      </c>
      <c r="G39" s="607">
        <f>Ucto_HK_summ!H479</f>
        <v>1351967.9</v>
      </c>
      <c r="H39" s="552">
        <f t="shared" si="117"/>
        <v>0</v>
      </c>
      <c r="I39" s="552">
        <f t="shared" ref="I39:U39" si="120">H39*(1+I83)</f>
        <v>0</v>
      </c>
      <c r="J39" s="552">
        <f t="shared" si="120"/>
        <v>0</v>
      </c>
      <c r="K39" s="552">
        <f t="shared" si="120"/>
        <v>0</v>
      </c>
      <c r="L39" s="552">
        <f t="shared" si="120"/>
        <v>0</v>
      </c>
      <c r="M39" s="552">
        <f t="shared" si="120"/>
        <v>0</v>
      </c>
      <c r="N39" s="552">
        <f t="shared" si="120"/>
        <v>0</v>
      </c>
      <c r="O39" s="552">
        <f t="shared" si="120"/>
        <v>0</v>
      </c>
      <c r="P39" s="552">
        <f t="shared" si="120"/>
        <v>0</v>
      </c>
      <c r="Q39" s="552">
        <f t="shared" si="120"/>
        <v>0</v>
      </c>
      <c r="R39" s="552">
        <f t="shared" si="120"/>
        <v>0</v>
      </c>
      <c r="S39" s="552">
        <f t="shared" si="120"/>
        <v>0</v>
      </c>
      <c r="T39" s="552">
        <f t="shared" si="120"/>
        <v>0</v>
      </c>
      <c r="U39" s="552">
        <f t="shared" si="120"/>
        <v>0</v>
      </c>
      <c r="V39" s="552">
        <f t="shared" ref="V39:AB39" si="121">U39*(1+V83)</f>
        <v>0</v>
      </c>
      <c r="W39" s="552">
        <f t="shared" si="121"/>
        <v>0</v>
      </c>
      <c r="X39" s="552">
        <f t="shared" si="121"/>
        <v>0</v>
      </c>
      <c r="Y39" s="552">
        <f t="shared" si="121"/>
        <v>0</v>
      </c>
      <c r="Z39" s="552">
        <f t="shared" si="121"/>
        <v>0</v>
      </c>
      <c r="AA39" s="552">
        <f t="shared" si="121"/>
        <v>0</v>
      </c>
      <c r="AB39" s="552">
        <f t="shared" si="121"/>
        <v>0</v>
      </c>
    </row>
    <row r="40" spans="2:28" s="552" customFormat="1">
      <c r="B40" s="552" t="s">
        <v>3017</v>
      </c>
      <c r="C40" s="458">
        <f>Ucto_HK_summ!D481+Ucto_HK_summ!D484</f>
        <v>532337.46</v>
      </c>
      <c r="D40" s="458">
        <f>Ucto_HK_summ!E481+Ucto_HK_summ!E484</f>
        <v>640802.25</v>
      </c>
      <c r="E40" s="458">
        <f>Ucto_HK_summ!F481+Ucto_HK_summ!F484</f>
        <v>699360.72</v>
      </c>
      <c r="F40" s="458">
        <f>Ucto_HK_summ!G481+Ucto_HK_summ!G484</f>
        <v>666740.46</v>
      </c>
      <c r="G40" s="607">
        <f>Ucto_HK_summ!H481+Ucto_HK_summ!H484</f>
        <v>765284.72</v>
      </c>
      <c r="H40" s="552">
        <f t="shared" si="117"/>
        <v>803548.95600000001</v>
      </c>
      <c r="I40" s="552">
        <f t="shared" ref="I40:U40" si="122">H40*(1+I84)</f>
        <v>803548.95600000001</v>
      </c>
      <c r="J40" s="552">
        <f t="shared" si="122"/>
        <v>803548.95600000001</v>
      </c>
      <c r="K40" s="552">
        <f t="shared" si="122"/>
        <v>803548.95600000001</v>
      </c>
      <c r="L40" s="552">
        <f t="shared" si="122"/>
        <v>803548.95600000001</v>
      </c>
      <c r="M40" s="552">
        <f t="shared" si="122"/>
        <v>803548.95600000001</v>
      </c>
      <c r="N40" s="552">
        <f t="shared" si="122"/>
        <v>803548.95600000001</v>
      </c>
      <c r="O40" s="552">
        <f t="shared" si="122"/>
        <v>803548.95600000001</v>
      </c>
      <c r="P40" s="552">
        <f t="shared" si="122"/>
        <v>803548.95600000001</v>
      </c>
      <c r="Q40" s="552">
        <f t="shared" si="122"/>
        <v>803548.95600000001</v>
      </c>
      <c r="R40" s="552">
        <f t="shared" si="122"/>
        <v>803548.95600000001</v>
      </c>
      <c r="S40" s="552">
        <f t="shared" si="122"/>
        <v>803548.95600000001</v>
      </c>
      <c r="T40" s="552">
        <f t="shared" si="122"/>
        <v>803548.95600000001</v>
      </c>
      <c r="U40" s="552">
        <f t="shared" si="122"/>
        <v>803548.95600000001</v>
      </c>
      <c r="V40" s="552">
        <f t="shared" ref="V40:AB40" si="123">U40*(1+V84)</f>
        <v>803548.95600000001</v>
      </c>
      <c r="W40" s="552">
        <f t="shared" si="123"/>
        <v>803548.95600000001</v>
      </c>
      <c r="X40" s="552">
        <f t="shared" si="123"/>
        <v>803548.95600000001</v>
      </c>
      <c r="Y40" s="552">
        <f t="shared" si="123"/>
        <v>803548.95600000001</v>
      </c>
      <c r="Z40" s="552">
        <f t="shared" si="123"/>
        <v>803548.95600000001</v>
      </c>
      <c r="AA40" s="552">
        <f t="shared" si="123"/>
        <v>803548.95600000001</v>
      </c>
      <c r="AB40" s="552">
        <f t="shared" si="123"/>
        <v>803548.95600000001</v>
      </c>
    </row>
    <row r="41" spans="2:28" s="552" customFormat="1">
      <c r="B41" s="552" t="s">
        <v>3018</v>
      </c>
      <c r="C41" s="458">
        <f>Ucto_HK_summ!D495</f>
        <v>241922.97</v>
      </c>
      <c r="D41" s="458">
        <f>Ucto_HK_summ!E495</f>
        <v>241575.2</v>
      </c>
      <c r="E41" s="458">
        <f>Ucto_HK_summ!F495</f>
        <v>288745.2</v>
      </c>
      <c r="F41" s="458">
        <f>Ucto_HK_summ!G495</f>
        <v>380229.97</v>
      </c>
      <c r="G41" s="607">
        <f>Ucto_HK_summ!H495</f>
        <v>403414.99</v>
      </c>
      <c r="H41" s="552">
        <f t="shared" si="117"/>
        <v>423585.73950000003</v>
      </c>
      <c r="I41" s="552">
        <f t="shared" ref="I41:U41" si="124">H41*(1+I85)</f>
        <v>423585.73950000003</v>
      </c>
      <c r="J41" s="552">
        <f t="shared" si="124"/>
        <v>423585.73950000003</v>
      </c>
      <c r="K41" s="552">
        <f t="shared" si="124"/>
        <v>423585.73950000003</v>
      </c>
      <c r="L41" s="552">
        <f t="shared" si="124"/>
        <v>423585.73950000003</v>
      </c>
      <c r="M41" s="552">
        <f t="shared" si="124"/>
        <v>423585.73950000003</v>
      </c>
      <c r="N41" s="552">
        <f t="shared" si="124"/>
        <v>423585.73950000003</v>
      </c>
      <c r="O41" s="552">
        <f t="shared" si="124"/>
        <v>423585.73950000003</v>
      </c>
      <c r="P41" s="552">
        <f t="shared" si="124"/>
        <v>423585.73950000003</v>
      </c>
      <c r="Q41" s="552">
        <f t="shared" si="124"/>
        <v>423585.73950000003</v>
      </c>
      <c r="R41" s="552">
        <f t="shared" si="124"/>
        <v>423585.73950000003</v>
      </c>
      <c r="S41" s="552">
        <f t="shared" si="124"/>
        <v>423585.73950000003</v>
      </c>
      <c r="T41" s="552">
        <f t="shared" si="124"/>
        <v>423585.73950000003</v>
      </c>
      <c r="U41" s="552">
        <f t="shared" si="124"/>
        <v>423585.73950000003</v>
      </c>
      <c r="V41" s="552">
        <f t="shared" ref="V41:AB41" si="125">U41*(1+V85)</f>
        <v>423585.73950000003</v>
      </c>
      <c r="W41" s="552">
        <f t="shared" si="125"/>
        <v>423585.73950000003</v>
      </c>
      <c r="X41" s="552">
        <f t="shared" si="125"/>
        <v>423585.73950000003</v>
      </c>
      <c r="Y41" s="552">
        <f t="shared" si="125"/>
        <v>423585.73950000003</v>
      </c>
      <c r="Z41" s="552">
        <f t="shared" si="125"/>
        <v>423585.73950000003</v>
      </c>
      <c r="AA41" s="552">
        <f t="shared" si="125"/>
        <v>423585.73950000003</v>
      </c>
      <c r="AB41" s="552">
        <f t="shared" si="125"/>
        <v>423585.73950000003</v>
      </c>
    </row>
    <row r="42" spans="2:28" s="552" customFormat="1">
      <c r="B42" s="552" t="s">
        <v>3019</v>
      </c>
      <c r="C42" s="458">
        <f>Ucto_HK_summ!D493</f>
        <v>89116.3</v>
      </c>
      <c r="D42" s="458">
        <f>Ucto_HK_summ!E493</f>
        <v>99496.76</v>
      </c>
      <c r="E42" s="458">
        <f>Ucto_HK_summ!F493</f>
        <v>101089.79</v>
      </c>
      <c r="F42" s="458">
        <f>Ucto_HK_summ!G493</f>
        <v>107773.79</v>
      </c>
      <c r="G42" s="607">
        <f>Ucto_HK_summ!H493</f>
        <v>152487.07</v>
      </c>
      <c r="H42" s="552">
        <f t="shared" si="117"/>
        <v>160111.4235</v>
      </c>
      <c r="I42" s="552">
        <f t="shared" ref="I42:U42" si="126">H42*(1+I86)</f>
        <v>160111.4235</v>
      </c>
      <c r="J42" s="552">
        <f t="shared" si="126"/>
        <v>160111.4235</v>
      </c>
      <c r="K42" s="552">
        <f t="shared" si="126"/>
        <v>160111.4235</v>
      </c>
      <c r="L42" s="552">
        <f t="shared" si="126"/>
        <v>160111.4235</v>
      </c>
      <c r="M42" s="552">
        <f t="shared" si="126"/>
        <v>160111.4235</v>
      </c>
      <c r="N42" s="552">
        <f t="shared" si="126"/>
        <v>160111.4235</v>
      </c>
      <c r="O42" s="552">
        <f t="shared" si="126"/>
        <v>160111.4235</v>
      </c>
      <c r="P42" s="552">
        <f t="shared" si="126"/>
        <v>160111.4235</v>
      </c>
      <c r="Q42" s="552">
        <f t="shared" si="126"/>
        <v>160111.4235</v>
      </c>
      <c r="R42" s="552">
        <f t="shared" si="126"/>
        <v>160111.4235</v>
      </c>
      <c r="S42" s="552">
        <f t="shared" si="126"/>
        <v>160111.4235</v>
      </c>
      <c r="T42" s="552">
        <f t="shared" si="126"/>
        <v>160111.4235</v>
      </c>
      <c r="U42" s="552">
        <f t="shared" si="126"/>
        <v>160111.4235</v>
      </c>
      <c r="V42" s="552">
        <f t="shared" ref="V42:AB42" si="127">U42*(1+V86)</f>
        <v>160111.4235</v>
      </c>
      <c r="W42" s="552">
        <f t="shared" si="127"/>
        <v>160111.4235</v>
      </c>
      <c r="X42" s="552">
        <f t="shared" si="127"/>
        <v>160111.4235</v>
      </c>
      <c r="Y42" s="552">
        <f t="shared" si="127"/>
        <v>160111.4235</v>
      </c>
      <c r="Z42" s="552">
        <f t="shared" si="127"/>
        <v>160111.4235</v>
      </c>
      <c r="AA42" s="552">
        <f t="shared" si="127"/>
        <v>160111.4235</v>
      </c>
      <c r="AB42" s="552">
        <f t="shared" si="127"/>
        <v>160111.4235</v>
      </c>
    </row>
    <row r="43" spans="2:28" s="552" customFormat="1">
      <c r="B43" s="552" t="s">
        <v>3026</v>
      </c>
      <c r="C43" s="458">
        <f>SUM(Ucto_HK_summ!D466:D478,Ucto_HK_summ!D480,Ucto_HK_summ!D482:D483,Ucto_HK_summ!D485:D492,Ucto_HK_summ!D494,Ucto_HK_summ!D496:D511)</f>
        <v>536057.81999999995</v>
      </c>
      <c r="D43" s="458">
        <f>SUM(Ucto_HK_summ!E466:E478,Ucto_HK_summ!E480,Ucto_HK_summ!E482:E483,Ucto_HK_summ!E485:E492,Ucto_HK_summ!E494,Ucto_HK_summ!E496:E511)</f>
        <v>557163.62999999977</v>
      </c>
      <c r="E43" s="458">
        <f>SUM(Ucto_HK_summ!F466:F478,Ucto_HK_summ!F480,Ucto_HK_summ!F482:F483,Ucto_HK_summ!F485:F492,Ucto_HK_summ!F494,Ucto_HK_summ!F496:F511)</f>
        <v>653625.89</v>
      </c>
      <c r="F43" s="458">
        <f>SUM(Ucto_HK_summ!G466:G478,Ucto_HK_summ!G480,Ucto_HK_summ!G482:G483,Ucto_HK_summ!G485:G492,Ucto_HK_summ!G494,Ucto_HK_summ!G496:G511)</f>
        <v>739765.16</v>
      </c>
      <c r="G43" s="607">
        <f>SUM(Ucto_HK_summ!H466:H478,Ucto_HK_summ!H480,Ucto_HK_summ!H482:H483,Ucto_HK_summ!H485:H492,Ucto_HK_summ!H494,Ucto_HK_summ!H496:H511)</f>
        <v>963360.95000000007</v>
      </c>
      <c r="H43" s="552">
        <f t="shared" si="117"/>
        <v>1059697.0450000002</v>
      </c>
      <c r="I43" s="552">
        <f t="shared" ref="I43:U43" si="128">H43*(1+I87)</f>
        <v>1059697.0450000002</v>
      </c>
      <c r="J43" s="552">
        <f t="shared" si="128"/>
        <v>1059697.0450000002</v>
      </c>
      <c r="K43" s="552">
        <f t="shared" si="128"/>
        <v>1059697.0450000002</v>
      </c>
      <c r="L43" s="552">
        <f t="shared" si="128"/>
        <v>1059697.0450000002</v>
      </c>
      <c r="M43" s="552">
        <f t="shared" si="128"/>
        <v>1059697.0450000002</v>
      </c>
      <c r="N43" s="552">
        <f t="shared" si="128"/>
        <v>1059697.0450000002</v>
      </c>
      <c r="O43" s="552">
        <f t="shared" si="128"/>
        <v>1059697.0450000002</v>
      </c>
      <c r="P43" s="552">
        <f t="shared" si="128"/>
        <v>1059697.0450000002</v>
      </c>
      <c r="Q43" s="552">
        <f t="shared" si="128"/>
        <v>1059697.0450000002</v>
      </c>
      <c r="R43" s="552">
        <f t="shared" si="128"/>
        <v>1059697.0450000002</v>
      </c>
      <c r="S43" s="552">
        <f t="shared" si="128"/>
        <v>1059697.0450000002</v>
      </c>
      <c r="T43" s="552">
        <f t="shared" si="128"/>
        <v>1059697.0450000002</v>
      </c>
      <c r="U43" s="552">
        <f t="shared" si="128"/>
        <v>1059697.0450000002</v>
      </c>
      <c r="V43" s="552">
        <f t="shared" ref="V43:AB43" si="129">U43*(1+V87)</f>
        <v>1059697.0450000002</v>
      </c>
      <c r="W43" s="552">
        <f t="shared" si="129"/>
        <v>1059697.0450000002</v>
      </c>
      <c r="X43" s="552">
        <f t="shared" si="129"/>
        <v>1059697.0450000002</v>
      </c>
      <c r="Y43" s="552">
        <f t="shared" si="129"/>
        <v>1059697.0450000002</v>
      </c>
      <c r="Z43" s="552">
        <f t="shared" si="129"/>
        <v>1059697.0450000002</v>
      </c>
      <c r="AA43" s="552">
        <f t="shared" si="129"/>
        <v>1059697.0450000002</v>
      </c>
      <c r="AB43" s="552">
        <f t="shared" si="129"/>
        <v>1059697.0450000002</v>
      </c>
    </row>
    <row r="44" spans="2:28">
      <c r="B44" s="598" t="s">
        <v>3014</v>
      </c>
      <c r="C44" s="608">
        <f>SUM(C45:C49,C53:C57)</f>
        <v>7780292.1600000001</v>
      </c>
      <c r="D44" s="608">
        <f t="shared" ref="D44:U44" si="130">SUM(D45:D49,D53:D57)</f>
        <v>10764914.959999993</v>
      </c>
      <c r="E44" s="608">
        <f t="shared" si="130"/>
        <v>10144030.650000006</v>
      </c>
      <c r="F44" s="608">
        <f t="shared" si="130"/>
        <v>33734719.62999998</v>
      </c>
      <c r="G44" s="609">
        <f t="shared" si="130"/>
        <v>21001194.379999988</v>
      </c>
      <c r="H44" s="598">
        <f t="shared" si="130"/>
        <v>8409695.0335963704</v>
      </c>
      <c r="I44" s="598">
        <f t="shared" si="130"/>
        <v>9738924.1724113207</v>
      </c>
      <c r="J44" s="598">
        <f t="shared" si="130"/>
        <v>12140354.157507136</v>
      </c>
      <c r="K44" s="598">
        <f t="shared" si="130"/>
        <v>14547246.602231782</v>
      </c>
      <c r="L44" s="598">
        <f t="shared" si="130"/>
        <v>16958482.527736586</v>
      </c>
      <c r="M44" s="598">
        <f t="shared" si="130"/>
        <v>19371004.232639961</v>
      </c>
      <c r="N44" s="598">
        <f t="shared" si="130"/>
        <v>21712030.077910513</v>
      </c>
      <c r="O44" s="598">
        <f t="shared" si="130"/>
        <v>23995765.103109397</v>
      </c>
      <c r="P44" s="598">
        <f>SUM(P45:P49,P53:P57)</f>
        <v>24384991.444675148</v>
      </c>
      <c r="Q44" s="598">
        <f t="shared" si="130"/>
        <v>22980777.897979178</v>
      </c>
      <c r="R44" s="598">
        <f t="shared" si="130"/>
        <v>23577587.046943232</v>
      </c>
      <c r="S44" s="598">
        <f t="shared" si="130"/>
        <v>24216990.947767783</v>
      </c>
      <c r="T44" s="598">
        <f t="shared" si="130"/>
        <v>24897711.185549911</v>
      </c>
      <c r="U44" s="598">
        <f t="shared" si="130"/>
        <v>25685248.275586937</v>
      </c>
      <c r="V44" s="598">
        <f t="shared" ref="V44:AB44" si="131">SUM(V45:V49,V53:V57)</f>
        <v>26572468.45420213</v>
      </c>
      <c r="W44" s="598">
        <f t="shared" si="131"/>
        <v>27477494.388096143</v>
      </c>
      <c r="X44" s="598">
        <f t="shared" si="131"/>
        <v>27776699.806080729</v>
      </c>
      <c r="Y44" s="598">
        <f t="shared" si="131"/>
        <v>27789188.229186486</v>
      </c>
      <c r="Z44" s="598">
        <f t="shared" si="131"/>
        <v>28749806.355478421</v>
      </c>
      <c r="AA44" s="598">
        <f t="shared" si="131"/>
        <v>29729704.647791848</v>
      </c>
      <c r="AB44" s="598">
        <f t="shared" si="131"/>
        <v>30729270.424448099</v>
      </c>
    </row>
    <row r="45" spans="2:28">
      <c r="B45" s="552" t="s">
        <v>3020</v>
      </c>
      <c r="C45" s="458">
        <f>Ucto_HK_summ!D624</f>
        <v>197310.22</v>
      </c>
      <c r="D45" s="458">
        <f>Ucto_HK_summ!E624</f>
        <v>196038.3</v>
      </c>
      <c r="E45" s="458">
        <f>Ucto_HK_summ!F624</f>
        <v>268723.15999999997</v>
      </c>
      <c r="F45" s="458">
        <f>Ucto_HK_summ!G624</f>
        <v>350685.5</v>
      </c>
      <c r="G45" s="607">
        <f>Ucto_HK_summ!H624</f>
        <v>295644.63</v>
      </c>
      <c r="H45" s="69">
        <f>G45*(1+H88)</f>
        <v>295644.63</v>
      </c>
      <c r="I45" s="69">
        <f t="shared" ref="I45:U45" si="132">H45*(1+I88)</f>
        <v>295644.63</v>
      </c>
      <c r="J45" s="69">
        <f t="shared" si="132"/>
        <v>295644.63</v>
      </c>
      <c r="K45" s="69">
        <f t="shared" si="132"/>
        <v>295644.63</v>
      </c>
      <c r="L45" s="69">
        <f t="shared" si="132"/>
        <v>295644.63</v>
      </c>
      <c r="M45" s="69">
        <f t="shared" si="132"/>
        <v>295644.63</v>
      </c>
      <c r="N45" s="69">
        <f t="shared" si="132"/>
        <v>295644.63</v>
      </c>
      <c r="O45" s="69">
        <f t="shared" si="132"/>
        <v>295644.63</v>
      </c>
      <c r="P45" s="69">
        <f t="shared" si="132"/>
        <v>295644.63</v>
      </c>
      <c r="Q45" s="69">
        <f t="shared" si="132"/>
        <v>295644.63</v>
      </c>
      <c r="R45" s="69">
        <f t="shared" si="132"/>
        <v>295644.63</v>
      </c>
      <c r="S45" s="69">
        <f t="shared" si="132"/>
        <v>295644.63</v>
      </c>
      <c r="T45" s="69">
        <f t="shared" si="132"/>
        <v>295644.63</v>
      </c>
      <c r="U45" s="69">
        <f t="shared" si="132"/>
        <v>295644.63</v>
      </c>
      <c r="V45" s="69">
        <f t="shared" ref="V45:AB45" si="133">U45*(1+V88)</f>
        <v>295644.63</v>
      </c>
      <c r="W45" s="69">
        <f t="shared" si="133"/>
        <v>295644.63</v>
      </c>
      <c r="X45" s="69">
        <f t="shared" si="133"/>
        <v>295644.63</v>
      </c>
      <c r="Y45" s="69">
        <f t="shared" si="133"/>
        <v>295644.63</v>
      </c>
      <c r="Z45" s="69">
        <f t="shared" si="133"/>
        <v>295644.63</v>
      </c>
      <c r="AA45" s="69">
        <f t="shared" si="133"/>
        <v>295644.63</v>
      </c>
      <c r="AB45" s="69">
        <f t="shared" si="133"/>
        <v>295644.63</v>
      </c>
    </row>
    <row r="46" spans="2:28">
      <c r="B46" s="552" t="s">
        <v>3021</v>
      </c>
      <c r="C46" s="458">
        <f>Ucto_HK_summ!D641</f>
        <v>1591328.6</v>
      </c>
      <c r="D46" s="458">
        <f>Ucto_HK_summ!E641</f>
        <v>1688873.43</v>
      </c>
      <c r="E46" s="458">
        <f>Ucto_HK_summ!F641</f>
        <v>1806527.96</v>
      </c>
      <c r="F46" s="458">
        <f>Ucto_HK_summ!G641</f>
        <v>1785685.05</v>
      </c>
      <c r="G46" s="607">
        <f>Ucto_HK_summ!H641</f>
        <v>1612698</v>
      </c>
      <c r="H46" s="69">
        <f t="shared" ref="H46:U46" si="134">H89*(H36+H7)</f>
        <v>1440468.0063157144</v>
      </c>
      <c r="I46" s="69">
        <f t="shared" si="134"/>
        <v>1462979.6835522198</v>
      </c>
      <c r="J46" s="69">
        <f t="shared" si="134"/>
        <v>1485986.6779379644</v>
      </c>
      <c r="K46" s="69">
        <f t="shared" si="134"/>
        <v>1509500.0229060464</v>
      </c>
      <c r="L46" s="69">
        <f t="shared" si="134"/>
        <v>1533531.0007354771</v>
      </c>
      <c r="M46" s="69">
        <f t="shared" si="134"/>
        <v>1558091.1482325338</v>
      </c>
      <c r="N46" s="69">
        <f t="shared" si="134"/>
        <v>1583192.2625433453</v>
      </c>
      <c r="O46" s="69">
        <f t="shared" si="134"/>
        <v>1608846.4071007811</v>
      </c>
      <c r="P46" s="69">
        <f t="shared" si="134"/>
        <v>1635065.9177087848</v>
      </c>
      <c r="Q46" s="69">
        <f t="shared" si="134"/>
        <v>1661863.4087673526</v>
      </c>
      <c r="R46" s="69">
        <f t="shared" si="134"/>
        <v>1689251.7796414562</v>
      </c>
      <c r="S46" s="69">
        <f t="shared" si="134"/>
        <v>1717244.2211772653</v>
      </c>
      <c r="T46" s="69">
        <f t="shared" si="134"/>
        <v>1745854.2223691195</v>
      </c>
      <c r="U46" s="69">
        <f t="shared" si="134"/>
        <v>1775095.5771807733</v>
      </c>
      <c r="V46" s="69">
        <f t="shared" ref="V46:AB46" si="135">V89*(V36+V7)</f>
        <v>1804982.3915245214</v>
      </c>
      <c r="W46" s="69">
        <f t="shared" si="135"/>
        <v>1835529.0904019023</v>
      </c>
      <c r="X46" s="69">
        <f t="shared" si="135"/>
        <v>1866750.4252097579</v>
      </c>
      <c r="Y46" s="69">
        <f t="shared" si="135"/>
        <v>1898661.4812155203</v>
      </c>
      <c r="Z46" s="69">
        <f t="shared" si="135"/>
        <v>1931277.6852056915</v>
      </c>
      <c r="AA46" s="69">
        <f t="shared" si="135"/>
        <v>1964614.8133115678</v>
      </c>
      <c r="AB46" s="69">
        <f t="shared" si="135"/>
        <v>1998688.9990163599</v>
      </c>
    </row>
    <row r="47" spans="2:28">
      <c r="B47" s="552" t="s">
        <v>3027</v>
      </c>
      <c r="C47" s="458">
        <f>Ucto_HK_summ!D680</f>
        <v>104009.74</v>
      </c>
      <c r="D47" s="458">
        <f>Ucto_HK_summ!E680</f>
        <v>105916.07</v>
      </c>
      <c r="E47" s="458">
        <f>Ucto_HK_summ!F680</f>
        <v>109878.91</v>
      </c>
      <c r="F47" s="458">
        <f>Ucto_HK_summ!G680</f>
        <v>114787.38</v>
      </c>
      <c r="G47" s="607">
        <f>Ucto_HK_summ!H680</f>
        <v>115968.67</v>
      </c>
      <c r="H47" s="69">
        <f>G47*(1+H90)</f>
        <v>117128.3567</v>
      </c>
      <c r="I47" s="69">
        <f t="shared" ref="I47:U47" si="136">H47*(1+I90)</f>
        <v>117128.3567</v>
      </c>
      <c r="J47" s="69">
        <f t="shared" si="136"/>
        <v>117128.3567</v>
      </c>
      <c r="K47" s="69">
        <f t="shared" si="136"/>
        <v>117128.3567</v>
      </c>
      <c r="L47" s="69">
        <f t="shared" si="136"/>
        <v>117128.3567</v>
      </c>
      <c r="M47" s="69">
        <f t="shared" si="136"/>
        <v>117128.3567</v>
      </c>
      <c r="N47" s="69">
        <f t="shared" si="136"/>
        <v>117128.3567</v>
      </c>
      <c r="O47" s="69">
        <f t="shared" si="136"/>
        <v>117128.3567</v>
      </c>
      <c r="P47" s="69">
        <f t="shared" si="136"/>
        <v>117128.3567</v>
      </c>
      <c r="Q47" s="69">
        <f t="shared" si="136"/>
        <v>117128.3567</v>
      </c>
      <c r="R47" s="69">
        <f t="shared" si="136"/>
        <v>117128.3567</v>
      </c>
      <c r="S47" s="69">
        <f t="shared" si="136"/>
        <v>117128.3567</v>
      </c>
      <c r="T47" s="69">
        <f t="shared" si="136"/>
        <v>117128.3567</v>
      </c>
      <c r="U47" s="69">
        <f t="shared" si="136"/>
        <v>117128.3567</v>
      </c>
      <c r="V47" s="69">
        <f t="shared" ref="V47:AB47" si="137">U47*(1+V90)</f>
        <v>117128.3567</v>
      </c>
      <c r="W47" s="69">
        <f t="shared" si="137"/>
        <v>117128.3567</v>
      </c>
      <c r="X47" s="69">
        <f t="shared" si="137"/>
        <v>117128.3567</v>
      </c>
      <c r="Y47" s="69">
        <f t="shared" si="137"/>
        <v>117128.3567</v>
      </c>
      <c r="Z47" s="69">
        <f t="shared" si="137"/>
        <v>117128.3567</v>
      </c>
      <c r="AA47" s="69">
        <f t="shared" si="137"/>
        <v>117128.3567</v>
      </c>
      <c r="AB47" s="69">
        <f t="shared" si="137"/>
        <v>117128.3567</v>
      </c>
    </row>
    <row r="48" spans="2:28">
      <c r="B48" s="552" t="s">
        <v>3028</v>
      </c>
      <c r="C48" s="458">
        <f>Ucto_HK_summ!D683</f>
        <v>0</v>
      </c>
      <c r="D48" s="458">
        <f>Ucto_HK_summ!E683</f>
        <v>0</v>
      </c>
      <c r="E48" s="458">
        <f>Ucto_HK_summ!F683</f>
        <v>0</v>
      </c>
      <c r="F48" s="458">
        <f>Ucto_HK_summ!G683</f>
        <v>371449.38</v>
      </c>
      <c r="G48" s="607">
        <f>Ucto_HK_summ!H683</f>
        <v>531205.93999999994</v>
      </c>
      <c r="H48" s="69">
        <f>G48*(1+H91)</f>
        <v>0</v>
      </c>
      <c r="I48" s="69">
        <f t="shared" ref="I48:U48" si="138">H48*(1+I91)</f>
        <v>0</v>
      </c>
      <c r="J48" s="69">
        <f t="shared" si="138"/>
        <v>0</v>
      </c>
      <c r="K48" s="69">
        <f t="shared" si="138"/>
        <v>0</v>
      </c>
      <c r="L48" s="69">
        <f t="shared" si="138"/>
        <v>0</v>
      </c>
      <c r="M48" s="69">
        <f t="shared" si="138"/>
        <v>0</v>
      </c>
      <c r="N48" s="69">
        <f t="shared" si="138"/>
        <v>0</v>
      </c>
      <c r="O48" s="69">
        <f t="shared" si="138"/>
        <v>0</v>
      </c>
      <c r="P48" s="69">
        <f t="shared" si="138"/>
        <v>0</v>
      </c>
      <c r="Q48" s="69">
        <f t="shared" si="138"/>
        <v>0</v>
      </c>
      <c r="R48" s="69">
        <f t="shared" si="138"/>
        <v>0</v>
      </c>
      <c r="S48" s="69">
        <f t="shared" si="138"/>
        <v>0</v>
      </c>
      <c r="T48" s="69">
        <f t="shared" si="138"/>
        <v>0</v>
      </c>
      <c r="U48" s="69">
        <f t="shared" si="138"/>
        <v>0</v>
      </c>
      <c r="V48" s="69">
        <f t="shared" ref="V48:AB48" si="139">U48*(1+V91)</f>
        <v>0</v>
      </c>
      <c r="W48" s="69">
        <f t="shared" si="139"/>
        <v>0</v>
      </c>
      <c r="X48" s="69">
        <f t="shared" si="139"/>
        <v>0</v>
      </c>
      <c r="Y48" s="69">
        <f t="shared" si="139"/>
        <v>0</v>
      </c>
      <c r="Z48" s="69">
        <f t="shared" si="139"/>
        <v>0</v>
      </c>
      <c r="AA48" s="69">
        <f t="shared" si="139"/>
        <v>0</v>
      </c>
      <c r="AB48" s="69">
        <f t="shared" si="139"/>
        <v>0</v>
      </c>
    </row>
    <row r="49" spans="2:28">
      <c r="B49" s="552" t="s">
        <v>3029</v>
      </c>
      <c r="C49" s="458">
        <f>Ucto_HK_summ!D633+Ucto_HK_summ!D638+Ucto_HK_summ!D653+Ucto_HK_summ!D645</f>
        <v>338423.59</v>
      </c>
      <c r="D49" s="458">
        <f>Ucto_HK_summ!E633+Ucto_HK_summ!E638+Ucto_HK_summ!E653+Ucto_HK_summ!E645</f>
        <v>2670653.6800000002</v>
      </c>
      <c r="E49" s="458">
        <f>Ucto_HK_summ!F633+Ucto_HK_summ!F638+Ucto_HK_summ!F653+Ucto_HK_summ!F645</f>
        <v>1015666.44</v>
      </c>
      <c r="F49" s="458">
        <f>Ucto_HK_summ!G633+Ucto_HK_summ!G638+Ucto_HK_summ!G653+Ucto_HK_summ!G645</f>
        <v>9244567.3900000006</v>
      </c>
      <c r="G49" s="607">
        <f>Ucto_HK_summ!H633+Ucto_HK_summ!H638+Ucto_HK_summ!H653+Ucto_HK_summ!H645</f>
        <v>2462251.9000000004</v>
      </c>
      <c r="H49" s="69">
        <f>SUM(H50:H52)</f>
        <v>782710.80000000028</v>
      </c>
      <c r="I49" s="69">
        <f t="shared" ref="I49:U49" si="140">SUM(I50:I52)</f>
        <v>782710.80000000028</v>
      </c>
      <c r="J49" s="69">
        <f t="shared" si="140"/>
        <v>782710.80000000028</v>
      </c>
      <c r="K49" s="69">
        <f t="shared" si="140"/>
        <v>782710.80000000028</v>
      </c>
      <c r="L49" s="69">
        <f t="shared" si="140"/>
        <v>782710.80000000028</v>
      </c>
      <c r="M49" s="69">
        <f t="shared" si="140"/>
        <v>782710.80000000028</v>
      </c>
      <c r="N49" s="69">
        <f t="shared" si="140"/>
        <v>782710.80000000028</v>
      </c>
      <c r="O49" s="69">
        <f t="shared" si="140"/>
        <v>782710.80000000028</v>
      </c>
      <c r="P49" s="69">
        <f t="shared" si="140"/>
        <v>782710.80000000028</v>
      </c>
      <c r="Q49" s="69">
        <f t="shared" si="140"/>
        <v>782710.80000000028</v>
      </c>
      <c r="R49" s="69">
        <f t="shared" si="140"/>
        <v>782710.80000000028</v>
      </c>
      <c r="S49" s="69">
        <f t="shared" si="140"/>
        <v>782710.80000000028</v>
      </c>
      <c r="T49" s="69">
        <f t="shared" si="140"/>
        <v>782710.80000000028</v>
      </c>
      <c r="U49" s="69">
        <f t="shared" si="140"/>
        <v>782710.80000000028</v>
      </c>
      <c r="V49" s="69">
        <f t="shared" ref="V49" si="141">SUM(V50:V52)</f>
        <v>782710.80000000028</v>
      </c>
      <c r="W49" s="69">
        <f t="shared" ref="W49" si="142">SUM(W50:W52)</f>
        <v>782710.80000000028</v>
      </c>
      <c r="X49" s="69">
        <f t="shared" ref="X49" si="143">SUM(X50:X52)</f>
        <v>782710.80000000028</v>
      </c>
      <c r="Y49" s="69">
        <f t="shared" ref="Y49" si="144">SUM(Y50:Y52)</f>
        <v>782710.80000000028</v>
      </c>
      <c r="Z49" s="69">
        <f t="shared" ref="Z49" si="145">SUM(Z50:Z52)</f>
        <v>782710.80000000028</v>
      </c>
      <c r="AA49" s="69">
        <f t="shared" ref="AA49" si="146">SUM(AA50:AA52)</f>
        <v>782710.80000000028</v>
      </c>
      <c r="AB49" s="69">
        <f t="shared" ref="AB49" si="147">SUM(AB50:AB52)</f>
        <v>782710.80000000028</v>
      </c>
    </row>
    <row r="50" spans="2:28" s="677" customFormat="1" ht="14">
      <c r="B50" s="680" t="s">
        <v>3030</v>
      </c>
      <c r="C50" s="678">
        <f>Ucto_HK_summ!D634+Ucto_HK_summ!D632</f>
        <v>200000</v>
      </c>
      <c r="D50" s="678">
        <f>Ucto_HK_summ!E634+Ucto_HK_summ!E632</f>
        <v>2434917.29</v>
      </c>
      <c r="E50" s="678">
        <f>Ucto_HK_summ!F634+Ucto_HK_summ!F632</f>
        <v>818817.15</v>
      </c>
      <c r="F50" s="678">
        <f>Ucto_HK_summ!G634+Ucto_HK_summ!G632</f>
        <v>8840555.5299999993</v>
      </c>
      <c r="G50" s="679">
        <f>Ucto_HK_summ!H634+Ucto_HK_summ!H632</f>
        <v>1198637.6200000001</v>
      </c>
      <c r="H50" s="677">
        <f t="shared" ref="H50:U50" si="148">G50*(1+H92)</f>
        <v>359591.28600000008</v>
      </c>
      <c r="I50" s="677">
        <f t="shared" si="148"/>
        <v>359591.28600000008</v>
      </c>
      <c r="J50" s="677">
        <f t="shared" si="148"/>
        <v>359591.28600000008</v>
      </c>
      <c r="K50" s="677">
        <f t="shared" si="148"/>
        <v>359591.28600000008</v>
      </c>
      <c r="L50" s="677">
        <f t="shared" si="148"/>
        <v>359591.28600000008</v>
      </c>
      <c r="M50" s="677">
        <f t="shared" si="148"/>
        <v>359591.28600000008</v>
      </c>
      <c r="N50" s="677">
        <f t="shared" si="148"/>
        <v>359591.28600000008</v>
      </c>
      <c r="O50" s="677">
        <f t="shared" si="148"/>
        <v>359591.28600000008</v>
      </c>
      <c r="P50" s="677">
        <f t="shared" si="148"/>
        <v>359591.28600000008</v>
      </c>
      <c r="Q50" s="677">
        <f t="shared" si="148"/>
        <v>359591.28600000008</v>
      </c>
      <c r="R50" s="677">
        <f t="shared" si="148"/>
        <v>359591.28600000008</v>
      </c>
      <c r="S50" s="677">
        <f t="shared" si="148"/>
        <v>359591.28600000008</v>
      </c>
      <c r="T50" s="677">
        <f t="shared" si="148"/>
        <v>359591.28600000008</v>
      </c>
      <c r="U50" s="677">
        <f t="shared" si="148"/>
        <v>359591.28600000008</v>
      </c>
      <c r="V50" s="677">
        <f t="shared" ref="V50:AB50" si="149">U50*(1+V92)</f>
        <v>359591.28600000008</v>
      </c>
      <c r="W50" s="677">
        <f t="shared" si="149"/>
        <v>359591.28600000008</v>
      </c>
      <c r="X50" s="677">
        <f t="shared" si="149"/>
        <v>359591.28600000008</v>
      </c>
      <c r="Y50" s="677">
        <f t="shared" si="149"/>
        <v>359591.28600000008</v>
      </c>
      <c r="Z50" s="677">
        <f t="shared" si="149"/>
        <v>359591.28600000008</v>
      </c>
      <c r="AA50" s="677">
        <f t="shared" si="149"/>
        <v>359591.28600000008</v>
      </c>
      <c r="AB50" s="677">
        <f t="shared" si="149"/>
        <v>359591.28600000008</v>
      </c>
    </row>
    <row r="51" spans="2:28" s="677" customFormat="1" ht="14">
      <c r="B51" s="680" t="s">
        <v>3031</v>
      </c>
      <c r="C51" s="678">
        <f>Ucto_HK_summ!D645</f>
        <v>44233.45</v>
      </c>
      <c r="D51" s="678">
        <f>Ucto_HK_summ!E645</f>
        <v>5509.14</v>
      </c>
      <c r="E51" s="678">
        <f>Ucto_HK_summ!F645</f>
        <v>16361</v>
      </c>
      <c r="F51" s="678">
        <f>Ucto_HK_summ!G645</f>
        <v>2720</v>
      </c>
      <c r="G51" s="679">
        <f>Ucto_HK_summ!H645</f>
        <v>709862.28</v>
      </c>
      <c r="H51" s="677">
        <f t="shared" ref="H51:U51" si="150">G51*(1+H93)</f>
        <v>35493.114000000031</v>
      </c>
      <c r="I51" s="677">
        <f t="shared" si="150"/>
        <v>35493.114000000031</v>
      </c>
      <c r="J51" s="677">
        <f t="shared" si="150"/>
        <v>35493.114000000031</v>
      </c>
      <c r="K51" s="677">
        <f t="shared" si="150"/>
        <v>35493.114000000031</v>
      </c>
      <c r="L51" s="677">
        <f t="shared" si="150"/>
        <v>35493.114000000031</v>
      </c>
      <c r="M51" s="677">
        <f t="shared" si="150"/>
        <v>35493.114000000031</v>
      </c>
      <c r="N51" s="677">
        <f t="shared" si="150"/>
        <v>35493.114000000031</v>
      </c>
      <c r="O51" s="677">
        <f t="shared" si="150"/>
        <v>35493.114000000031</v>
      </c>
      <c r="P51" s="677">
        <f t="shared" si="150"/>
        <v>35493.114000000031</v>
      </c>
      <c r="Q51" s="677">
        <f t="shared" si="150"/>
        <v>35493.114000000031</v>
      </c>
      <c r="R51" s="677">
        <f t="shared" si="150"/>
        <v>35493.114000000031</v>
      </c>
      <c r="S51" s="677">
        <f t="shared" si="150"/>
        <v>35493.114000000031</v>
      </c>
      <c r="T51" s="677">
        <f t="shared" si="150"/>
        <v>35493.114000000031</v>
      </c>
      <c r="U51" s="677">
        <f t="shared" si="150"/>
        <v>35493.114000000031</v>
      </c>
      <c r="V51" s="677">
        <f t="shared" ref="V51:AB51" si="151">U51*(1+V93)</f>
        <v>35493.114000000031</v>
      </c>
      <c r="W51" s="677">
        <f t="shared" si="151"/>
        <v>35493.114000000031</v>
      </c>
      <c r="X51" s="677">
        <f t="shared" si="151"/>
        <v>35493.114000000031</v>
      </c>
      <c r="Y51" s="677">
        <f t="shared" si="151"/>
        <v>35493.114000000031</v>
      </c>
      <c r="Z51" s="677">
        <f t="shared" si="151"/>
        <v>35493.114000000031</v>
      </c>
      <c r="AA51" s="677">
        <f t="shared" si="151"/>
        <v>35493.114000000031</v>
      </c>
      <c r="AB51" s="677">
        <f t="shared" si="151"/>
        <v>35493.114000000031</v>
      </c>
    </row>
    <row r="52" spans="2:28" s="677" customFormat="1" ht="14">
      <c r="B52" s="680" t="s">
        <v>3032</v>
      </c>
      <c r="C52" s="678">
        <f>Ucto_HK_summ!D633+Ucto_HK_summ!D638+Ucto_HK_summ!D653+Ucto_HK_summ!D645-SUM(C50:C51)</f>
        <v>94190.140000000014</v>
      </c>
      <c r="D52" s="678">
        <f>Ucto_HK_summ!E633+Ucto_HK_summ!E638+Ucto_HK_summ!E653+Ucto_HK_summ!E645-SUM(D50:D51)</f>
        <v>230227.25</v>
      </c>
      <c r="E52" s="678">
        <f>Ucto_HK_summ!F633+Ucto_HK_summ!F638+Ucto_HK_summ!F653+Ucto_HK_summ!F645-SUM(E50:E51)</f>
        <v>180488.28999999992</v>
      </c>
      <c r="F52" s="678">
        <f>Ucto_HK_summ!G633+Ucto_HK_summ!G638+Ucto_HK_summ!G653+Ucto_HK_summ!G645-SUM(F50:F51)</f>
        <v>401291.86000000127</v>
      </c>
      <c r="G52" s="679">
        <f>Ucto_HK_summ!H633+Ucto_HK_summ!H638+Ucto_HK_summ!H653+Ucto_HK_summ!H645-SUM(G50:G51)</f>
        <v>553752.00000000023</v>
      </c>
      <c r="H52" s="677">
        <f t="shared" ref="H52:U52" si="152">G52*(1+H94)</f>
        <v>387626.40000000014</v>
      </c>
      <c r="I52" s="677">
        <f t="shared" si="152"/>
        <v>387626.40000000014</v>
      </c>
      <c r="J52" s="677">
        <f t="shared" si="152"/>
        <v>387626.40000000014</v>
      </c>
      <c r="K52" s="677">
        <f t="shared" si="152"/>
        <v>387626.40000000014</v>
      </c>
      <c r="L52" s="677">
        <f t="shared" si="152"/>
        <v>387626.40000000014</v>
      </c>
      <c r="M52" s="677">
        <f t="shared" si="152"/>
        <v>387626.40000000014</v>
      </c>
      <c r="N52" s="677">
        <f t="shared" si="152"/>
        <v>387626.40000000014</v>
      </c>
      <c r="O52" s="677">
        <f t="shared" si="152"/>
        <v>387626.40000000014</v>
      </c>
      <c r="P52" s="677">
        <f t="shared" si="152"/>
        <v>387626.40000000014</v>
      </c>
      <c r="Q52" s="677">
        <f t="shared" si="152"/>
        <v>387626.40000000014</v>
      </c>
      <c r="R52" s="677">
        <f t="shared" si="152"/>
        <v>387626.40000000014</v>
      </c>
      <c r="S52" s="677">
        <f t="shared" si="152"/>
        <v>387626.40000000014</v>
      </c>
      <c r="T52" s="677">
        <f t="shared" si="152"/>
        <v>387626.40000000014</v>
      </c>
      <c r="U52" s="677">
        <f t="shared" si="152"/>
        <v>387626.40000000014</v>
      </c>
      <c r="V52" s="677">
        <f t="shared" ref="V52:AB52" si="153">U52*(1+V94)</f>
        <v>387626.40000000014</v>
      </c>
      <c r="W52" s="677">
        <f t="shared" si="153"/>
        <v>387626.40000000014</v>
      </c>
      <c r="X52" s="677">
        <f t="shared" si="153"/>
        <v>387626.40000000014</v>
      </c>
      <c r="Y52" s="677">
        <f t="shared" si="153"/>
        <v>387626.40000000014</v>
      </c>
      <c r="Z52" s="677">
        <f t="shared" si="153"/>
        <v>387626.40000000014</v>
      </c>
      <c r="AA52" s="677">
        <f t="shared" si="153"/>
        <v>387626.40000000014</v>
      </c>
      <c r="AB52" s="677">
        <f t="shared" si="153"/>
        <v>387626.40000000014</v>
      </c>
    </row>
    <row r="53" spans="2:28">
      <c r="B53" s="552" t="s">
        <v>3024</v>
      </c>
      <c r="C53" s="458">
        <f>Ucto_HK_summ!D665</f>
        <v>1068922.94</v>
      </c>
      <c r="D53" s="458">
        <f>Ucto_HK_summ!E665</f>
        <v>2705700</v>
      </c>
      <c r="E53" s="458">
        <f>Ucto_HK_summ!F665</f>
        <v>3172286.97</v>
      </c>
      <c r="F53" s="458">
        <f>Ucto_HK_summ!G665</f>
        <v>17417202.969999999</v>
      </c>
      <c r="G53" s="607">
        <f>Ucto_HK_summ!H665</f>
        <v>10333139</v>
      </c>
      <c r="H53" s="69">
        <f>G53*(1+H95)</f>
        <v>516656.95000000048</v>
      </c>
      <c r="I53" s="69">
        <f t="shared" ref="I53:U53" si="154">H53*(1+I95)</f>
        <v>516656.95000000048</v>
      </c>
      <c r="J53" s="69">
        <f t="shared" si="154"/>
        <v>516656.95000000048</v>
      </c>
      <c r="K53" s="69">
        <f t="shared" si="154"/>
        <v>516656.95000000048</v>
      </c>
      <c r="L53" s="69">
        <f t="shared" si="154"/>
        <v>516656.95000000048</v>
      </c>
      <c r="M53" s="69">
        <f t="shared" si="154"/>
        <v>516656.95000000048</v>
      </c>
      <c r="N53" s="69">
        <f t="shared" si="154"/>
        <v>516656.95000000048</v>
      </c>
      <c r="O53" s="69">
        <f t="shared" si="154"/>
        <v>516656.95000000048</v>
      </c>
      <c r="P53" s="69">
        <f t="shared" si="154"/>
        <v>516656.95000000048</v>
      </c>
      <c r="Q53" s="69">
        <f t="shared" si="154"/>
        <v>516656.95000000048</v>
      </c>
      <c r="R53" s="69">
        <f t="shared" si="154"/>
        <v>516656.95000000048</v>
      </c>
      <c r="S53" s="69">
        <f t="shared" si="154"/>
        <v>516656.95000000048</v>
      </c>
      <c r="T53" s="69">
        <f t="shared" si="154"/>
        <v>516656.95000000048</v>
      </c>
      <c r="U53" s="69">
        <f t="shared" si="154"/>
        <v>516656.95000000048</v>
      </c>
      <c r="V53" s="69">
        <f t="shared" ref="V53:AB53" si="155">U53*(1+V95)</f>
        <v>516656.95000000048</v>
      </c>
      <c r="W53" s="69">
        <f t="shared" si="155"/>
        <v>516656.95000000048</v>
      </c>
      <c r="X53" s="69">
        <f t="shared" si="155"/>
        <v>516656.95000000048</v>
      </c>
      <c r="Y53" s="69">
        <f t="shared" si="155"/>
        <v>516656.95000000048</v>
      </c>
      <c r="Z53" s="69">
        <f t="shared" si="155"/>
        <v>516656.95000000048</v>
      </c>
      <c r="AA53" s="69">
        <f t="shared" si="155"/>
        <v>516656.95000000048</v>
      </c>
      <c r="AB53" s="69">
        <f t="shared" si="155"/>
        <v>516656.95000000048</v>
      </c>
    </row>
    <row r="54" spans="2:28">
      <c r="B54" s="552" t="s">
        <v>3025</v>
      </c>
      <c r="C54" s="458">
        <f>Ucto_HK_summ!D667+Ucto_HK_summ!D663</f>
        <v>1284761.73</v>
      </c>
      <c r="D54" s="458">
        <f>Ucto_HK_summ!E667+Ucto_HK_summ!E663</f>
        <v>137312.38999999998</v>
      </c>
      <c r="E54" s="458">
        <f>Ucto_HK_summ!F667+Ucto_HK_summ!F663</f>
        <v>219091.38</v>
      </c>
      <c r="F54" s="458">
        <f>Ucto_HK_summ!G667+Ucto_HK_summ!G663</f>
        <v>401640.81</v>
      </c>
      <c r="G54" s="607">
        <f>Ucto_HK_summ!H667+Ucto_HK_summ!H663</f>
        <v>1171204.31</v>
      </c>
      <c r="H54" s="69">
        <f>H96*'PL"0"'!I17</f>
        <v>376437.48641399993</v>
      </c>
      <c r="I54" s="69">
        <f>I96*'PL"0"'!J17</f>
        <v>373535.01334325515</v>
      </c>
      <c r="J54" s="69">
        <f>J96*'PL"0"'!K17</f>
        <v>373739.43337185832</v>
      </c>
      <c r="K54" s="69">
        <f>K96*'PL"0"'!L17</f>
        <v>376727.18348881725</v>
      </c>
      <c r="L54" s="69">
        <f>L96*'PL"0"'!M17</f>
        <v>380906.2641210123</v>
      </c>
      <c r="M54" s="69">
        <f>M96*'PL"0"'!N17</f>
        <v>374277.69089554047</v>
      </c>
      <c r="N54" s="69">
        <f>N96*'PL"0"'!O17</f>
        <v>369007.96852088178</v>
      </c>
      <c r="O54" s="69">
        <f>O96*'PL"0"'!P17</f>
        <v>367812.34269947076</v>
      </c>
      <c r="P54" s="69">
        <f>P96*'PL"0"'!Q17</f>
        <v>370711.25679524068</v>
      </c>
      <c r="Q54" s="69">
        <f>Q96*'PL"0"'!R17</f>
        <v>373508.74224095111</v>
      </c>
      <c r="R54" s="69">
        <f>R96*'PL"0"'!S17</f>
        <v>376437.48641399993</v>
      </c>
      <c r="S54" s="69">
        <f>S96*'PL"0"'!T17</f>
        <v>375432.21757733321</v>
      </c>
      <c r="T54" s="69">
        <f>T96*'PL"0"'!U17</f>
        <v>375111.04243950272</v>
      </c>
      <c r="U54" s="69">
        <f>U96*'PL"0"'!V17</f>
        <v>374628.67623294907</v>
      </c>
      <c r="V54" s="69">
        <f>V96*'PL"0"'!W17</f>
        <v>374668.50324520189</v>
      </c>
      <c r="W54" s="69">
        <f>W96*'PL"0"'!X17</f>
        <v>374708.33025745471</v>
      </c>
      <c r="X54" s="69">
        <f>X96*'PL"0"'!Y17</f>
        <v>374748.15726970771</v>
      </c>
      <c r="Y54" s="69">
        <f>Y96*'PL"0"'!Z17</f>
        <v>374787.98428196058</v>
      </c>
      <c r="Z54" s="69">
        <f>Z96*'PL"0"'!AA17</f>
        <v>374827.81129421329</v>
      </c>
      <c r="AA54" s="69">
        <f>AA96*'PL"0"'!AB17</f>
        <v>374867.63830646622</v>
      </c>
      <c r="AB54" s="69">
        <f>AB96*'PL"0"'!AC17</f>
        <v>374907.4653187191</v>
      </c>
    </row>
    <row r="55" spans="2:28">
      <c r="B55" s="552" t="s">
        <v>3022</v>
      </c>
      <c r="C55" s="458">
        <f>Ucto_HK_summ!D659</f>
        <v>1605611.52</v>
      </c>
      <c r="D55" s="458">
        <f>Ucto_HK_summ!E659</f>
        <v>1587378.12</v>
      </c>
      <c r="E55" s="458">
        <f>Ucto_HK_summ!F659</f>
        <v>1569228.42</v>
      </c>
      <c r="F55" s="458">
        <f>Ucto_HK_summ!G659</f>
        <v>1590243.07</v>
      </c>
      <c r="G55" s="607">
        <f>Ucto_HK_summ!H659</f>
        <v>1553213.16</v>
      </c>
      <c r="H55" s="634">
        <f>'Financials"0"'!H15</f>
        <v>1609009.8725000003</v>
      </c>
      <c r="I55" s="634">
        <f>'Financials"0"'!I15</f>
        <v>1911229.8574190442</v>
      </c>
      <c r="J55" s="634">
        <f>'Financials"0"'!J15</f>
        <v>2460049.5275763059</v>
      </c>
      <c r="K55" s="634">
        <f>'Financials"0"'!K15</f>
        <v>3009370.6082623685</v>
      </c>
      <c r="L55" s="634">
        <f>'Financials"0"'!L15</f>
        <v>3559299.6545031015</v>
      </c>
      <c r="M55" s="634">
        <f>'Financials"0"'!M15</f>
        <v>4111897.3769565914</v>
      </c>
      <c r="N55" s="634">
        <f>'Financials"0"'!N15</f>
        <v>4647557.635418376</v>
      </c>
      <c r="O55" s="634">
        <f>'Financials"0"'!O15</f>
        <v>5168929.1369098052</v>
      </c>
      <c r="P55" s="634">
        <f>'Financials"0"'!P15</f>
        <v>5700728.0684310636</v>
      </c>
      <c r="Q55" s="634">
        <f>'Financials"0"'!Q15</f>
        <v>6243162.9785827473</v>
      </c>
      <c r="R55" s="634">
        <f>'Financials"0"'!R15</f>
        <v>6796446.5869374648</v>
      </c>
      <c r="S55" s="634">
        <f>'Financials"0"'!S15</f>
        <v>7360795.8674592767</v>
      </c>
      <c r="T55" s="634">
        <f>'Financials"0"'!T15</f>
        <v>7936432.1335915243</v>
      </c>
      <c r="U55" s="634">
        <f>'Financials"0"'!U15</f>
        <v>8523581.1250464171</v>
      </c>
      <c r="V55" s="634">
        <f>'Financials"0"'!V15</f>
        <v>9122473.096330408</v>
      </c>
      <c r="W55" s="634">
        <f>'Financials"0"'!W15</f>
        <v>9733342.9070400782</v>
      </c>
      <c r="X55" s="634">
        <f>'Financials"0"'!X15</f>
        <v>9732446.1739639528</v>
      </c>
      <c r="Y55" s="634">
        <f>'Financials"0"'!Y15</f>
        <v>9438765.9050262831</v>
      </c>
      <c r="Z55" s="634">
        <f>'Financials"0"'!Z15</f>
        <v>10087025.835109871</v>
      </c>
      <c r="AA55" s="634">
        <f>'Financials"0"'!AA15</f>
        <v>10748250.963795131</v>
      </c>
      <c r="AB55" s="634">
        <f>'Financials"0"'!AB15</f>
        <v>11422700.595054096</v>
      </c>
    </row>
    <row r="56" spans="2:28">
      <c r="B56" s="552" t="s">
        <v>3023</v>
      </c>
      <c r="C56" s="458">
        <f>Ucto_HK_summ!D661-C55</f>
        <v>1531682.6800000002</v>
      </c>
      <c r="D56" s="458">
        <f>Ucto_HK_summ!E661-D55</f>
        <v>1642994.04</v>
      </c>
      <c r="E56" s="458">
        <f>Ucto_HK_summ!F661-E55</f>
        <v>1854175.7000000002</v>
      </c>
      <c r="F56" s="458">
        <f>Ucto_HK_summ!G661-F55</f>
        <v>2380452.5</v>
      </c>
      <c r="G56" s="607">
        <f>Ucto_HK_summ!H661-G55</f>
        <v>2891915.0700000003</v>
      </c>
      <c r="H56" s="634">
        <f>'Financials"0"'!H14</f>
        <v>3237685.2316666688</v>
      </c>
      <c r="I56" s="634">
        <f>'Financials"0"'!I14</f>
        <v>4245085.181396815</v>
      </c>
      <c r="J56" s="634">
        <f>'Financials"0"'!J14</f>
        <v>6074484.0819210205</v>
      </c>
      <c r="K56" s="634">
        <f>'Financials"0"'!K14</f>
        <v>7905554.3508745627</v>
      </c>
      <c r="L56" s="634">
        <f>'Financials"0"'!L14</f>
        <v>9738651.1716770064</v>
      </c>
      <c r="M56" s="634">
        <f>'Financials"0"'!M14</f>
        <v>11580643.579855308</v>
      </c>
      <c r="N56" s="634">
        <f>'Financials"0"'!N14</f>
        <v>13366177.77472792</v>
      </c>
      <c r="O56" s="634">
        <f>'Financials"0"'!O14</f>
        <v>15104082.779699352</v>
      </c>
      <c r="P56" s="634">
        <f>'Financials"0"'!P14</f>
        <v>14932391.765040072</v>
      </c>
      <c r="Q56" s="634">
        <f>'Financials"0"'!Q14</f>
        <v>12956148.33168814</v>
      </c>
      <c r="R56" s="634">
        <f>'Financials"0"'!R14</f>
        <v>12969356.757250322</v>
      </c>
      <c r="S56" s="634">
        <f>'Financials"0"'!S14</f>
        <v>13017424.204853918</v>
      </c>
      <c r="T56" s="634">
        <f>'Financials"0"'!T14</f>
        <v>13094219.350449776</v>
      </c>
      <c r="U56" s="634">
        <f>'Financials"0"'!U14</f>
        <v>13265848.460426807</v>
      </c>
      <c r="V56" s="634">
        <f>'Financials"0"'!V14</f>
        <v>13524250.026402012</v>
      </c>
      <c r="W56" s="634">
        <f>'Financials"0"'!W14</f>
        <v>13787819.623696718</v>
      </c>
      <c r="X56" s="634">
        <f>'Financials"0"'!X14</f>
        <v>14056660.61293732</v>
      </c>
      <c r="Y56" s="634">
        <f>'Financials"0"'!Y14</f>
        <v>14330878.421962734</v>
      </c>
      <c r="Z56" s="634">
        <f>'Financials"0"'!Z14</f>
        <v>14610580.587168654</v>
      </c>
      <c r="AA56" s="634">
        <f>'Financials"0"'!AA14</f>
        <v>14895876.795678694</v>
      </c>
      <c r="AB56" s="634">
        <f>'Financials"0"'!AB14</f>
        <v>15186878.928358935</v>
      </c>
    </row>
    <row r="57" spans="2:28">
      <c r="B57" s="681" t="s">
        <v>242</v>
      </c>
      <c r="C57" s="673">
        <f>Ucto_HK_summ!D690-C3-C36-SUM(C45:C49,C53:C56)-'PL"0"'!D17-C35</f>
        <v>58241.140000000596</v>
      </c>
      <c r="D57" s="673">
        <f>Ucto_HK_summ!E690-D3-D36-SUM(D45:D49,D53:D56)-'PL"0"'!E17-D35</f>
        <v>30048.929999992251</v>
      </c>
      <c r="E57" s="673">
        <f>Ucto_HK_summ!F690-E3-E36-SUM(E45:E49,E53:E56)-'PL"0"'!F17-E35</f>
        <v>128451.71000000715</v>
      </c>
      <c r="F57" s="673">
        <f>Ucto_HK_summ!G690-F3-F36-SUM(F45:F49,F53:F56)-'PL"0"'!G17-F35</f>
        <v>78005.579999984708</v>
      </c>
      <c r="G57" s="674">
        <f>Ucto_HK_summ!H690-G3-G36-SUM(G45:G49,G53:G56)-'PL"0"'!H17-G35</f>
        <v>33953.699999986682</v>
      </c>
      <c r="H57" s="675">
        <f>G57*(1+H97)</f>
        <v>33953.699999986682</v>
      </c>
      <c r="I57" s="675">
        <f t="shared" ref="I57:U57" si="156">H57*(1+I97)</f>
        <v>33953.699999986682</v>
      </c>
      <c r="J57" s="675">
        <f t="shared" si="156"/>
        <v>33953.699999986682</v>
      </c>
      <c r="K57" s="675">
        <f t="shared" si="156"/>
        <v>33953.699999986682</v>
      </c>
      <c r="L57" s="675">
        <f t="shared" si="156"/>
        <v>33953.699999986682</v>
      </c>
      <c r="M57" s="675">
        <f t="shared" si="156"/>
        <v>33953.699999986682</v>
      </c>
      <c r="N57" s="675">
        <f t="shared" si="156"/>
        <v>33953.699999986682</v>
      </c>
      <c r="O57" s="675">
        <f t="shared" si="156"/>
        <v>33953.699999986682</v>
      </c>
      <c r="P57" s="675">
        <f t="shared" si="156"/>
        <v>33953.699999986682</v>
      </c>
      <c r="Q57" s="675">
        <f t="shared" si="156"/>
        <v>33953.699999986682</v>
      </c>
      <c r="R57" s="675">
        <f t="shared" si="156"/>
        <v>33953.699999986682</v>
      </c>
      <c r="S57" s="675">
        <f t="shared" si="156"/>
        <v>33953.699999986682</v>
      </c>
      <c r="T57" s="675">
        <f t="shared" si="156"/>
        <v>33953.699999986682</v>
      </c>
      <c r="U57" s="675">
        <f t="shared" si="156"/>
        <v>33953.699999986682</v>
      </c>
      <c r="V57" s="675">
        <f t="shared" ref="V57:AB57" si="157">U57*(1+V97)</f>
        <v>33953.699999986682</v>
      </c>
      <c r="W57" s="675">
        <f t="shared" si="157"/>
        <v>33953.699999986682</v>
      </c>
      <c r="X57" s="675">
        <f t="shared" si="157"/>
        <v>33953.699999986682</v>
      </c>
      <c r="Y57" s="675">
        <f t="shared" si="157"/>
        <v>33953.699999986682</v>
      </c>
      <c r="Z57" s="675">
        <f t="shared" si="157"/>
        <v>33953.699999986682</v>
      </c>
      <c r="AA57" s="675">
        <f t="shared" si="157"/>
        <v>33953.699999986682</v>
      </c>
      <c r="AB57" s="675">
        <f t="shared" si="157"/>
        <v>33953.699999986682</v>
      </c>
    </row>
    <row r="59" spans="2:28">
      <c r="B59" s="598" t="s">
        <v>3034</v>
      </c>
      <c r="C59" s="707">
        <f t="shared" ref="C59:U59" si="158">C2</f>
        <v>43100</v>
      </c>
      <c r="D59" s="707">
        <f t="shared" si="158"/>
        <v>43465</v>
      </c>
      <c r="E59" s="707">
        <f t="shared" si="158"/>
        <v>43830</v>
      </c>
      <c r="F59" s="707">
        <f t="shared" si="158"/>
        <v>44196</v>
      </c>
      <c r="G59" s="708">
        <f t="shared" si="158"/>
        <v>44561</v>
      </c>
      <c r="H59" s="709">
        <f t="shared" si="158"/>
        <v>44926</v>
      </c>
      <c r="I59" s="709">
        <f t="shared" si="158"/>
        <v>45291</v>
      </c>
      <c r="J59" s="709">
        <f t="shared" si="158"/>
        <v>45657</v>
      </c>
      <c r="K59" s="709">
        <f t="shared" si="158"/>
        <v>46022</v>
      </c>
      <c r="L59" s="709">
        <f t="shared" si="158"/>
        <v>46387</v>
      </c>
      <c r="M59" s="709">
        <f t="shared" si="158"/>
        <v>46752</v>
      </c>
      <c r="N59" s="709">
        <f t="shared" si="158"/>
        <v>47118</v>
      </c>
      <c r="O59" s="709">
        <f t="shared" si="158"/>
        <v>47483</v>
      </c>
      <c r="P59" s="709">
        <f t="shared" si="158"/>
        <v>47848</v>
      </c>
      <c r="Q59" s="709">
        <f t="shared" si="158"/>
        <v>48213</v>
      </c>
      <c r="R59" s="709">
        <f t="shared" si="158"/>
        <v>48579</v>
      </c>
      <c r="S59" s="709">
        <f t="shared" si="158"/>
        <v>48944</v>
      </c>
      <c r="T59" s="709">
        <f t="shared" si="158"/>
        <v>49309</v>
      </c>
      <c r="U59" s="709">
        <f t="shared" si="158"/>
        <v>49674</v>
      </c>
      <c r="V59" s="709">
        <f t="shared" ref="V59:AB59" si="159">V2</f>
        <v>50040</v>
      </c>
      <c r="W59" s="709">
        <f t="shared" si="159"/>
        <v>50405</v>
      </c>
      <c r="X59" s="709">
        <f t="shared" si="159"/>
        <v>50770</v>
      </c>
      <c r="Y59" s="709">
        <f t="shared" si="159"/>
        <v>51135</v>
      </c>
      <c r="Z59" s="709">
        <f t="shared" si="159"/>
        <v>51501</v>
      </c>
      <c r="AA59" s="709">
        <f t="shared" si="159"/>
        <v>51866</v>
      </c>
      <c r="AB59" s="709">
        <f t="shared" si="159"/>
        <v>52231</v>
      </c>
    </row>
    <row r="60" spans="2:28">
      <c r="B60" s="552" t="s">
        <v>2987</v>
      </c>
      <c r="G60" s="607"/>
    </row>
    <row r="61" spans="2:28" s="682" customFormat="1">
      <c r="B61" s="619" t="s">
        <v>2988</v>
      </c>
      <c r="C61" s="471"/>
      <c r="D61" s="471">
        <f t="shared" ref="D61:G64" si="160">D8/C8-1</f>
        <v>8.7870407872803202E-2</v>
      </c>
      <c r="E61" s="471">
        <f t="shared" si="160"/>
        <v>0.11965492325628002</v>
      </c>
      <c r="F61" s="471">
        <f t="shared" si="160"/>
        <v>0.56331870925445249</v>
      </c>
      <c r="G61" s="617">
        <f t="shared" si="160"/>
        <v>-0.45336290354467401</v>
      </c>
      <c r="H61" s="683">
        <v>0</v>
      </c>
      <c r="I61" s="683">
        <f>I$99</f>
        <v>0</v>
      </c>
      <c r="J61" s="683">
        <f t="shared" ref="J61:AB64" si="161">J$99</f>
        <v>0</v>
      </c>
      <c r="K61" s="682">
        <f t="shared" si="161"/>
        <v>0</v>
      </c>
      <c r="L61" s="682">
        <f t="shared" si="161"/>
        <v>0</v>
      </c>
      <c r="M61" s="682">
        <f t="shared" si="161"/>
        <v>0</v>
      </c>
      <c r="N61" s="682">
        <f t="shared" si="161"/>
        <v>0</v>
      </c>
      <c r="O61" s="682">
        <f t="shared" si="161"/>
        <v>0</v>
      </c>
      <c r="P61" s="682">
        <f t="shared" si="161"/>
        <v>0</v>
      </c>
      <c r="Q61" s="682">
        <f t="shared" si="161"/>
        <v>0</v>
      </c>
      <c r="R61" s="682">
        <f t="shared" si="161"/>
        <v>0</v>
      </c>
      <c r="S61" s="682">
        <f t="shared" si="161"/>
        <v>0</v>
      </c>
      <c r="T61" s="682">
        <f t="shared" si="161"/>
        <v>0</v>
      </c>
      <c r="U61" s="682">
        <f t="shared" si="161"/>
        <v>0</v>
      </c>
      <c r="V61" s="682">
        <f t="shared" si="161"/>
        <v>0</v>
      </c>
      <c r="W61" s="682">
        <f t="shared" si="161"/>
        <v>0</v>
      </c>
      <c r="X61" s="682">
        <f t="shared" si="161"/>
        <v>0</v>
      </c>
      <c r="Y61" s="682">
        <f t="shared" si="161"/>
        <v>0</v>
      </c>
      <c r="Z61" s="682">
        <f t="shared" si="161"/>
        <v>0</v>
      </c>
      <c r="AA61" s="682">
        <f t="shared" si="161"/>
        <v>0</v>
      </c>
      <c r="AB61" s="682">
        <f t="shared" si="161"/>
        <v>0</v>
      </c>
    </row>
    <row r="62" spans="2:28" s="682" customFormat="1">
      <c r="B62" s="619" t="s">
        <v>1891</v>
      </c>
      <c r="C62" s="471"/>
      <c r="D62" s="471">
        <f t="shared" si="160"/>
        <v>3.946319222989203E-2</v>
      </c>
      <c r="E62" s="471">
        <f t="shared" si="160"/>
        <v>0.20684716837030726</v>
      </c>
      <c r="F62" s="471">
        <f t="shared" si="160"/>
        <v>-7.3107516722299426E-2</v>
      </c>
      <c r="G62" s="617">
        <f t="shared" si="160"/>
        <v>-0.41776298634195919</v>
      </c>
      <c r="H62" s="683">
        <v>0</v>
      </c>
      <c r="I62" s="683">
        <f>I$99</f>
        <v>0</v>
      </c>
      <c r="J62" s="683">
        <f t="shared" ref="J62:U64" si="162">J$99</f>
        <v>0</v>
      </c>
      <c r="K62" s="682">
        <f t="shared" si="162"/>
        <v>0</v>
      </c>
      <c r="L62" s="682">
        <f t="shared" si="162"/>
        <v>0</v>
      </c>
      <c r="M62" s="682">
        <f t="shared" si="162"/>
        <v>0</v>
      </c>
      <c r="N62" s="682">
        <f t="shared" si="162"/>
        <v>0</v>
      </c>
      <c r="O62" s="682">
        <f t="shared" si="162"/>
        <v>0</v>
      </c>
      <c r="P62" s="682">
        <f t="shared" si="162"/>
        <v>0</v>
      </c>
      <c r="Q62" s="682">
        <f t="shared" si="162"/>
        <v>0</v>
      </c>
      <c r="R62" s="682">
        <f t="shared" si="162"/>
        <v>0</v>
      </c>
      <c r="S62" s="682">
        <f t="shared" si="162"/>
        <v>0</v>
      </c>
      <c r="T62" s="682">
        <f t="shared" si="162"/>
        <v>0</v>
      </c>
      <c r="U62" s="682">
        <f t="shared" si="162"/>
        <v>0</v>
      </c>
      <c r="V62" s="682">
        <f t="shared" si="161"/>
        <v>0</v>
      </c>
      <c r="W62" s="682">
        <f t="shared" si="161"/>
        <v>0</v>
      </c>
      <c r="X62" s="682">
        <f t="shared" si="161"/>
        <v>0</v>
      </c>
      <c r="Y62" s="682">
        <f t="shared" si="161"/>
        <v>0</v>
      </c>
      <c r="Z62" s="682">
        <f t="shared" si="161"/>
        <v>0</v>
      </c>
      <c r="AA62" s="682">
        <f t="shared" si="161"/>
        <v>0</v>
      </c>
      <c r="AB62" s="682">
        <f t="shared" si="161"/>
        <v>0</v>
      </c>
    </row>
    <row r="63" spans="2:28" s="682" customFormat="1">
      <c r="B63" s="619" t="s">
        <v>1893</v>
      </c>
      <c r="C63" s="471"/>
      <c r="D63" s="471">
        <f t="shared" si="160"/>
        <v>1.4474649371259085E-2</v>
      </c>
      <c r="E63" s="471">
        <f t="shared" si="160"/>
        <v>-0.10665157561880256</v>
      </c>
      <c r="F63" s="471">
        <f t="shared" si="160"/>
        <v>-7.6202779797543529E-2</v>
      </c>
      <c r="G63" s="617">
        <f t="shared" si="160"/>
        <v>1.8836879393114181E-2</v>
      </c>
      <c r="H63" s="683">
        <v>0</v>
      </c>
      <c r="I63" s="683">
        <f>I$99</f>
        <v>0</v>
      </c>
      <c r="J63" s="683">
        <f t="shared" si="162"/>
        <v>0</v>
      </c>
      <c r="K63" s="682">
        <f t="shared" si="162"/>
        <v>0</v>
      </c>
      <c r="L63" s="682">
        <f t="shared" si="162"/>
        <v>0</v>
      </c>
      <c r="M63" s="682">
        <f t="shared" si="162"/>
        <v>0</v>
      </c>
      <c r="N63" s="682">
        <f t="shared" si="162"/>
        <v>0</v>
      </c>
      <c r="O63" s="682">
        <f t="shared" si="162"/>
        <v>0</v>
      </c>
      <c r="P63" s="682">
        <f t="shared" si="162"/>
        <v>0</v>
      </c>
      <c r="Q63" s="682">
        <f t="shared" si="162"/>
        <v>0</v>
      </c>
      <c r="R63" s="682">
        <f t="shared" si="162"/>
        <v>0</v>
      </c>
      <c r="S63" s="682">
        <f t="shared" si="162"/>
        <v>0</v>
      </c>
      <c r="T63" s="682">
        <f t="shared" si="162"/>
        <v>0</v>
      </c>
      <c r="U63" s="682">
        <f t="shared" si="162"/>
        <v>0</v>
      </c>
      <c r="V63" s="682">
        <f t="shared" si="161"/>
        <v>0</v>
      </c>
      <c r="W63" s="682">
        <f t="shared" si="161"/>
        <v>0</v>
      </c>
      <c r="X63" s="682">
        <f t="shared" si="161"/>
        <v>0</v>
      </c>
      <c r="Y63" s="682">
        <f t="shared" si="161"/>
        <v>0</v>
      </c>
      <c r="Z63" s="682">
        <f t="shared" si="161"/>
        <v>0</v>
      </c>
      <c r="AA63" s="682">
        <f t="shared" si="161"/>
        <v>0</v>
      </c>
      <c r="AB63" s="682">
        <f t="shared" si="161"/>
        <v>0</v>
      </c>
    </row>
    <row r="64" spans="2:28" s="682" customFormat="1">
      <c r="B64" s="698" t="s">
        <v>2989</v>
      </c>
      <c r="C64" s="695"/>
      <c r="D64" s="695">
        <f t="shared" si="160"/>
        <v>5.6475128603008296E-2</v>
      </c>
      <c r="E64" s="695">
        <f t="shared" si="160"/>
        <v>0.11722479958992094</v>
      </c>
      <c r="F64" s="695">
        <f t="shared" si="160"/>
        <v>4.9142245685170893E-2</v>
      </c>
      <c r="G64" s="696">
        <f t="shared" si="160"/>
        <v>0.15001056779611743</v>
      </c>
      <c r="H64" s="697">
        <v>0</v>
      </c>
      <c r="I64" s="697">
        <f>I$99</f>
        <v>0</v>
      </c>
      <c r="J64" s="697">
        <f t="shared" si="162"/>
        <v>0</v>
      </c>
      <c r="K64" s="694">
        <f t="shared" si="162"/>
        <v>0</v>
      </c>
      <c r="L64" s="694">
        <f t="shared" si="162"/>
        <v>0</v>
      </c>
      <c r="M64" s="694">
        <f t="shared" si="162"/>
        <v>0</v>
      </c>
      <c r="N64" s="694">
        <f t="shared" si="162"/>
        <v>0</v>
      </c>
      <c r="O64" s="694">
        <f t="shared" si="162"/>
        <v>0</v>
      </c>
      <c r="P64" s="694">
        <f t="shared" si="162"/>
        <v>0</v>
      </c>
      <c r="Q64" s="694">
        <f t="shared" si="162"/>
        <v>0</v>
      </c>
      <c r="R64" s="694">
        <f t="shared" si="162"/>
        <v>0</v>
      </c>
      <c r="S64" s="694">
        <f t="shared" si="162"/>
        <v>0</v>
      </c>
      <c r="T64" s="694">
        <f t="shared" si="162"/>
        <v>0</v>
      </c>
      <c r="U64" s="694">
        <f t="shared" si="162"/>
        <v>0</v>
      </c>
      <c r="V64" s="694">
        <f t="shared" si="161"/>
        <v>0</v>
      </c>
      <c r="W64" s="694">
        <f t="shared" si="161"/>
        <v>0</v>
      </c>
      <c r="X64" s="694">
        <f t="shared" si="161"/>
        <v>0</v>
      </c>
      <c r="Y64" s="694">
        <f t="shared" si="161"/>
        <v>0</v>
      </c>
      <c r="Z64" s="694">
        <f t="shared" si="161"/>
        <v>0</v>
      </c>
      <c r="AA64" s="694">
        <f t="shared" si="161"/>
        <v>0</v>
      </c>
      <c r="AB64" s="694">
        <f t="shared" si="161"/>
        <v>0</v>
      </c>
    </row>
    <row r="65" spans="2:28" s="685" customFormat="1">
      <c r="B65" s="686" t="s">
        <v>3035</v>
      </c>
      <c r="C65" s="687"/>
      <c r="D65" s="687"/>
      <c r="E65" s="687">
        <f>E12/'Revenues"0"'!E61</f>
        <v>2.5189114140778384</v>
      </c>
      <c r="F65" s="687">
        <f>F12/'Revenues"0"'!F61</f>
        <v>2.3195098612438172</v>
      </c>
      <c r="G65" s="688">
        <f>G12/'Revenues"0"'!G61</f>
        <v>2.9057686336029906</v>
      </c>
      <c r="H65" s="685">
        <f>G65*(1+H66)</f>
        <v>3.0510570652831404</v>
      </c>
      <c r="I65" s="685">
        <f t="shared" ref="I65:U65" si="163">H65*(1+I66)</f>
        <v>3.0510570652831404</v>
      </c>
      <c r="J65" s="685">
        <f t="shared" si="163"/>
        <v>3.0510570652831404</v>
      </c>
      <c r="K65" s="685">
        <f t="shared" si="163"/>
        <v>3.0510570652831404</v>
      </c>
      <c r="L65" s="685">
        <f t="shared" si="163"/>
        <v>3.0510570652831404</v>
      </c>
      <c r="M65" s="685">
        <f t="shared" si="163"/>
        <v>3.0510570652831404</v>
      </c>
      <c r="N65" s="685">
        <f t="shared" si="163"/>
        <v>3.0510570652831404</v>
      </c>
      <c r="O65" s="685">
        <f t="shared" si="163"/>
        <v>3.0510570652831404</v>
      </c>
      <c r="P65" s="685">
        <f t="shared" si="163"/>
        <v>3.0510570652831404</v>
      </c>
      <c r="Q65" s="685">
        <f t="shared" si="163"/>
        <v>3.0510570652831404</v>
      </c>
      <c r="R65" s="685">
        <f t="shared" si="163"/>
        <v>3.0510570652831404</v>
      </c>
      <c r="S65" s="685">
        <f t="shared" si="163"/>
        <v>3.0510570652831404</v>
      </c>
      <c r="T65" s="685">
        <f t="shared" si="163"/>
        <v>3.0510570652831404</v>
      </c>
      <c r="U65" s="685">
        <f t="shared" si="163"/>
        <v>3.0510570652831404</v>
      </c>
      <c r="V65" s="685">
        <f t="shared" ref="V65" si="164">U65*(1+V66)</f>
        <v>3.0510570652831404</v>
      </c>
      <c r="W65" s="685">
        <f t="shared" ref="W65" si="165">V65*(1+W66)</f>
        <v>3.0510570652831404</v>
      </c>
      <c r="X65" s="685">
        <f t="shared" ref="X65" si="166">W65*(1+X66)</f>
        <v>3.0510570652831404</v>
      </c>
      <c r="Y65" s="685">
        <f t="shared" ref="Y65" si="167">X65*(1+Y66)</f>
        <v>3.0510570652831404</v>
      </c>
      <c r="Z65" s="685">
        <f t="shared" ref="Z65" si="168">Y65*(1+Z66)</f>
        <v>3.0510570652831404</v>
      </c>
      <c r="AA65" s="685">
        <f t="shared" ref="AA65" si="169">Z65*(1+AA66)</f>
        <v>3.0510570652831404</v>
      </c>
      <c r="AB65" s="685">
        <f t="shared" ref="AB65" si="170">AA65*(1+AB66)</f>
        <v>3.0510570652831404</v>
      </c>
    </row>
    <row r="66" spans="2:28" s="682" customFormat="1">
      <c r="B66" s="619" t="s">
        <v>3005</v>
      </c>
      <c r="C66" s="471"/>
      <c r="D66" s="471"/>
      <c r="E66" s="471"/>
      <c r="F66" s="471">
        <f>F65/E65-1</f>
        <v>-7.9161796528291584E-2</v>
      </c>
      <c r="G66" s="617">
        <f>G65/F65-1</f>
        <v>0.2527511446081101</v>
      </c>
      <c r="H66" s="683">
        <v>0.05</v>
      </c>
      <c r="I66" s="683">
        <f t="shared" ref="I66:U66" si="171">I99</f>
        <v>0</v>
      </c>
      <c r="J66" s="683">
        <f t="shared" si="171"/>
        <v>0</v>
      </c>
      <c r="K66" s="682">
        <f t="shared" si="171"/>
        <v>0</v>
      </c>
      <c r="L66" s="682">
        <f t="shared" si="171"/>
        <v>0</v>
      </c>
      <c r="M66" s="682">
        <f t="shared" si="171"/>
        <v>0</v>
      </c>
      <c r="N66" s="682">
        <f t="shared" si="171"/>
        <v>0</v>
      </c>
      <c r="O66" s="682">
        <f t="shared" si="171"/>
        <v>0</v>
      </c>
      <c r="P66" s="682">
        <f t="shared" si="171"/>
        <v>0</v>
      </c>
      <c r="Q66" s="682">
        <f t="shared" si="171"/>
        <v>0</v>
      </c>
      <c r="R66" s="682">
        <f t="shared" si="171"/>
        <v>0</v>
      </c>
      <c r="S66" s="682">
        <f t="shared" si="171"/>
        <v>0</v>
      </c>
      <c r="T66" s="682">
        <f t="shared" si="171"/>
        <v>0</v>
      </c>
      <c r="U66" s="682">
        <f t="shared" si="171"/>
        <v>0</v>
      </c>
      <c r="V66" s="682">
        <f t="shared" ref="V66:AB66" si="172">V99</f>
        <v>0</v>
      </c>
      <c r="W66" s="682">
        <f t="shared" si="172"/>
        <v>0</v>
      </c>
      <c r="X66" s="682">
        <f t="shared" si="172"/>
        <v>0</v>
      </c>
      <c r="Y66" s="682">
        <f t="shared" si="172"/>
        <v>0</v>
      </c>
      <c r="Z66" s="682">
        <f t="shared" si="172"/>
        <v>0</v>
      </c>
      <c r="AA66" s="682">
        <f t="shared" si="172"/>
        <v>0</v>
      </c>
      <c r="AB66" s="682">
        <f t="shared" si="172"/>
        <v>0</v>
      </c>
    </row>
    <row r="67" spans="2:28" s="682" customFormat="1">
      <c r="B67" s="682" t="s">
        <v>3036</v>
      </c>
      <c r="C67" s="629">
        <f>C13/'PL"0"'!D18</f>
        <v>4.8744523347750328E-3</v>
      </c>
      <c r="D67" s="629">
        <f>D13/'PL"0"'!E18</f>
        <v>4.6768184679050091E-3</v>
      </c>
      <c r="E67" s="629">
        <f>E13/'PL"0"'!F18</f>
        <v>4.3676708739093326E-3</v>
      </c>
      <c r="F67" s="629">
        <f>F13/'PL"0"'!G18</f>
        <v>2.9053690082894608E-3</v>
      </c>
      <c r="G67" s="630">
        <f>G13/'PL"0"'!H18</f>
        <v>3.4590145062586928E-3</v>
      </c>
      <c r="H67" s="689">
        <f>E67</f>
        <v>4.3676708739093326E-3</v>
      </c>
      <c r="I67" s="689">
        <f>H67</f>
        <v>4.3676708739093326E-3</v>
      </c>
      <c r="J67" s="689">
        <f t="shared" ref="J67:U67" si="173">I67</f>
        <v>4.3676708739093326E-3</v>
      </c>
      <c r="K67" s="690">
        <f t="shared" si="173"/>
        <v>4.3676708739093326E-3</v>
      </c>
      <c r="L67" s="690">
        <f t="shared" si="173"/>
        <v>4.3676708739093326E-3</v>
      </c>
      <c r="M67" s="690">
        <f t="shared" si="173"/>
        <v>4.3676708739093326E-3</v>
      </c>
      <c r="N67" s="690">
        <f t="shared" si="173"/>
        <v>4.3676708739093326E-3</v>
      </c>
      <c r="O67" s="690">
        <f t="shared" si="173"/>
        <v>4.3676708739093326E-3</v>
      </c>
      <c r="P67" s="690">
        <f t="shared" si="173"/>
        <v>4.3676708739093326E-3</v>
      </c>
      <c r="Q67" s="690">
        <f t="shared" si="173"/>
        <v>4.3676708739093326E-3</v>
      </c>
      <c r="R67" s="690">
        <f t="shared" si="173"/>
        <v>4.3676708739093326E-3</v>
      </c>
      <c r="S67" s="690">
        <f t="shared" si="173"/>
        <v>4.3676708739093326E-3</v>
      </c>
      <c r="T67" s="690">
        <f t="shared" si="173"/>
        <v>4.3676708739093326E-3</v>
      </c>
      <c r="U67" s="690">
        <f t="shared" si="173"/>
        <v>4.3676708739093326E-3</v>
      </c>
      <c r="V67" s="690">
        <f t="shared" ref="V67:AB67" si="174">U67</f>
        <v>4.3676708739093326E-3</v>
      </c>
      <c r="W67" s="690">
        <f t="shared" si="174"/>
        <v>4.3676708739093326E-3</v>
      </c>
      <c r="X67" s="690">
        <f t="shared" si="174"/>
        <v>4.3676708739093326E-3</v>
      </c>
      <c r="Y67" s="690">
        <f t="shared" si="174"/>
        <v>4.3676708739093326E-3</v>
      </c>
      <c r="Z67" s="690">
        <f t="shared" si="174"/>
        <v>4.3676708739093326E-3</v>
      </c>
      <c r="AA67" s="690">
        <f t="shared" si="174"/>
        <v>4.3676708739093326E-3</v>
      </c>
      <c r="AB67" s="690">
        <f t="shared" si="174"/>
        <v>4.3676708739093326E-3</v>
      </c>
    </row>
    <row r="68" spans="2:28" s="682" customFormat="1">
      <c r="B68" s="682" t="s">
        <v>3010</v>
      </c>
      <c r="C68" s="471"/>
      <c r="D68" s="471">
        <f t="shared" ref="D68:G70" si="175">D14/C14-1</f>
        <v>6.355378965149483E-2</v>
      </c>
      <c r="E68" s="471">
        <f t="shared" si="175"/>
        <v>-0.37125859091366442</v>
      </c>
      <c r="F68" s="471">
        <f t="shared" si="175"/>
        <v>-0.24325893128133413</v>
      </c>
      <c r="G68" s="617">
        <f t="shared" si="175"/>
        <v>0.20542444033966478</v>
      </c>
      <c r="H68" s="683">
        <f>Assumtions!C35</f>
        <v>0.1</v>
      </c>
      <c r="I68" s="683">
        <f t="shared" ref="I68:X70" si="176">I$99</f>
        <v>0</v>
      </c>
      <c r="J68" s="683">
        <f t="shared" si="176"/>
        <v>0</v>
      </c>
      <c r="K68" s="682">
        <f t="shared" si="176"/>
        <v>0</v>
      </c>
      <c r="L68" s="682">
        <f t="shared" si="176"/>
        <v>0</v>
      </c>
      <c r="M68" s="682">
        <f t="shared" si="176"/>
        <v>0</v>
      </c>
      <c r="N68" s="682">
        <f t="shared" si="176"/>
        <v>0</v>
      </c>
      <c r="O68" s="682">
        <f t="shared" si="176"/>
        <v>0</v>
      </c>
      <c r="P68" s="682">
        <f t="shared" si="176"/>
        <v>0</v>
      </c>
      <c r="Q68" s="682">
        <f t="shared" si="176"/>
        <v>0</v>
      </c>
      <c r="R68" s="682">
        <f t="shared" si="176"/>
        <v>0</v>
      </c>
      <c r="S68" s="682">
        <f t="shared" si="176"/>
        <v>0</v>
      </c>
      <c r="T68" s="682">
        <f t="shared" si="176"/>
        <v>0</v>
      </c>
      <c r="U68" s="682">
        <f t="shared" si="176"/>
        <v>0</v>
      </c>
      <c r="V68" s="682">
        <f t="shared" si="176"/>
        <v>0</v>
      </c>
      <c r="W68" s="682">
        <f t="shared" si="176"/>
        <v>0</v>
      </c>
      <c r="X68" s="682">
        <f t="shared" si="176"/>
        <v>0</v>
      </c>
      <c r="Y68" s="682">
        <f t="shared" ref="V68:AB70" si="177">Y$99</f>
        <v>0</v>
      </c>
      <c r="Z68" s="682">
        <f t="shared" si="177"/>
        <v>0</v>
      </c>
      <c r="AA68" s="682">
        <f t="shared" si="177"/>
        <v>0</v>
      </c>
      <c r="AB68" s="682">
        <f t="shared" si="177"/>
        <v>0</v>
      </c>
    </row>
    <row r="69" spans="2:28" s="682" customFormat="1">
      <c r="B69" s="682" t="s">
        <v>3008</v>
      </c>
      <c r="C69" s="471"/>
      <c r="D69" s="471">
        <f t="shared" si="175"/>
        <v>2.4188352003625457E-2</v>
      </c>
      <c r="E69" s="471">
        <f t="shared" si="175"/>
        <v>7.4667297465252025E-2</v>
      </c>
      <c r="F69" s="471">
        <f t="shared" si="175"/>
        <v>-0.61668338370159881</v>
      </c>
      <c r="G69" s="617">
        <f t="shared" si="175"/>
        <v>0.51673260710099034</v>
      </c>
      <c r="H69" s="683">
        <f>Assumtions!C35</f>
        <v>0.1</v>
      </c>
      <c r="I69" s="683">
        <f t="shared" si="176"/>
        <v>0</v>
      </c>
      <c r="J69" s="683">
        <f t="shared" si="176"/>
        <v>0</v>
      </c>
      <c r="K69" s="682">
        <f t="shared" si="176"/>
        <v>0</v>
      </c>
      <c r="L69" s="682">
        <f t="shared" si="176"/>
        <v>0</v>
      </c>
      <c r="M69" s="682">
        <f t="shared" si="176"/>
        <v>0</v>
      </c>
      <c r="N69" s="682">
        <f t="shared" si="176"/>
        <v>0</v>
      </c>
      <c r="O69" s="682">
        <f t="shared" si="176"/>
        <v>0</v>
      </c>
      <c r="P69" s="682">
        <f t="shared" si="176"/>
        <v>0</v>
      </c>
      <c r="Q69" s="682">
        <f t="shared" si="176"/>
        <v>0</v>
      </c>
      <c r="R69" s="682">
        <f t="shared" si="176"/>
        <v>0</v>
      </c>
      <c r="S69" s="682">
        <f t="shared" si="176"/>
        <v>0</v>
      </c>
      <c r="T69" s="682">
        <f t="shared" si="176"/>
        <v>0</v>
      </c>
      <c r="U69" s="682">
        <f t="shared" si="176"/>
        <v>0</v>
      </c>
      <c r="V69" s="682">
        <f t="shared" si="177"/>
        <v>0</v>
      </c>
      <c r="W69" s="682">
        <f t="shared" si="177"/>
        <v>0</v>
      </c>
      <c r="X69" s="682">
        <f t="shared" si="177"/>
        <v>0</v>
      </c>
      <c r="Y69" s="682">
        <f t="shared" si="177"/>
        <v>0</v>
      </c>
      <c r="Z69" s="682">
        <f t="shared" si="177"/>
        <v>0</v>
      </c>
      <c r="AA69" s="682">
        <f t="shared" si="177"/>
        <v>0</v>
      </c>
      <c r="AB69" s="682">
        <f t="shared" si="177"/>
        <v>0</v>
      </c>
    </row>
    <row r="70" spans="2:28" s="682" customFormat="1">
      <c r="B70" s="694" t="s">
        <v>3011</v>
      </c>
      <c r="C70" s="695"/>
      <c r="D70" s="695">
        <f t="shared" si="175"/>
        <v>7.8640768344835354E-3</v>
      </c>
      <c r="E70" s="695">
        <f t="shared" si="175"/>
        <v>0.48133726373107022</v>
      </c>
      <c r="F70" s="695">
        <f t="shared" si="175"/>
        <v>0.5295291173595531</v>
      </c>
      <c r="G70" s="696">
        <f t="shared" si="175"/>
        <v>0.34576347177971334</v>
      </c>
      <c r="H70" s="697">
        <v>0.05</v>
      </c>
      <c r="I70" s="697">
        <f t="shared" si="176"/>
        <v>0</v>
      </c>
      <c r="J70" s="697">
        <f t="shared" si="176"/>
        <v>0</v>
      </c>
      <c r="K70" s="694">
        <f t="shared" si="176"/>
        <v>0</v>
      </c>
      <c r="L70" s="694">
        <f t="shared" si="176"/>
        <v>0</v>
      </c>
      <c r="M70" s="694">
        <f t="shared" si="176"/>
        <v>0</v>
      </c>
      <c r="N70" s="694">
        <f t="shared" si="176"/>
        <v>0</v>
      </c>
      <c r="O70" s="694">
        <f t="shared" si="176"/>
        <v>0</v>
      </c>
      <c r="P70" s="694">
        <f t="shared" si="176"/>
        <v>0</v>
      </c>
      <c r="Q70" s="694">
        <f t="shared" si="176"/>
        <v>0</v>
      </c>
      <c r="R70" s="694">
        <f t="shared" si="176"/>
        <v>0</v>
      </c>
      <c r="S70" s="694">
        <f t="shared" si="176"/>
        <v>0</v>
      </c>
      <c r="T70" s="694">
        <f t="shared" si="176"/>
        <v>0</v>
      </c>
      <c r="U70" s="694">
        <f t="shared" si="176"/>
        <v>0</v>
      </c>
      <c r="V70" s="694">
        <f t="shared" si="177"/>
        <v>0</v>
      </c>
      <c r="W70" s="694">
        <f t="shared" si="177"/>
        <v>0</v>
      </c>
      <c r="X70" s="694">
        <f t="shared" si="177"/>
        <v>0</v>
      </c>
      <c r="Y70" s="694">
        <f t="shared" si="177"/>
        <v>0</v>
      </c>
      <c r="Z70" s="694">
        <f t="shared" si="177"/>
        <v>0</v>
      </c>
      <c r="AA70" s="694">
        <f t="shared" si="177"/>
        <v>0</v>
      </c>
      <c r="AB70" s="694">
        <f t="shared" si="177"/>
        <v>0</v>
      </c>
    </row>
    <row r="71" spans="2:28" s="685" customFormat="1">
      <c r="B71" s="686" t="s">
        <v>3041</v>
      </c>
      <c r="C71" s="687"/>
      <c r="D71" s="687"/>
      <c r="E71" s="687">
        <f>E18/'Revenues"0"'!E40</f>
        <v>45.882987818301416</v>
      </c>
      <c r="F71" s="687">
        <f>F18/'Revenues"0"'!F40</f>
        <v>43.819343718760393</v>
      </c>
      <c r="G71" s="688">
        <f>G18/'Revenues"0"'!G40</f>
        <v>39.343872405297084</v>
      </c>
      <c r="H71" s="685">
        <f>AVERAGE(F71:G71)</f>
        <v>41.581608062028735</v>
      </c>
      <c r="I71" s="685">
        <f t="shared" ref="I71:U71" si="178">H71*(1+I72)</f>
        <v>41.581608062028735</v>
      </c>
      <c r="J71" s="685">
        <f t="shared" si="178"/>
        <v>41.581608062028735</v>
      </c>
      <c r="K71" s="685">
        <f t="shared" si="178"/>
        <v>41.581608062028735</v>
      </c>
      <c r="L71" s="685">
        <f t="shared" si="178"/>
        <v>41.581608062028735</v>
      </c>
      <c r="M71" s="685">
        <f t="shared" si="178"/>
        <v>41.581608062028735</v>
      </c>
      <c r="N71" s="685">
        <f t="shared" si="178"/>
        <v>41.581608062028735</v>
      </c>
      <c r="O71" s="685">
        <f t="shared" si="178"/>
        <v>41.581608062028735</v>
      </c>
      <c r="P71" s="685">
        <f t="shared" si="178"/>
        <v>41.581608062028735</v>
      </c>
      <c r="Q71" s="685">
        <f t="shared" si="178"/>
        <v>41.581608062028735</v>
      </c>
      <c r="R71" s="685">
        <f t="shared" si="178"/>
        <v>41.581608062028735</v>
      </c>
      <c r="S71" s="685">
        <f t="shared" si="178"/>
        <v>41.581608062028735</v>
      </c>
      <c r="T71" s="685">
        <f t="shared" si="178"/>
        <v>41.581608062028735</v>
      </c>
      <c r="U71" s="685">
        <f t="shared" si="178"/>
        <v>41.581608062028735</v>
      </c>
      <c r="V71" s="685">
        <f t="shared" ref="V71" si="179">U71*(1+V72)</f>
        <v>41.581608062028735</v>
      </c>
      <c r="W71" s="685">
        <f t="shared" ref="W71" si="180">V71*(1+W72)</f>
        <v>41.581608062028735</v>
      </c>
      <c r="X71" s="685">
        <f t="shared" ref="X71" si="181">W71*(1+X72)</f>
        <v>41.581608062028735</v>
      </c>
      <c r="Y71" s="685">
        <f t="shared" ref="Y71" si="182">X71*(1+Y72)</f>
        <v>41.581608062028735</v>
      </c>
      <c r="Z71" s="685">
        <f t="shared" ref="Z71" si="183">Y71*(1+Z72)</f>
        <v>41.581608062028735</v>
      </c>
      <c r="AA71" s="685">
        <f t="shared" ref="AA71" si="184">Z71*(1+AA72)</f>
        <v>41.581608062028735</v>
      </c>
      <c r="AB71" s="685">
        <f t="shared" ref="AB71" si="185">AA71*(1+AB72)</f>
        <v>41.581608062028735</v>
      </c>
    </row>
    <row r="72" spans="2:28" s="693" customFormat="1">
      <c r="B72" s="619" t="s">
        <v>3041</v>
      </c>
      <c r="C72" s="691"/>
      <c r="D72" s="691"/>
      <c r="E72" s="691"/>
      <c r="F72" s="691">
        <f>F71/E71-1</f>
        <v>-4.4976236240611422E-2</v>
      </c>
      <c r="G72" s="692">
        <f>G71/F71-1</f>
        <v>-0.102134603890638</v>
      </c>
      <c r="H72" s="682">
        <f>H71/G71-1</f>
        <v>5.6876344902703879E-2</v>
      </c>
      <c r="I72" s="683">
        <f>I99</f>
        <v>0</v>
      </c>
      <c r="J72" s="683">
        <f t="shared" ref="J72:U72" si="186">J99</f>
        <v>0</v>
      </c>
      <c r="K72" s="682">
        <f t="shared" si="186"/>
        <v>0</v>
      </c>
      <c r="L72" s="682">
        <f t="shared" si="186"/>
        <v>0</v>
      </c>
      <c r="M72" s="682">
        <f t="shared" si="186"/>
        <v>0</v>
      </c>
      <c r="N72" s="682">
        <f t="shared" si="186"/>
        <v>0</v>
      </c>
      <c r="O72" s="682">
        <f t="shared" si="186"/>
        <v>0</v>
      </c>
      <c r="P72" s="682">
        <f t="shared" si="186"/>
        <v>0</v>
      </c>
      <c r="Q72" s="682">
        <f t="shared" si="186"/>
        <v>0</v>
      </c>
      <c r="R72" s="682">
        <f t="shared" si="186"/>
        <v>0</v>
      </c>
      <c r="S72" s="682">
        <f t="shared" si="186"/>
        <v>0</v>
      </c>
      <c r="T72" s="682">
        <f t="shared" si="186"/>
        <v>0</v>
      </c>
      <c r="U72" s="682">
        <f t="shared" si="186"/>
        <v>0</v>
      </c>
      <c r="V72" s="682">
        <f t="shared" ref="V72:AB72" si="187">V99</f>
        <v>0</v>
      </c>
      <c r="W72" s="682">
        <f t="shared" si="187"/>
        <v>0</v>
      </c>
      <c r="X72" s="682">
        <f t="shared" si="187"/>
        <v>0</v>
      </c>
      <c r="Y72" s="682">
        <f t="shared" si="187"/>
        <v>0</v>
      </c>
      <c r="Z72" s="682">
        <f t="shared" si="187"/>
        <v>0</v>
      </c>
      <c r="AA72" s="682">
        <f t="shared" si="187"/>
        <v>0</v>
      </c>
      <c r="AB72" s="682">
        <f t="shared" si="187"/>
        <v>0</v>
      </c>
    </row>
    <row r="73" spans="2:28" s="682" customFormat="1">
      <c r="B73" s="552" t="s">
        <v>3038</v>
      </c>
      <c r="C73" s="471">
        <f>C19/('Revenues"0"'!C10+'Revenues"0"'!C14)</f>
        <v>0.46857108976880091</v>
      </c>
      <c r="D73" s="471">
        <f>D19/('Revenues"0"'!D10+'Revenues"0"'!D14)</f>
        <v>0.44254325473112299</v>
      </c>
      <c r="E73" s="471">
        <f>E19/('Revenues"0"'!E10+'Revenues"0"'!E14)</f>
        <v>0.47417424428256805</v>
      </c>
      <c r="F73" s="471">
        <f>F19/('Revenues"0"'!F10+'Revenues"0"'!F14)</f>
        <v>0.59599998825813361</v>
      </c>
      <c r="G73" s="617">
        <f>G19/('Revenues"0"'!G10+'Revenues"0"'!G14)</f>
        <v>0.57442907142766686</v>
      </c>
      <c r="H73" s="689">
        <f>G73</f>
        <v>0.57442907142766686</v>
      </c>
      <c r="I73" s="689">
        <f t="shared" ref="I73:U73" si="188">H73</f>
        <v>0.57442907142766686</v>
      </c>
      <c r="J73" s="689">
        <f t="shared" si="188"/>
        <v>0.57442907142766686</v>
      </c>
      <c r="K73" s="690">
        <f t="shared" si="188"/>
        <v>0.57442907142766686</v>
      </c>
      <c r="L73" s="690">
        <f t="shared" si="188"/>
        <v>0.57442907142766686</v>
      </c>
      <c r="M73" s="690">
        <f t="shared" si="188"/>
        <v>0.57442907142766686</v>
      </c>
      <c r="N73" s="690">
        <f t="shared" si="188"/>
        <v>0.57442907142766686</v>
      </c>
      <c r="O73" s="690">
        <f t="shared" si="188"/>
        <v>0.57442907142766686</v>
      </c>
      <c r="P73" s="690">
        <f t="shared" si="188"/>
        <v>0.57442907142766686</v>
      </c>
      <c r="Q73" s="690">
        <f t="shared" si="188"/>
        <v>0.57442907142766686</v>
      </c>
      <c r="R73" s="690">
        <f t="shared" si="188"/>
        <v>0.57442907142766686</v>
      </c>
      <c r="S73" s="690">
        <f t="shared" si="188"/>
        <v>0.57442907142766686</v>
      </c>
      <c r="T73" s="690">
        <f t="shared" si="188"/>
        <v>0.57442907142766686</v>
      </c>
      <c r="U73" s="690">
        <f t="shared" si="188"/>
        <v>0.57442907142766686</v>
      </c>
      <c r="V73" s="690">
        <f t="shared" ref="V73:AB73" si="189">U73</f>
        <v>0.57442907142766686</v>
      </c>
      <c r="W73" s="690">
        <f t="shared" si="189"/>
        <v>0.57442907142766686</v>
      </c>
      <c r="X73" s="690">
        <f t="shared" si="189"/>
        <v>0.57442907142766686</v>
      </c>
      <c r="Y73" s="690">
        <f t="shared" si="189"/>
        <v>0.57442907142766686</v>
      </c>
      <c r="Z73" s="690">
        <f t="shared" si="189"/>
        <v>0.57442907142766686</v>
      </c>
      <c r="AA73" s="690">
        <f t="shared" si="189"/>
        <v>0.57442907142766686</v>
      </c>
      <c r="AB73" s="690">
        <f t="shared" si="189"/>
        <v>0.57442907142766686</v>
      </c>
    </row>
    <row r="74" spans="2:28" s="682" customFormat="1">
      <c r="B74" s="552" t="s">
        <v>3037</v>
      </c>
      <c r="C74" s="471">
        <f>C23/'Revenues"0"'!C13</f>
        <v>0.98738923570934956</v>
      </c>
      <c r="D74" s="471">
        <f>D23/'Revenues"0"'!D13</f>
        <v>0.99727294292408453</v>
      </c>
      <c r="E74" s="471">
        <f>E23/'Revenues"0"'!E13</f>
        <v>1.0752303536910708</v>
      </c>
      <c r="F74" s="471">
        <f>F23/'Revenues"0"'!F13</f>
        <v>1.0838016199379723</v>
      </c>
      <c r="G74" s="617">
        <f>G23/'Revenues"0"'!G13</f>
        <v>1.0593654036104143</v>
      </c>
      <c r="H74" s="689">
        <f>G74</f>
        <v>1.0593654036104143</v>
      </c>
      <c r="I74" s="689">
        <f t="shared" ref="I74:U74" si="190">H74</f>
        <v>1.0593654036104143</v>
      </c>
      <c r="J74" s="689">
        <f t="shared" si="190"/>
        <v>1.0593654036104143</v>
      </c>
      <c r="K74" s="690">
        <f t="shared" si="190"/>
        <v>1.0593654036104143</v>
      </c>
      <c r="L74" s="690">
        <f t="shared" si="190"/>
        <v>1.0593654036104143</v>
      </c>
      <c r="M74" s="690">
        <f t="shared" si="190"/>
        <v>1.0593654036104143</v>
      </c>
      <c r="N74" s="690">
        <f t="shared" si="190"/>
        <v>1.0593654036104143</v>
      </c>
      <c r="O74" s="690">
        <f t="shared" si="190"/>
        <v>1.0593654036104143</v>
      </c>
      <c r="P74" s="690">
        <f t="shared" si="190"/>
        <v>1.0593654036104143</v>
      </c>
      <c r="Q74" s="690">
        <f t="shared" si="190"/>
        <v>1.0593654036104143</v>
      </c>
      <c r="R74" s="690">
        <f t="shared" si="190"/>
        <v>1.0593654036104143</v>
      </c>
      <c r="S74" s="690">
        <f t="shared" si="190"/>
        <v>1.0593654036104143</v>
      </c>
      <c r="T74" s="690">
        <f t="shared" si="190"/>
        <v>1.0593654036104143</v>
      </c>
      <c r="U74" s="690">
        <f t="shared" si="190"/>
        <v>1.0593654036104143</v>
      </c>
      <c r="V74" s="690">
        <f t="shared" ref="V74:AB74" si="191">U74</f>
        <v>1.0593654036104143</v>
      </c>
      <c r="W74" s="690">
        <f t="shared" si="191"/>
        <v>1.0593654036104143</v>
      </c>
      <c r="X74" s="690">
        <f t="shared" si="191"/>
        <v>1.0593654036104143</v>
      </c>
      <c r="Y74" s="690">
        <f t="shared" si="191"/>
        <v>1.0593654036104143</v>
      </c>
      <c r="Z74" s="690">
        <f t="shared" si="191"/>
        <v>1.0593654036104143</v>
      </c>
      <c r="AA74" s="690">
        <f t="shared" si="191"/>
        <v>1.0593654036104143</v>
      </c>
      <c r="AB74" s="690">
        <f t="shared" si="191"/>
        <v>1.0593654036104143</v>
      </c>
    </row>
    <row r="75" spans="2:28" s="682" customFormat="1">
      <c r="B75" s="682" t="s">
        <v>3039</v>
      </c>
      <c r="C75" s="471">
        <f>C26/('Revenues"0"'!C5+'Revenues"0"'!C11)</f>
        <v>0.16398273249118542</v>
      </c>
      <c r="D75" s="471">
        <f>D26/('Revenues"0"'!D5+'Revenues"0"'!D11)</f>
        <v>0.17685260735694161</v>
      </c>
      <c r="E75" s="471">
        <f>E26/('Revenues"0"'!E5+'Revenues"0"'!E11)</f>
        <v>0.18152385752863148</v>
      </c>
      <c r="F75" s="471">
        <f>F26/('Revenues"0"'!F5+'Revenues"0"'!F11)</f>
        <v>0.15894645963183701</v>
      </c>
      <c r="G75" s="471">
        <f>G26/('Revenues"0"'!G5+'Revenues"0"'!G11)</f>
        <v>0.17941504736279382</v>
      </c>
      <c r="H75" s="689">
        <f>G75</f>
        <v>0.17941504736279382</v>
      </c>
      <c r="I75" s="689">
        <f t="shared" ref="I75:U75" si="192">H75</f>
        <v>0.17941504736279382</v>
      </c>
      <c r="J75" s="689">
        <f t="shared" si="192"/>
        <v>0.17941504736279382</v>
      </c>
      <c r="K75" s="690">
        <f t="shared" si="192"/>
        <v>0.17941504736279382</v>
      </c>
      <c r="L75" s="690">
        <f t="shared" si="192"/>
        <v>0.17941504736279382</v>
      </c>
      <c r="M75" s="690">
        <f t="shared" si="192"/>
        <v>0.17941504736279382</v>
      </c>
      <c r="N75" s="690">
        <f t="shared" si="192"/>
        <v>0.17941504736279382</v>
      </c>
      <c r="O75" s="690">
        <f t="shared" si="192"/>
        <v>0.17941504736279382</v>
      </c>
      <c r="P75" s="690">
        <f t="shared" si="192"/>
        <v>0.17941504736279382</v>
      </c>
      <c r="Q75" s="690">
        <f t="shared" si="192"/>
        <v>0.17941504736279382</v>
      </c>
      <c r="R75" s="690">
        <f t="shared" si="192"/>
        <v>0.17941504736279382</v>
      </c>
      <c r="S75" s="690">
        <f t="shared" si="192"/>
        <v>0.17941504736279382</v>
      </c>
      <c r="T75" s="690">
        <f t="shared" si="192"/>
        <v>0.17941504736279382</v>
      </c>
      <c r="U75" s="690">
        <f t="shared" si="192"/>
        <v>0.17941504736279382</v>
      </c>
      <c r="V75" s="690">
        <f t="shared" ref="V75:AB75" si="193">U75</f>
        <v>0.17941504736279382</v>
      </c>
      <c r="W75" s="690">
        <f t="shared" si="193"/>
        <v>0.17941504736279382</v>
      </c>
      <c r="X75" s="690">
        <f t="shared" si="193"/>
        <v>0.17941504736279382</v>
      </c>
      <c r="Y75" s="690">
        <f t="shared" si="193"/>
        <v>0.17941504736279382</v>
      </c>
      <c r="Z75" s="690">
        <f t="shared" si="193"/>
        <v>0.17941504736279382</v>
      </c>
      <c r="AA75" s="690">
        <f t="shared" si="193"/>
        <v>0.17941504736279382</v>
      </c>
      <c r="AB75" s="690">
        <f t="shared" si="193"/>
        <v>0.17941504736279382</v>
      </c>
    </row>
    <row r="76" spans="2:28" s="682" customFormat="1">
      <c r="B76" s="552" t="s">
        <v>3043</v>
      </c>
      <c r="C76" s="471">
        <f>C31/'Revenues"0"'!C5</f>
        <v>7.5523577965362132E-2</v>
      </c>
      <c r="D76" s="471">
        <f>D31/'Revenues"0"'!D5</f>
        <v>7.1630784580155038E-2</v>
      </c>
      <c r="E76" s="471">
        <f>E31/'Revenues"0"'!E5</f>
        <v>7.7756303442687288E-2</v>
      </c>
      <c r="F76" s="471">
        <f>F31/'Revenues"0"'!F5</f>
        <v>8.4902437517699825E-2</v>
      </c>
      <c r="G76" s="617">
        <f>G31/'Revenues"0"'!G5</f>
        <v>9.6027964928789997E-2</v>
      </c>
      <c r="H76" s="683">
        <f>AVERAGE(F76:G76)</f>
        <v>9.0465201223244918E-2</v>
      </c>
      <c r="I76" s="683">
        <f t="shared" ref="I76:U76" si="194">H76</f>
        <v>9.0465201223244918E-2</v>
      </c>
      <c r="J76" s="683">
        <f t="shared" si="194"/>
        <v>9.0465201223244918E-2</v>
      </c>
      <c r="K76" s="682">
        <f t="shared" si="194"/>
        <v>9.0465201223244918E-2</v>
      </c>
      <c r="L76" s="682">
        <f t="shared" si="194"/>
        <v>9.0465201223244918E-2</v>
      </c>
      <c r="M76" s="682">
        <f t="shared" si="194"/>
        <v>9.0465201223244918E-2</v>
      </c>
      <c r="N76" s="682">
        <f t="shared" si="194"/>
        <v>9.0465201223244918E-2</v>
      </c>
      <c r="O76" s="682">
        <f t="shared" si="194"/>
        <v>9.0465201223244918E-2</v>
      </c>
      <c r="P76" s="682">
        <f t="shared" si="194"/>
        <v>9.0465201223244918E-2</v>
      </c>
      <c r="Q76" s="682">
        <f t="shared" si="194"/>
        <v>9.0465201223244918E-2</v>
      </c>
      <c r="R76" s="682">
        <f t="shared" si="194"/>
        <v>9.0465201223244918E-2</v>
      </c>
      <c r="S76" s="682">
        <f t="shared" si="194"/>
        <v>9.0465201223244918E-2</v>
      </c>
      <c r="T76" s="682">
        <f t="shared" si="194"/>
        <v>9.0465201223244918E-2</v>
      </c>
      <c r="U76" s="682">
        <f t="shared" si="194"/>
        <v>9.0465201223244918E-2</v>
      </c>
      <c r="V76" s="682">
        <f t="shared" ref="V76:AB76" si="195">U76</f>
        <v>9.0465201223244918E-2</v>
      </c>
      <c r="W76" s="682">
        <f t="shared" si="195"/>
        <v>9.0465201223244918E-2</v>
      </c>
      <c r="X76" s="682">
        <f t="shared" si="195"/>
        <v>9.0465201223244918E-2</v>
      </c>
      <c r="Y76" s="682">
        <f t="shared" si="195"/>
        <v>9.0465201223244918E-2</v>
      </c>
      <c r="Z76" s="682">
        <f t="shared" si="195"/>
        <v>9.0465201223244918E-2</v>
      </c>
      <c r="AA76" s="682">
        <f t="shared" si="195"/>
        <v>9.0465201223244918E-2</v>
      </c>
      <c r="AB76" s="682">
        <f t="shared" si="195"/>
        <v>9.0465201223244918E-2</v>
      </c>
    </row>
    <row r="77" spans="2:28" s="682" customFormat="1">
      <c r="B77" s="552" t="s">
        <v>3004</v>
      </c>
      <c r="C77" s="471"/>
      <c r="D77" s="471">
        <f>D32/C32-1</f>
        <v>0.22464504687809206</v>
      </c>
      <c r="E77" s="471">
        <f>E32/D32-1</f>
        <v>0.31661832697076919</v>
      </c>
      <c r="F77" s="471">
        <f>F32/E32-1</f>
        <v>-2.3604743404469497E-3</v>
      </c>
      <c r="G77" s="617">
        <f>G32/F32-1</f>
        <v>0.21689911259723571</v>
      </c>
      <c r="H77" s="683">
        <v>0.1</v>
      </c>
      <c r="I77" s="683">
        <v>0.05</v>
      </c>
      <c r="J77" s="683">
        <f t="shared" ref="J77:U77" si="196">J99</f>
        <v>0</v>
      </c>
      <c r="K77" s="682">
        <f t="shared" si="196"/>
        <v>0</v>
      </c>
      <c r="L77" s="682">
        <f t="shared" si="196"/>
        <v>0</v>
      </c>
      <c r="M77" s="682">
        <f t="shared" si="196"/>
        <v>0</v>
      </c>
      <c r="N77" s="682">
        <f t="shared" si="196"/>
        <v>0</v>
      </c>
      <c r="O77" s="682">
        <f t="shared" si="196"/>
        <v>0</v>
      </c>
      <c r="P77" s="682">
        <f t="shared" si="196"/>
        <v>0</v>
      </c>
      <c r="Q77" s="682">
        <f t="shared" si="196"/>
        <v>0</v>
      </c>
      <c r="R77" s="682">
        <f t="shared" si="196"/>
        <v>0</v>
      </c>
      <c r="S77" s="682">
        <f t="shared" si="196"/>
        <v>0</v>
      </c>
      <c r="T77" s="682">
        <f t="shared" si="196"/>
        <v>0</v>
      </c>
      <c r="U77" s="682">
        <f t="shared" si="196"/>
        <v>0</v>
      </c>
      <c r="V77" s="682">
        <f t="shared" ref="V77:AB77" si="197">V99</f>
        <v>0</v>
      </c>
      <c r="W77" s="682">
        <f t="shared" si="197"/>
        <v>0</v>
      </c>
      <c r="X77" s="682">
        <f t="shared" si="197"/>
        <v>0</v>
      </c>
      <c r="Y77" s="682">
        <f t="shared" si="197"/>
        <v>0</v>
      </c>
      <c r="Z77" s="682">
        <f t="shared" si="197"/>
        <v>0</v>
      </c>
      <c r="AA77" s="682">
        <f t="shared" si="197"/>
        <v>0</v>
      </c>
      <c r="AB77" s="682">
        <f t="shared" si="197"/>
        <v>0</v>
      </c>
    </row>
    <row r="78" spans="2:28" s="682" customFormat="1">
      <c r="B78" s="684" t="s">
        <v>3009</v>
      </c>
      <c r="C78" s="471"/>
      <c r="D78" s="471"/>
      <c r="E78" s="471"/>
      <c r="F78" s="471">
        <f>F33/E33-1</f>
        <v>0.13466028356466908</v>
      </c>
      <c r="G78" s="617">
        <f>G33/F33-1</f>
        <v>-6.3844775947673682E-2</v>
      </c>
      <c r="H78" s="683">
        <v>0.05</v>
      </c>
      <c r="I78" s="683">
        <v>0.05</v>
      </c>
      <c r="J78" s="683">
        <f t="shared" ref="J78:U78" si="198">J99</f>
        <v>0</v>
      </c>
      <c r="K78" s="682">
        <f t="shared" si="198"/>
        <v>0</v>
      </c>
      <c r="L78" s="682">
        <f t="shared" si="198"/>
        <v>0</v>
      </c>
      <c r="M78" s="682">
        <f t="shared" si="198"/>
        <v>0</v>
      </c>
      <c r="N78" s="682">
        <f t="shared" si="198"/>
        <v>0</v>
      </c>
      <c r="O78" s="682">
        <f t="shared" si="198"/>
        <v>0</v>
      </c>
      <c r="P78" s="682">
        <f t="shared" si="198"/>
        <v>0</v>
      </c>
      <c r="Q78" s="682">
        <f t="shared" si="198"/>
        <v>0</v>
      </c>
      <c r="R78" s="682">
        <f t="shared" si="198"/>
        <v>0</v>
      </c>
      <c r="S78" s="682">
        <f t="shared" si="198"/>
        <v>0</v>
      </c>
      <c r="T78" s="682">
        <f t="shared" si="198"/>
        <v>0</v>
      </c>
      <c r="U78" s="682">
        <f t="shared" si="198"/>
        <v>0</v>
      </c>
      <c r="V78" s="682">
        <f t="shared" ref="V78:AB78" si="199">V99</f>
        <v>0</v>
      </c>
      <c r="W78" s="682">
        <f t="shared" si="199"/>
        <v>0</v>
      </c>
      <c r="X78" s="682">
        <f t="shared" si="199"/>
        <v>0</v>
      </c>
      <c r="Y78" s="682">
        <f t="shared" si="199"/>
        <v>0</v>
      </c>
      <c r="Z78" s="682">
        <f t="shared" si="199"/>
        <v>0</v>
      </c>
      <c r="AA78" s="682">
        <f t="shared" si="199"/>
        <v>0</v>
      </c>
      <c r="AB78" s="682">
        <f t="shared" si="199"/>
        <v>0</v>
      </c>
    </row>
    <row r="79" spans="2:28" s="682" customFormat="1">
      <c r="B79" s="700" t="s">
        <v>3006</v>
      </c>
      <c r="C79" s="701"/>
      <c r="D79" s="701">
        <f>D34/C34-1</f>
        <v>-7.2700473600285198E-2</v>
      </c>
      <c r="E79" s="701">
        <f>E34/D34-1</f>
        <v>9.6568050240716463E-2</v>
      </c>
      <c r="F79" s="701">
        <f>F34/E34-1</f>
        <v>0.29694988120387267</v>
      </c>
      <c r="G79" s="617">
        <f>G34/F34-1</f>
        <v>7.0999221661357304E-2</v>
      </c>
      <c r="H79" s="702">
        <v>0.05</v>
      </c>
      <c r="I79" s="702">
        <v>0.03</v>
      </c>
      <c r="J79" s="702">
        <v>0.02</v>
      </c>
      <c r="K79" s="703">
        <f t="shared" ref="K79:U79" si="200">K99</f>
        <v>0</v>
      </c>
      <c r="L79" s="703">
        <f t="shared" si="200"/>
        <v>0</v>
      </c>
      <c r="M79" s="703">
        <f t="shared" si="200"/>
        <v>0</v>
      </c>
      <c r="N79" s="703">
        <f t="shared" si="200"/>
        <v>0</v>
      </c>
      <c r="O79" s="703">
        <f t="shared" si="200"/>
        <v>0</v>
      </c>
      <c r="P79" s="703">
        <f t="shared" si="200"/>
        <v>0</v>
      </c>
      <c r="Q79" s="703">
        <f t="shared" si="200"/>
        <v>0</v>
      </c>
      <c r="R79" s="703">
        <f t="shared" si="200"/>
        <v>0</v>
      </c>
      <c r="S79" s="703">
        <f t="shared" si="200"/>
        <v>0</v>
      </c>
      <c r="T79" s="703">
        <f t="shared" si="200"/>
        <v>0</v>
      </c>
      <c r="U79" s="703">
        <f t="shared" si="200"/>
        <v>0</v>
      </c>
      <c r="V79" s="703">
        <f t="shared" ref="V79:AB79" si="201">V99</f>
        <v>0</v>
      </c>
      <c r="W79" s="703">
        <f t="shared" si="201"/>
        <v>0</v>
      </c>
      <c r="X79" s="703">
        <f t="shared" si="201"/>
        <v>0</v>
      </c>
      <c r="Y79" s="703">
        <f t="shared" si="201"/>
        <v>0</v>
      </c>
      <c r="Z79" s="703">
        <f t="shared" si="201"/>
        <v>0</v>
      </c>
      <c r="AA79" s="703">
        <f t="shared" si="201"/>
        <v>0</v>
      </c>
      <c r="AB79" s="703">
        <f t="shared" si="201"/>
        <v>0</v>
      </c>
    </row>
    <row r="80" spans="2:28" s="682" customFormat="1">
      <c r="B80" s="699" t="s">
        <v>3040</v>
      </c>
      <c r="C80" s="695"/>
      <c r="D80" s="695"/>
      <c r="E80" s="695">
        <f>('Revenues"0"'!E27-E35)/'Revenues"0"'!E27</f>
        <v>0.13171485176363795</v>
      </c>
      <c r="F80" s="695">
        <f>('Revenues"0"'!F27-F35)/'Revenues"0"'!F27</f>
        <v>0.11246317900063461</v>
      </c>
      <c r="G80" s="696">
        <f>('Revenues"0"'!G27-G35)/'Revenues"0"'!G27</f>
        <v>9.0712100732757928E-2</v>
      </c>
      <c r="H80" s="697">
        <f>AVERAGE(E80:G80)</f>
        <v>0.1116300438323435</v>
      </c>
      <c r="I80" s="697">
        <f>H80</f>
        <v>0.1116300438323435</v>
      </c>
      <c r="J80" s="697">
        <f t="shared" ref="J80:U80" si="202">I80</f>
        <v>0.1116300438323435</v>
      </c>
      <c r="K80" s="694">
        <f t="shared" si="202"/>
        <v>0.1116300438323435</v>
      </c>
      <c r="L80" s="694">
        <f t="shared" si="202"/>
        <v>0.1116300438323435</v>
      </c>
      <c r="M80" s="694">
        <f t="shared" si="202"/>
        <v>0.1116300438323435</v>
      </c>
      <c r="N80" s="694">
        <f t="shared" si="202"/>
        <v>0.1116300438323435</v>
      </c>
      <c r="O80" s="694">
        <f t="shared" si="202"/>
        <v>0.1116300438323435</v>
      </c>
      <c r="P80" s="694">
        <f t="shared" si="202"/>
        <v>0.1116300438323435</v>
      </c>
      <c r="Q80" s="694">
        <f t="shared" si="202"/>
        <v>0.1116300438323435</v>
      </c>
      <c r="R80" s="694">
        <f t="shared" si="202"/>
        <v>0.1116300438323435</v>
      </c>
      <c r="S80" s="694">
        <f t="shared" si="202"/>
        <v>0.1116300438323435</v>
      </c>
      <c r="T80" s="694">
        <f t="shared" si="202"/>
        <v>0.1116300438323435</v>
      </c>
      <c r="U80" s="694">
        <f t="shared" si="202"/>
        <v>0.1116300438323435</v>
      </c>
      <c r="V80" s="694">
        <f t="shared" ref="V80:AB80" si="203">U80</f>
        <v>0.1116300438323435</v>
      </c>
      <c r="W80" s="694">
        <f t="shared" si="203"/>
        <v>0.1116300438323435</v>
      </c>
      <c r="X80" s="694">
        <f t="shared" si="203"/>
        <v>0.1116300438323435</v>
      </c>
      <c r="Y80" s="694">
        <f t="shared" si="203"/>
        <v>0.1116300438323435</v>
      </c>
      <c r="Z80" s="694">
        <f t="shared" si="203"/>
        <v>0.1116300438323435</v>
      </c>
      <c r="AA80" s="694">
        <f t="shared" si="203"/>
        <v>0.1116300438323435</v>
      </c>
      <c r="AB80" s="694">
        <f t="shared" si="203"/>
        <v>0.1116300438323435</v>
      </c>
    </row>
    <row r="81" spans="2:28" s="682" customFormat="1">
      <c r="B81" s="684" t="s">
        <v>3015</v>
      </c>
      <c r="C81" s="471"/>
      <c r="D81" s="471">
        <f t="shared" ref="D81:G87" si="204">D37/C37-1</f>
        <v>-6.8605740590788056E-4</v>
      </c>
      <c r="E81" s="471">
        <f t="shared" si="204"/>
        <v>-1.9990448824716234E-2</v>
      </c>
      <c r="F81" s="471">
        <f t="shared" si="204"/>
        <v>8.1969887423350762E-2</v>
      </c>
      <c r="G81" s="617">
        <f t="shared" si="204"/>
        <v>-0.25798662799498007</v>
      </c>
      <c r="H81" s="683">
        <f>Assumtions!C34</f>
        <v>0.1</v>
      </c>
      <c r="I81" s="683">
        <f>I$99</f>
        <v>0</v>
      </c>
      <c r="J81" s="683">
        <f>J$99</f>
        <v>0</v>
      </c>
      <c r="K81" s="682">
        <f t="shared" ref="K81:AB87" si="205">K$99</f>
        <v>0</v>
      </c>
      <c r="L81" s="682">
        <f t="shared" si="205"/>
        <v>0</v>
      </c>
      <c r="M81" s="682">
        <f t="shared" si="205"/>
        <v>0</v>
      </c>
      <c r="N81" s="682">
        <f t="shared" si="205"/>
        <v>0</v>
      </c>
      <c r="O81" s="682">
        <f t="shared" si="205"/>
        <v>0</v>
      </c>
      <c r="P81" s="682">
        <f t="shared" si="205"/>
        <v>0</v>
      </c>
      <c r="Q81" s="682">
        <f t="shared" si="205"/>
        <v>0</v>
      </c>
      <c r="R81" s="682">
        <f t="shared" si="205"/>
        <v>0</v>
      </c>
      <c r="S81" s="682">
        <f t="shared" si="205"/>
        <v>0</v>
      </c>
      <c r="T81" s="682">
        <f t="shared" si="205"/>
        <v>0</v>
      </c>
      <c r="U81" s="682">
        <f t="shared" si="205"/>
        <v>0</v>
      </c>
      <c r="V81" s="682">
        <f t="shared" si="205"/>
        <v>0</v>
      </c>
      <c r="W81" s="682">
        <f t="shared" si="205"/>
        <v>0</v>
      </c>
      <c r="X81" s="682">
        <f t="shared" si="205"/>
        <v>0</v>
      </c>
      <c r="Y81" s="682">
        <f t="shared" si="205"/>
        <v>0</v>
      </c>
      <c r="Z81" s="682">
        <f t="shared" si="205"/>
        <v>0</v>
      </c>
      <c r="AA81" s="682">
        <f t="shared" si="205"/>
        <v>0</v>
      </c>
      <c r="AB81" s="682">
        <f t="shared" si="205"/>
        <v>0</v>
      </c>
    </row>
    <row r="82" spans="2:28" s="682" customFormat="1">
      <c r="B82" s="684" t="s">
        <v>3016</v>
      </c>
      <c r="C82" s="471"/>
      <c r="D82" s="471">
        <f t="shared" si="204"/>
        <v>0.56926027191120721</v>
      </c>
      <c r="E82" s="471">
        <f t="shared" si="204"/>
        <v>1.0293425835777965</v>
      </c>
      <c r="F82" s="471">
        <f t="shared" si="204"/>
        <v>-0.29240495992844528</v>
      </c>
      <c r="G82" s="617">
        <f t="shared" si="204"/>
        <v>0.71575321248811807</v>
      </c>
      <c r="H82" s="683">
        <v>0.05</v>
      </c>
      <c r="I82" s="683">
        <f t="shared" ref="I82:X87" si="206">I$99</f>
        <v>0</v>
      </c>
      <c r="J82" s="683">
        <f t="shared" si="206"/>
        <v>0</v>
      </c>
      <c r="K82" s="682">
        <f t="shared" si="206"/>
        <v>0</v>
      </c>
      <c r="L82" s="682">
        <f t="shared" si="206"/>
        <v>0</v>
      </c>
      <c r="M82" s="682">
        <f t="shared" si="206"/>
        <v>0</v>
      </c>
      <c r="N82" s="682">
        <f t="shared" si="206"/>
        <v>0</v>
      </c>
      <c r="O82" s="682">
        <f t="shared" si="206"/>
        <v>0</v>
      </c>
      <c r="P82" s="682">
        <f t="shared" si="206"/>
        <v>0</v>
      </c>
      <c r="Q82" s="682">
        <f t="shared" si="206"/>
        <v>0</v>
      </c>
      <c r="R82" s="682">
        <f t="shared" si="206"/>
        <v>0</v>
      </c>
      <c r="S82" s="682">
        <f t="shared" si="206"/>
        <v>0</v>
      </c>
      <c r="T82" s="682">
        <f t="shared" si="206"/>
        <v>0</v>
      </c>
      <c r="U82" s="682">
        <f t="shared" si="206"/>
        <v>0</v>
      </c>
      <c r="V82" s="682">
        <f t="shared" si="206"/>
        <v>0</v>
      </c>
      <c r="W82" s="682">
        <f t="shared" si="206"/>
        <v>0</v>
      </c>
      <c r="X82" s="682">
        <f t="shared" si="206"/>
        <v>0</v>
      </c>
      <c r="Y82" s="682">
        <f t="shared" si="205"/>
        <v>0</v>
      </c>
      <c r="Z82" s="682">
        <f t="shared" si="205"/>
        <v>0</v>
      </c>
      <c r="AA82" s="682">
        <f t="shared" si="205"/>
        <v>0</v>
      </c>
      <c r="AB82" s="682">
        <f t="shared" si="205"/>
        <v>0</v>
      </c>
    </row>
    <row r="83" spans="2:28" s="682" customFormat="1">
      <c r="B83" s="684" t="s">
        <v>1944</v>
      </c>
      <c r="C83" s="471"/>
      <c r="D83" s="471">
        <f t="shared" si="204"/>
        <v>-6.1260381213592563E-3</v>
      </c>
      <c r="E83" s="471">
        <f t="shared" si="204"/>
        <v>3.3133592941074763E-3</v>
      </c>
      <c r="F83" s="471">
        <f t="shared" si="204"/>
        <v>0.33492297287670869</v>
      </c>
      <c r="G83" s="617">
        <f t="shared" si="204"/>
        <v>-0.39092372174210355</v>
      </c>
      <c r="H83" s="683">
        <v>-1</v>
      </c>
      <c r="I83" s="683">
        <f t="shared" si="206"/>
        <v>0</v>
      </c>
      <c r="J83" s="683">
        <f t="shared" si="206"/>
        <v>0</v>
      </c>
      <c r="K83" s="682">
        <f t="shared" si="206"/>
        <v>0</v>
      </c>
      <c r="L83" s="682">
        <f t="shared" si="206"/>
        <v>0</v>
      </c>
      <c r="M83" s="682">
        <f t="shared" si="206"/>
        <v>0</v>
      </c>
      <c r="N83" s="682">
        <f t="shared" si="206"/>
        <v>0</v>
      </c>
      <c r="O83" s="682">
        <f t="shared" si="206"/>
        <v>0</v>
      </c>
      <c r="P83" s="682">
        <f t="shared" si="206"/>
        <v>0</v>
      </c>
      <c r="Q83" s="682">
        <f t="shared" si="206"/>
        <v>0</v>
      </c>
      <c r="R83" s="682">
        <f t="shared" si="206"/>
        <v>0</v>
      </c>
      <c r="S83" s="682">
        <f t="shared" si="206"/>
        <v>0</v>
      </c>
      <c r="T83" s="682">
        <f t="shared" si="206"/>
        <v>0</v>
      </c>
      <c r="U83" s="682">
        <f t="shared" si="206"/>
        <v>0</v>
      </c>
      <c r="V83" s="682">
        <f t="shared" si="205"/>
        <v>0</v>
      </c>
      <c r="W83" s="682">
        <f t="shared" si="205"/>
        <v>0</v>
      </c>
      <c r="X83" s="682">
        <f t="shared" si="205"/>
        <v>0</v>
      </c>
      <c r="Y83" s="682">
        <f t="shared" si="205"/>
        <v>0</v>
      </c>
      <c r="Z83" s="682">
        <f t="shared" si="205"/>
        <v>0</v>
      </c>
      <c r="AA83" s="682">
        <f t="shared" si="205"/>
        <v>0</v>
      </c>
      <c r="AB83" s="682">
        <f t="shared" si="205"/>
        <v>0</v>
      </c>
    </row>
    <row r="84" spans="2:28" s="682" customFormat="1">
      <c r="B84" s="684" t="s">
        <v>3017</v>
      </c>
      <c r="C84" s="471"/>
      <c r="D84" s="471">
        <f t="shared" si="204"/>
        <v>0.20375193960612892</v>
      </c>
      <c r="E84" s="471">
        <f t="shared" si="204"/>
        <v>9.138305928232926E-2</v>
      </c>
      <c r="F84" s="471">
        <f t="shared" si="204"/>
        <v>-4.6642968452674904E-2</v>
      </c>
      <c r="G84" s="617">
        <f t="shared" si="204"/>
        <v>0.14780003001467779</v>
      </c>
      <c r="H84" s="683">
        <v>0.05</v>
      </c>
      <c r="I84" s="683">
        <f t="shared" si="206"/>
        <v>0</v>
      </c>
      <c r="J84" s="683">
        <f t="shared" si="206"/>
        <v>0</v>
      </c>
      <c r="K84" s="682">
        <f t="shared" si="206"/>
        <v>0</v>
      </c>
      <c r="L84" s="682">
        <f t="shared" si="206"/>
        <v>0</v>
      </c>
      <c r="M84" s="682">
        <f t="shared" si="206"/>
        <v>0</v>
      </c>
      <c r="N84" s="682">
        <f t="shared" si="206"/>
        <v>0</v>
      </c>
      <c r="O84" s="682">
        <f t="shared" si="206"/>
        <v>0</v>
      </c>
      <c r="P84" s="682">
        <f t="shared" si="206"/>
        <v>0</v>
      </c>
      <c r="Q84" s="682">
        <f t="shared" si="206"/>
        <v>0</v>
      </c>
      <c r="R84" s="682">
        <f t="shared" si="206"/>
        <v>0</v>
      </c>
      <c r="S84" s="682">
        <f t="shared" si="206"/>
        <v>0</v>
      </c>
      <c r="T84" s="682">
        <f t="shared" si="206"/>
        <v>0</v>
      </c>
      <c r="U84" s="682">
        <f t="shared" si="206"/>
        <v>0</v>
      </c>
      <c r="V84" s="682">
        <f t="shared" si="205"/>
        <v>0</v>
      </c>
      <c r="W84" s="682">
        <f t="shared" si="205"/>
        <v>0</v>
      </c>
      <c r="X84" s="682">
        <f t="shared" si="205"/>
        <v>0</v>
      </c>
      <c r="Y84" s="682">
        <f t="shared" si="205"/>
        <v>0</v>
      </c>
      <c r="Z84" s="682">
        <f t="shared" si="205"/>
        <v>0</v>
      </c>
      <c r="AA84" s="682">
        <f t="shared" si="205"/>
        <v>0</v>
      </c>
      <c r="AB84" s="682">
        <f t="shared" si="205"/>
        <v>0</v>
      </c>
    </row>
    <row r="85" spans="2:28" s="682" customFormat="1">
      <c r="B85" s="684" t="s">
        <v>3018</v>
      </c>
      <c r="C85" s="471"/>
      <c r="D85" s="471">
        <f t="shared" si="204"/>
        <v>-1.4375236878084729E-3</v>
      </c>
      <c r="E85" s="471">
        <f t="shared" si="204"/>
        <v>0.19526010948143679</v>
      </c>
      <c r="F85" s="471">
        <f t="shared" si="204"/>
        <v>0.31683563917252977</v>
      </c>
      <c r="G85" s="617">
        <f t="shared" si="204"/>
        <v>6.0976308627118447E-2</v>
      </c>
      <c r="H85" s="683">
        <v>0.05</v>
      </c>
      <c r="I85" s="683">
        <f t="shared" si="206"/>
        <v>0</v>
      </c>
      <c r="J85" s="683">
        <f t="shared" si="206"/>
        <v>0</v>
      </c>
      <c r="K85" s="682">
        <f t="shared" si="206"/>
        <v>0</v>
      </c>
      <c r="L85" s="682">
        <f t="shared" si="206"/>
        <v>0</v>
      </c>
      <c r="M85" s="682">
        <f t="shared" si="206"/>
        <v>0</v>
      </c>
      <c r="N85" s="682">
        <f t="shared" si="206"/>
        <v>0</v>
      </c>
      <c r="O85" s="682">
        <f t="shared" si="206"/>
        <v>0</v>
      </c>
      <c r="P85" s="682">
        <f t="shared" si="206"/>
        <v>0</v>
      </c>
      <c r="Q85" s="682">
        <f t="shared" si="206"/>
        <v>0</v>
      </c>
      <c r="R85" s="682">
        <f t="shared" si="206"/>
        <v>0</v>
      </c>
      <c r="S85" s="682">
        <f t="shared" si="206"/>
        <v>0</v>
      </c>
      <c r="T85" s="682">
        <f t="shared" si="206"/>
        <v>0</v>
      </c>
      <c r="U85" s="682">
        <f t="shared" si="206"/>
        <v>0</v>
      </c>
      <c r="V85" s="682">
        <f t="shared" si="205"/>
        <v>0</v>
      </c>
      <c r="W85" s="682">
        <f t="shared" si="205"/>
        <v>0</v>
      </c>
      <c r="X85" s="682">
        <f t="shared" si="205"/>
        <v>0</v>
      </c>
      <c r="Y85" s="682">
        <f t="shared" si="205"/>
        <v>0</v>
      </c>
      <c r="Z85" s="682">
        <f t="shared" si="205"/>
        <v>0</v>
      </c>
      <c r="AA85" s="682">
        <f t="shared" si="205"/>
        <v>0</v>
      </c>
      <c r="AB85" s="682">
        <f t="shared" si="205"/>
        <v>0</v>
      </c>
    </row>
    <row r="86" spans="2:28" s="682" customFormat="1">
      <c r="B86" s="684" t="s">
        <v>3019</v>
      </c>
      <c r="C86" s="471"/>
      <c r="D86" s="471">
        <f t="shared" si="204"/>
        <v>0.11648216992850902</v>
      </c>
      <c r="E86" s="471">
        <f t="shared" si="204"/>
        <v>1.6010873117878299E-2</v>
      </c>
      <c r="F86" s="471">
        <f t="shared" si="204"/>
        <v>6.6119436987652325E-2</v>
      </c>
      <c r="G86" s="617">
        <f t="shared" si="204"/>
        <v>0.41488083512698237</v>
      </c>
      <c r="H86" s="683">
        <v>0.05</v>
      </c>
      <c r="I86" s="683">
        <f t="shared" si="206"/>
        <v>0</v>
      </c>
      <c r="J86" s="683">
        <f t="shared" si="206"/>
        <v>0</v>
      </c>
      <c r="K86" s="682">
        <f t="shared" si="206"/>
        <v>0</v>
      </c>
      <c r="L86" s="682">
        <f t="shared" si="206"/>
        <v>0</v>
      </c>
      <c r="M86" s="682">
        <f t="shared" si="206"/>
        <v>0</v>
      </c>
      <c r="N86" s="682">
        <f t="shared" si="206"/>
        <v>0</v>
      </c>
      <c r="O86" s="682">
        <f t="shared" si="206"/>
        <v>0</v>
      </c>
      <c r="P86" s="682">
        <f t="shared" si="206"/>
        <v>0</v>
      </c>
      <c r="Q86" s="682">
        <f t="shared" si="206"/>
        <v>0</v>
      </c>
      <c r="R86" s="682">
        <f t="shared" si="206"/>
        <v>0</v>
      </c>
      <c r="S86" s="682">
        <f t="shared" si="206"/>
        <v>0</v>
      </c>
      <c r="T86" s="682">
        <f t="shared" si="206"/>
        <v>0</v>
      </c>
      <c r="U86" s="682">
        <f t="shared" si="206"/>
        <v>0</v>
      </c>
      <c r="V86" s="682">
        <f t="shared" si="205"/>
        <v>0</v>
      </c>
      <c r="W86" s="682">
        <f t="shared" si="205"/>
        <v>0</v>
      </c>
      <c r="X86" s="682">
        <f t="shared" si="205"/>
        <v>0</v>
      </c>
      <c r="Y86" s="682">
        <f t="shared" si="205"/>
        <v>0</v>
      </c>
      <c r="Z86" s="682">
        <f t="shared" si="205"/>
        <v>0</v>
      </c>
      <c r="AA86" s="682">
        <f t="shared" si="205"/>
        <v>0</v>
      </c>
      <c r="AB86" s="682">
        <f t="shared" si="205"/>
        <v>0</v>
      </c>
    </row>
    <row r="87" spans="2:28" s="682" customFormat="1">
      <c r="B87" s="699" t="s">
        <v>3026</v>
      </c>
      <c r="C87" s="695"/>
      <c r="D87" s="695">
        <f t="shared" si="204"/>
        <v>3.9372263984507994E-2</v>
      </c>
      <c r="E87" s="695">
        <f t="shared" si="204"/>
        <v>0.17313093462328166</v>
      </c>
      <c r="F87" s="695">
        <f t="shared" si="204"/>
        <v>0.13178680850600943</v>
      </c>
      <c r="G87" s="696">
        <f t="shared" si="204"/>
        <v>0.30225239317839736</v>
      </c>
      <c r="H87" s="697">
        <v>0.1</v>
      </c>
      <c r="I87" s="697">
        <f t="shared" si="206"/>
        <v>0</v>
      </c>
      <c r="J87" s="697">
        <f t="shared" si="206"/>
        <v>0</v>
      </c>
      <c r="K87" s="694">
        <f t="shared" si="206"/>
        <v>0</v>
      </c>
      <c r="L87" s="694">
        <f t="shared" si="206"/>
        <v>0</v>
      </c>
      <c r="M87" s="694">
        <f t="shared" si="206"/>
        <v>0</v>
      </c>
      <c r="N87" s="694">
        <f t="shared" si="206"/>
        <v>0</v>
      </c>
      <c r="O87" s="694">
        <f t="shared" si="206"/>
        <v>0</v>
      </c>
      <c r="P87" s="694">
        <f t="shared" si="206"/>
        <v>0</v>
      </c>
      <c r="Q87" s="694">
        <f t="shared" si="206"/>
        <v>0</v>
      </c>
      <c r="R87" s="694">
        <f t="shared" si="206"/>
        <v>0</v>
      </c>
      <c r="S87" s="694">
        <f t="shared" si="206"/>
        <v>0</v>
      </c>
      <c r="T87" s="694">
        <f t="shared" si="206"/>
        <v>0</v>
      </c>
      <c r="U87" s="694">
        <f t="shared" si="206"/>
        <v>0</v>
      </c>
      <c r="V87" s="694">
        <f t="shared" si="205"/>
        <v>0</v>
      </c>
      <c r="W87" s="694">
        <f t="shared" si="205"/>
        <v>0</v>
      </c>
      <c r="X87" s="694">
        <f t="shared" si="205"/>
        <v>0</v>
      </c>
      <c r="Y87" s="694">
        <f t="shared" si="205"/>
        <v>0</v>
      </c>
      <c r="Z87" s="694">
        <f t="shared" si="205"/>
        <v>0</v>
      </c>
      <c r="AA87" s="694">
        <f t="shared" si="205"/>
        <v>0</v>
      </c>
      <c r="AB87" s="694">
        <f t="shared" si="205"/>
        <v>0</v>
      </c>
    </row>
    <row r="88" spans="2:28">
      <c r="B88" s="552" t="s">
        <v>3020</v>
      </c>
      <c r="C88" s="471"/>
      <c r="D88" s="471">
        <f>D45/C45-1</f>
        <v>-6.4462955846890102E-3</v>
      </c>
      <c r="E88" s="471">
        <f t="shared" ref="E88:G88" si="207">E45/D45-1</f>
        <v>0.37076867122393931</v>
      </c>
      <c r="F88" s="471">
        <f t="shared" si="207"/>
        <v>0.30500660977639593</v>
      </c>
      <c r="G88" s="617">
        <f t="shared" si="207"/>
        <v>-0.15695222642510165</v>
      </c>
      <c r="H88" s="618">
        <f t="shared" ref="H88:I88" si="208">H$99</f>
        <v>0</v>
      </c>
      <c r="I88" s="618">
        <f t="shared" si="208"/>
        <v>0</v>
      </c>
      <c r="J88" s="332">
        <f>J$99</f>
        <v>0</v>
      </c>
      <c r="K88" s="332">
        <f t="shared" ref="K88:AB88" si="209">K$99</f>
        <v>0</v>
      </c>
      <c r="L88" s="332">
        <f t="shared" si="209"/>
        <v>0</v>
      </c>
      <c r="M88" s="332">
        <f t="shared" si="209"/>
        <v>0</v>
      </c>
      <c r="N88" s="332">
        <f t="shared" si="209"/>
        <v>0</v>
      </c>
      <c r="O88" s="332">
        <f t="shared" si="209"/>
        <v>0</v>
      </c>
      <c r="P88" s="332">
        <f t="shared" si="209"/>
        <v>0</v>
      </c>
      <c r="Q88" s="332">
        <f t="shared" si="209"/>
        <v>0</v>
      </c>
      <c r="R88" s="332">
        <f t="shared" si="209"/>
        <v>0</v>
      </c>
      <c r="S88" s="332">
        <f t="shared" si="209"/>
        <v>0</v>
      </c>
      <c r="T88" s="332">
        <f t="shared" si="209"/>
        <v>0</v>
      </c>
      <c r="U88" s="332">
        <f t="shared" si="209"/>
        <v>0</v>
      </c>
      <c r="V88" s="332">
        <f t="shared" si="209"/>
        <v>0</v>
      </c>
      <c r="W88" s="332">
        <f t="shared" si="209"/>
        <v>0</v>
      </c>
      <c r="X88" s="332">
        <f t="shared" si="209"/>
        <v>0</v>
      </c>
      <c r="Y88" s="332">
        <f t="shared" si="209"/>
        <v>0</v>
      </c>
      <c r="Z88" s="332">
        <f t="shared" si="209"/>
        <v>0</v>
      </c>
      <c r="AA88" s="332">
        <f t="shared" si="209"/>
        <v>0</v>
      </c>
      <c r="AB88" s="332">
        <f t="shared" si="209"/>
        <v>0</v>
      </c>
    </row>
    <row r="89" spans="2:28">
      <c r="B89" s="552" t="s">
        <v>3044</v>
      </c>
      <c r="C89" s="471">
        <f>C46/(SUM(C36,C7))</f>
        <v>0.18736694800023182</v>
      </c>
      <c r="D89" s="471">
        <f>D46/(SUM(D36,D7))</f>
        <v>0.18755114566557407</v>
      </c>
      <c r="E89" s="471">
        <f>E46/(SUM(E36,E7))</f>
        <v>0.1781543183297869</v>
      </c>
      <c r="F89" s="471">
        <f>F46/(SUM(F36,F7))</f>
        <v>0.15573843090384837</v>
      </c>
      <c r="G89" s="617">
        <f>G46/(SUM(G36,G7))</f>
        <v>0.16553361739999328</v>
      </c>
      <c r="H89" s="618">
        <f>G89</f>
        <v>0.16553361739999328</v>
      </c>
      <c r="I89" s="618">
        <f t="shared" ref="I89:U89" si="210">H89</f>
        <v>0.16553361739999328</v>
      </c>
      <c r="J89" s="332">
        <f t="shared" si="210"/>
        <v>0.16553361739999328</v>
      </c>
      <c r="K89" s="332">
        <f t="shared" si="210"/>
        <v>0.16553361739999328</v>
      </c>
      <c r="L89" s="332">
        <f t="shared" si="210"/>
        <v>0.16553361739999328</v>
      </c>
      <c r="M89" s="332">
        <f t="shared" si="210"/>
        <v>0.16553361739999328</v>
      </c>
      <c r="N89" s="332">
        <f t="shared" si="210"/>
        <v>0.16553361739999328</v>
      </c>
      <c r="O89" s="332">
        <f t="shared" si="210"/>
        <v>0.16553361739999328</v>
      </c>
      <c r="P89" s="332">
        <f t="shared" si="210"/>
        <v>0.16553361739999328</v>
      </c>
      <c r="Q89" s="332">
        <f t="shared" si="210"/>
        <v>0.16553361739999328</v>
      </c>
      <c r="R89" s="332">
        <f t="shared" si="210"/>
        <v>0.16553361739999328</v>
      </c>
      <c r="S89" s="332">
        <f t="shared" si="210"/>
        <v>0.16553361739999328</v>
      </c>
      <c r="T89" s="332">
        <f t="shared" si="210"/>
        <v>0.16553361739999328</v>
      </c>
      <c r="U89" s="332">
        <f t="shared" si="210"/>
        <v>0.16553361739999328</v>
      </c>
      <c r="V89" s="332">
        <f t="shared" ref="V89:AB89" si="211">U89</f>
        <v>0.16553361739999328</v>
      </c>
      <c r="W89" s="332">
        <f t="shared" si="211"/>
        <v>0.16553361739999328</v>
      </c>
      <c r="X89" s="332">
        <f t="shared" si="211"/>
        <v>0.16553361739999328</v>
      </c>
      <c r="Y89" s="332">
        <f t="shared" si="211"/>
        <v>0.16553361739999328</v>
      </c>
      <c r="Z89" s="332">
        <f t="shared" si="211"/>
        <v>0.16553361739999328</v>
      </c>
      <c r="AA89" s="332">
        <f t="shared" si="211"/>
        <v>0.16553361739999328</v>
      </c>
      <c r="AB89" s="332">
        <f t="shared" si="211"/>
        <v>0.16553361739999328</v>
      </c>
    </row>
    <row r="90" spans="2:28">
      <c r="B90" s="552" t="s">
        <v>3027</v>
      </c>
      <c r="C90" s="471"/>
      <c r="D90" s="471">
        <f t="shared" ref="D90" si="212">D47/C47-1</f>
        <v>1.8328379630599967E-2</v>
      </c>
      <c r="E90" s="471">
        <f t="shared" ref="E90:G90" si="213">E47/D47-1</f>
        <v>3.7414907860535251E-2</v>
      </c>
      <c r="F90" s="471">
        <f t="shared" si="213"/>
        <v>4.4671629887846453E-2</v>
      </c>
      <c r="G90" s="617">
        <f t="shared" si="213"/>
        <v>1.0291113883773573E-2</v>
      </c>
      <c r="H90" s="618">
        <v>0.01</v>
      </c>
      <c r="I90" s="618">
        <f t="shared" ref="I90:U90" si="214">I$99</f>
        <v>0</v>
      </c>
      <c r="J90" s="332">
        <f t="shared" si="214"/>
        <v>0</v>
      </c>
      <c r="K90" s="332">
        <f t="shared" si="214"/>
        <v>0</v>
      </c>
      <c r="L90" s="332">
        <f t="shared" si="214"/>
        <v>0</v>
      </c>
      <c r="M90" s="332">
        <f t="shared" si="214"/>
        <v>0</v>
      </c>
      <c r="N90" s="332">
        <f t="shared" si="214"/>
        <v>0</v>
      </c>
      <c r="O90" s="332">
        <f t="shared" si="214"/>
        <v>0</v>
      </c>
      <c r="P90" s="332">
        <f t="shared" si="214"/>
        <v>0</v>
      </c>
      <c r="Q90" s="332">
        <f t="shared" si="214"/>
        <v>0</v>
      </c>
      <c r="R90" s="332">
        <f t="shared" si="214"/>
        <v>0</v>
      </c>
      <c r="S90" s="332">
        <f t="shared" si="214"/>
        <v>0</v>
      </c>
      <c r="T90" s="332">
        <f t="shared" si="214"/>
        <v>0</v>
      </c>
      <c r="U90" s="332">
        <f t="shared" si="214"/>
        <v>0</v>
      </c>
      <c r="V90" s="332">
        <f t="shared" ref="V90:AB95" si="215">V$99</f>
        <v>0</v>
      </c>
      <c r="W90" s="332">
        <f t="shared" si="215"/>
        <v>0</v>
      </c>
      <c r="X90" s="332">
        <f t="shared" si="215"/>
        <v>0</v>
      </c>
      <c r="Y90" s="332">
        <f t="shared" si="215"/>
        <v>0</v>
      </c>
      <c r="Z90" s="332">
        <f t="shared" si="215"/>
        <v>0</v>
      </c>
      <c r="AA90" s="332">
        <f t="shared" si="215"/>
        <v>0</v>
      </c>
      <c r="AB90" s="332">
        <f t="shared" si="215"/>
        <v>0</v>
      </c>
    </row>
    <row r="91" spans="2:28">
      <c r="B91" s="552" t="s">
        <v>3028</v>
      </c>
      <c r="C91" s="471"/>
      <c r="D91" s="471"/>
      <c r="E91" s="471"/>
      <c r="F91" s="471"/>
      <c r="G91" s="617">
        <f t="shared" ref="G91" si="216">G48/F48-1</f>
        <v>0.4300897204351235</v>
      </c>
      <c r="H91" s="618">
        <v>-1</v>
      </c>
      <c r="I91" s="618">
        <v>0</v>
      </c>
      <c r="J91" s="332">
        <f t="shared" ref="J91:U95" si="217">J$99</f>
        <v>0</v>
      </c>
      <c r="K91" s="332">
        <f t="shared" si="217"/>
        <v>0</v>
      </c>
      <c r="L91" s="332">
        <f t="shared" si="217"/>
        <v>0</v>
      </c>
      <c r="M91" s="332">
        <f t="shared" si="217"/>
        <v>0</v>
      </c>
      <c r="N91" s="332">
        <f t="shared" si="217"/>
        <v>0</v>
      </c>
      <c r="O91" s="332">
        <f t="shared" si="217"/>
        <v>0</v>
      </c>
      <c r="P91" s="332">
        <f t="shared" si="217"/>
        <v>0</v>
      </c>
      <c r="Q91" s="332">
        <f t="shared" si="217"/>
        <v>0</v>
      </c>
      <c r="R91" s="332">
        <f t="shared" si="217"/>
        <v>0</v>
      </c>
      <c r="S91" s="332">
        <f t="shared" si="217"/>
        <v>0</v>
      </c>
      <c r="T91" s="332">
        <f t="shared" si="217"/>
        <v>0</v>
      </c>
      <c r="U91" s="332">
        <f t="shared" si="217"/>
        <v>0</v>
      </c>
      <c r="V91" s="332">
        <f t="shared" si="215"/>
        <v>0</v>
      </c>
      <c r="W91" s="332">
        <f t="shared" si="215"/>
        <v>0</v>
      </c>
      <c r="X91" s="332">
        <f t="shared" si="215"/>
        <v>0</v>
      </c>
      <c r="Y91" s="332">
        <f t="shared" si="215"/>
        <v>0</v>
      </c>
      <c r="Z91" s="332">
        <f t="shared" si="215"/>
        <v>0</v>
      </c>
      <c r="AA91" s="332">
        <f t="shared" si="215"/>
        <v>0</v>
      </c>
      <c r="AB91" s="332">
        <f t="shared" si="215"/>
        <v>0</v>
      </c>
    </row>
    <row r="92" spans="2:28" s="682" customFormat="1">
      <c r="B92" s="680" t="s">
        <v>3030</v>
      </c>
      <c r="C92" s="471"/>
      <c r="D92" s="471">
        <f t="shared" ref="D92:G95" si="218">D50/C50-1</f>
        <v>11.17458645</v>
      </c>
      <c r="E92" s="471">
        <f t="shared" si="218"/>
        <v>-0.66371870068736505</v>
      </c>
      <c r="F92" s="471">
        <f t="shared" si="218"/>
        <v>9.7967395773280987</v>
      </c>
      <c r="G92" s="617">
        <f t="shared" si="218"/>
        <v>-0.86441602952071495</v>
      </c>
      <c r="H92" s="683">
        <v>-0.7</v>
      </c>
      <c r="I92" s="683">
        <f>I$99</f>
        <v>0</v>
      </c>
      <c r="J92" s="682">
        <f t="shared" si="217"/>
        <v>0</v>
      </c>
      <c r="K92" s="682">
        <f t="shared" si="217"/>
        <v>0</v>
      </c>
      <c r="L92" s="682">
        <f t="shared" si="217"/>
        <v>0</v>
      </c>
      <c r="M92" s="682">
        <f t="shared" si="217"/>
        <v>0</v>
      </c>
      <c r="N92" s="682">
        <f t="shared" si="217"/>
        <v>0</v>
      </c>
      <c r="O92" s="682">
        <f t="shared" si="217"/>
        <v>0</v>
      </c>
      <c r="P92" s="682">
        <f t="shared" si="217"/>
        <v>0</v>
      </c>
      <c r="Q92" s="682">
        <f t="shared" si="217"/>
        <v>0</v>
      </c>
      <c r="R92" s="682">
        <f t="shared" si="217"/>
        <v>0</v>
      </c>
      <c r="S92" s="682">
        <f t="shared" si="217"/>
        <v>0</v>
      </c>
      <c r="T92" s="682">
        <f t="shared" si="217"/>
        <v>0</v>
      </c>
      <c r="U92" s="682">
        <f t="shared" si="217"/>
        <v>0</v>
      </c>
      <c r="V92" s="682">
        <f t="shared" si="215"/>
        <v>0</v>
      </c>
      <c r="W92" s="682">
        <f t="shared" si="215"/>
        <v>0</v>
      </c>
      <c r="X92" s="682">
        <f t="shared" si="215"/>
        <v>0</v>
      </c>
      <c r="Y92" s="682">
        <f t="shared" si="215"/>
        <v>0</v>
      </c>
      <c r="Z92" s="682">
        <f t="shared" si="215"/>
        <v>0</v>
      </c>
      <c r="AA92" s="682">
        <f t="shared" si="215"/>
        <v>0</v>
      </c>
      <c r="AB92" s="682">
        <f t="shared" si="215"/>
        <v>0</v>
      </c>
    </row>
    <row r="93" spans="2:28" s="682" customFormat="1">
      <c r="B93" s="680" t="s">
        <v>3031</v>
      </c>
      <c r="C93" s="471"/>
      <c r="D93" s="471">
        <f t="shared" si="218"/>
        <v>-0.87545307906120817</v>
      </c>
      <c r="E93" s="471">
        <f t="shared" si="218"/>
        <v>1.9697920183549518</v>
      </c>
      <c r="F93" s="471">
        <f t="shared" si="218"/>
        <v>-0.83375099321557355</v>
      </c>
      <c r="G93" s="617">
        <f t="shared" si="218"/>
        <v>259.97877941176472</v>
      </c>
      <c r="H93" s="683">
        <v>-0.95</v>
      </c>
      <c r="I93" s="683">
        <f>I$99</f>
        <v>0</v>
      </c>
      <c r="J93" s="682">
        <f t="shared" si="217"/>
        <v>0</v>
      </c>
      <c r="K93" s="682">
        <f t="shared" si="217"/>
        <v>0</v>
      </c>
      <c r="L93" s="682">
        <f t="shared" si="217"/>
        <v>0</v>
      </c>
      <c r="M93" s="682">
        <f t="shared" si="217"/>
        <v>0</v>
      </c>
      <c r="N93" s="682">
        <f t="shared" si="217"/>
        <v>0</v>
      </c>
      <c r="O93" s="682">
        <f t="shared" si="217"/>
        <v>0</v>
      </c>
      <c r="P93" s="682">
        <f t="shared" si="217"/>
        <v>0</v>
      </c>
      <c r="Q93" s="682">
        <f t="shared" si="217"/>
        <v>0</v>
      </c>
      <c r="R93" s="682">
        <f t="shared" si="217"/>
        <v>0</v>
      </c>
      <c r="S93" s="682">
        <f t="shared" si="217"/>
        <v>0</v>
      </c>
      <c r="T93" s="682">
        <f t="shared" si="217"/>
        <v>0</v>
      </c>
      <c r="U93" s="682">
        <f t="shared" si="217"/>
        <v>0</v>
      </c>
      <c r="V93" s="682">
        <f t="shared" si="215"/>
        <v>0</v>
      </c>
      <c r="W93" s="682">
        <f t="shared" si="215"/>
        <v>0</v>
      </c>
      <c r="X93" s="682">
        <f t="shared" si="215"/>
        <v>0</v>
      </c>
      <c r="Y93" s="682">
        <f t="shared" si="215"/>
        <v>0</v>
      </c>
      <c r="Z93" s="682">
        <f t="shared" si="215"/>
        <v>0</v>
      </c>
      <c r="AA93" s="682">
        <f t="shared" si="215"/>
        <v>0</v>
      </c>
      <c r="AB93" s="682">
        <f t="shared" si="215"/>
        <v>0</v>
      </c>
    </row>
    <row r="94" spans="2:28" s="682" customFormat="1">
      <c r="B94" s="680" t="s">
        <v>3032</v>
      </c>
      <c r="C94" s="471"/>
      <c r="D94" s="471">
        <f t="shared" si="218"/>
        <v>1.4442818537057058</v>
      </c>
      <c r="E94" s="471">
        <f t="shared" si="218"/>
        <v>-0.21604288805951544</v>
      </c>
      <c r="F94" s="471">
        <f t="shared" si="218"/>
        <v>1.2233678428667116</v>
      </c>
      <c r="G94" s="617">
        <f t="shared" si="218"/>
        <v>0.3799233306152745</v>
      </c>
      <c r="H94" s="683">
        <v>-0.3</v>
      </c>
      <c r="I94" s="683">
        <f>I$99</f>
        <v>0</v>
      </c>
      <c r="J94" s="682">
        <f t="shared" si="217"/>
        <v>0</v>
      </c>
      <c r="K94" s="682">
        <f t="shared" si="217"/>
        <v>0</v>
      </c>
      <c r="L94" s="682">
        <f t="shared" si="217"/>
        <v>0</v>
      </c>
      <c r="M94" s="682">
        <f t="shared" si="217"/>
        <v>0</v>
      </c>
      <c r="N94" s="682">
        <f t="shared" si="217"/>
        <v>0</v>
      </c>
      <c r="O94" s="682">
        <f t="shared" si="217"/>
        <v>0</v>
      </c>
      <c r="P94" s="682">
        <f t="shared" si="217"/>
        <v>0</v>
      </c>
      <c r="Q94" s="682">
        <f t="shared" si="217"/>
        <v>0</v>
      </c>
      <c r="R94" s="682">
        <f t="shared" si="217"/>
        <v>0</v>
      </c>
      <c r="S94" s="682">
        <f t="shared" si="217"/>
        <v>0</v>
      </c>
      <c r="T94" s="682">
        <f t="shared" si="217"/>
        <v>0</v>
      </c>
      <c r="U94" s="682">
        <f t="shared" si="217"/>
        <v>0</v>
      </c>
      <c r="V94" s="682">
        <f t="shared" si="215"/>
        <v>0</v>
      </c>
      <c r="W94" s="682">
        <f t="shared" si="215"/>
        <v>0</v>
      </c>
      <c r="X94" s="682">
        <f t="shared" si="215"/>
        <v>0</v>
      </c>
      <c r="Y94" s="682">
        <f t="shared" si="215"/>
        <v>0</v>
      </c>
      <c r="Z94" s="682">
        <f t="shared" si="215"/>
        <v>0</v>
      </c>
      <c r="AA94" s="682">
        <f t="shared" si="215"/>
        <v>0</v>
      </c>
      <c r="AB94" s="682">
        <f t="shared" si="215"/>
        <v>0</v>
      </c>
    </row>
    <row r="95" spans="2:28" s="682" customFormat="1">
      <c r="B95" s="552" t="s">
        <v>3024</v>
      </c>
      <c r="C95" s="471"/>
      <c r="D95" s="471">
        <f t="shared" si="218"/>
        <v>1.5312395297644188</v>
      </c>
      <c r="E95" s="471">
        <f t="shared" si="218"/>
        <v>0.17244593635658068</v>
      </c>
      <c r="F95" s="471">
        <f t="shared" si="218"/>
        <v>4.4904247738974252</v>
      </c>
      <c r="G95" s="617">
        <f t="shared" si="218"/>
        <v>-0.40672799083767008</v>
      </c>
      <c r="H95" s="683">
        <v>-0.95</v>
      </c>
      <c r="I95" s="683">
        <f>I$99</f>
        <v>0</v>
      </c>
      <c r="J95" s="682">
        <f t="shared" si="217"/>
        <v>0</v>
      </c>
      <c r="K95" s="682">
        <f t="shared" si="217"/>
        <v>0</v>
      </c>
      <c r="L95" s="682">
        <f t="shared" si="217"/>
        <v>0</v>
      </c>
      <c r="M95" s="682">
        <f t="shared" si="217"/>
        <v>0</v>
      </c>
      <c r="N95" s="682">
        <f t="shared" si="217"/>
        <v>0</v>
      </c>
      <c r="O95" s="682">
        <f t="shared" si="217"/>
        <v>0</v>
      </c>
      <c r="P95" s="682">
        <f t="shared" si="217"/>
        <v>0</v>
      </c>
      <c r="Q95" s="682">
        <f t="shared" si="217"/>
        <v>0</v>
      </c>
      <c r="R95" s="682">
        <f t="shared" si="217"/>
        <v>0</v>
      </c>
      <c r="S95" s="682">
        <f t="shared" si="217"/>
        <v>0</v>
      </c>
      <c r="T95" s="682">
        <f t="shared" si="217"/>
        <v>0</v>
      </c>
      <c r="U95" s="682">
        <f t="shared" si="217"/>
        <v>0</v>
      </c>
      <c r="V95" s="682">
        <f t="shared" si="215"/>
        <v>0</v>
      </c>
      <c r="W95" s="682">
        <f t="shared" si="215"/>
        <v>0</v>
      </c>
      <c r="X95" s="682">
        <f t="shared" si="215"/>
        <v>0</v>
      </c>
      <c r="Y95" s="682">
        <f t="shared" si="215"/>
        <v>0</v>
      </c>
      <c r="Z95" s="682">
        <f t="shared" si="215"/>
        <v>0</v>
      </c>
      <c r="AA95" s="682">
        <f t="shared" si="215"/>
        <v>0</v>
      </c>
      <c r="AB95" s="682">
        <f t="shared" si="215"/>
        <v>0</v>
      </c>
    </row>
    <row r="96" spans="2:28" s="682" customFormat="1">
      <c r="B96" s="552" t="s">
        <v>3045</v>
      </c>
      <c r="C96" s="471"/>
      <c r="D96" s="471"/>
      <c r="E96" s="471"/>
      <c r="F96" s="471"/>
      <c r="G96" s="617"/>
      <c r="H96" s="689">
        <v>3.3E-3</v>
      </c>
      <c r="I96" s="690">
        <f>H96</f>
        <v>3.3E-3</v>
      </c>
      <c r="J96" s="690">
        <f>I96</f>
        <v>3.3E-3</v>
      </c>
      <c r="K96" s="690">
        <f t="shared" ref="K96:U96" si="219">J96</f>
        <v>3.3E-3</v>
      </c>
      <c r="L96" s="690">
        <f t="shared" si="219"/>
        <v>3.3E-3</v>
      </c>
      <c r="M96" s="690">
        <f t="shared" si="219"/>
        <v>3.3E-3</v>
      </c>
      <c r="N96" s="690">
        <f t="shared" si="219"/>
        <v>3.3E-3</v>
      </c>
      <c r="O96" s="690">
        <f t="shared" si="219"/>
        <v>3.3E-3</v>
      </c>
      <c r="P96" s="690">
        <f t="shared" si="219"/>
        <v>3.3E-3</v>
      </c>
      <c r="Q96" s="690">
        <f t="shared" si="219"/>
        <v>3.3E-3</v>
      </c>
      <c r="R96" s="690">
        <f t="shared" si="219"/>
        <v>3.3E-3</v>
      </c>
      <c r="S96" s="690">
        <f t="shared" si="219"/>
        <v>3.3E-3</v>
      </c>
      <c r="T96" s="690">
        <f t="shared" si="219"/>
        <v>3.3E-3</v>
      </c>
      <c r="U96" s="690">
        <f t="shared" si="219"/>
        <v>3.3E-3</v>
      </c>
      <c r="V96" s="690">
        <f t="shared" ref="V96:AB96" si="220">U96</f>
        <v>3.3E-3</v>
      </c>
      <c r="W96" s="690">
        <f t="shared" si="220"/>
        <v>3.3E-3</v>
      </c>
      <c r="X96" s="690">
        <f t="shared" si="220"/>
        <v>3.3E-3</v>
      </c>
      <c r="Y96" s="690">
        <f t="shared" si="220"/>
        <v>3.3E-3</v>
      </c>
      <c r="Z96" s="690">
        <f t="shared" si="220"/>
        <v>3.3E-3</v>
      </c>
      <c r="AA96" s="690">
        <f t="shared" si="220"/>
        <v>3.3E-3</v>
      </c>
      <c r="AB96" s="690">
        <f t="shared" si="220"/>
        <v>3.3E-3</v>
      </c>
    </row>
    <row r="97" spans="2:28">
      <c r="B97" s="681" t="s">
        <v>242</v>
      </c>
      <c r="C97" s="695"/>
      <c r="D97" s="695">
        <f>D57/C57-1</f>
        <v>-0.48406006475848606</v>
      </c>
      <c r="E97" s="695">
        <f>E57/D57-1</f>
        <v>3.2747515468950237</v>
      </c>
      <c r="F97" s="695">
        <f>F57/E57-1</f>
        <v>-0.3927244720994344</v>
      </c>
      <c r="G97" s="696">
        <f>G57/F57-1</f>
        <v>-0.56472729258607735</v>
      </c>
      <c r="H97" s="711">
        <f t="shared" ref="H97:U97" si="221">H$99</f>
        <v>0</v>
      </c>
      <c r="I97" s="711">
        <f t="shared" si="221"/>
        <v>0</v>
      </c>
      <c r="J97" s="710">
        <f t="shared" si="221"/>
        <v>0</v>
      </c>
      <c r="K97" s="710">
        <f t="shared" si="221"/>
        <v>0</v>
      </c>
      <c r="L97" s="710">
        <f t="shared" si="221"/>
        <v>0</v>
      </c>
      <c r="M97" s="710">
        <f t="shared" si="221"/>
        <v>0</v>
      </c>
      <c r="N97" s="710">
        <f t="shared" si="221"/>
        <v>0</v>
      </c>
      <c r="O97" s="710">
        <f t="shared" si="221"/>
        <v>0</v>
      </c>
      <c r="P97" s="710">
        <f t="shared" si="221"/>
        <v>0</v>
      </c>
      <c r="Q97" s="710">
        <f t="shared" si="221"/>
        <v>0</v>
      </c>
      <c r="R97" s="710">
        <f t="shared" si="221"/>
        <v>0</v>
      </c>
      <c r="S97" s="710">
        <f t="shared" si="221"/>
        <v>0</v>
      </c>
      <c r="T97" s="710">
        <f t="shared" si="221"/>
        <v>0</v>
      </c>
      <c r="U97" s="710">
        <f t="shared" si="221"/>
        <v>0</v>
      </c>
      <c r="V97" s="710">
        <f t="shared" ref="V97:AB97" si="222">V$99</f>
        <v>0</v>
      </c>
      <c r="W97" s="710">
        <f t="shared" si="222"/>
        <v>0</v>
      </c>
      <c r="X97" s="710">
        <f t="shared" si="222"/>
        <v>0</v>
      </c>
      <c r="Y97" s="710">
        <f t="shared" si="222"/>
        <v>0</v>
      </c>
      <c r="Z97" s="710">
        <f t="shared" si="222"/>
        <v>0</v>
      </c>
      <c r="AA97" s="710">
        <f t="shared" si="222"/>
        <v>0</v>
      </c>
      <c r="AB97" s="710">
        <f t="shared" si="222"/>
        <v>0</v>
      </c>
    </row>
    <row r="99" spans="2:28" s="332" customFormat="1">
      <c r="B99" s="663" t="s">
        <v>3033</v>
      </c>
      <c r="C99" s="664"/>
      <c r="D99" s="664"/>
      <c r="E99" s="664"/>
      <c r="F99" s="665"/>
      <c r="G99" s="666"/>
      <c r="H99" s="667">
        <v>0</v>
      </c>
      <c r="I99" s="667">
        <v>0</v>
      </c>
      <c r="J99" s="667">
        <f>I99</f>
        <v>0</v>
      </c>
      <c r="K99" s="667">
        <f t="shared" ref="K99:AB99" si="223">J99</f>
        <v>0</v>
      </c>
      <c r="L99" s="667">
        <f t="shared" si="223"/>
        <v>0</v>
      </c>
      <c r="M99" s="667">
        <f t="shared" si="223"/>
        <v>0</v>
      </c>
      <c r="N99" s="667">
        <f t="shared" si="223"/>
        <v>0</v>
      </c>
      <c r="O99" s="667">
        <f t="shared" si="223"/>
        <v>0</v>
      </c>
      <c r="P99" s="667">
        <f t="shared" si="223"/>
        <v>0</v>
      </c>
      <c r="Q99" s="667">
        <f t="shared" si="223"/>
        <v>0</v>
      </c>
      <c r="R99" s="667">
        <f t="shared" si="223"/>
        <v>0</v>
      </c>
      <c r="S99" s="667">
        <f t="shared" si="223"/>
        <v>0</v>
      </c>
      <c r="T99" s="667">
        <f t="shared" si="223"/>
        <v>0</v>
      </c>
      <c r="U99" s="667">
        <f t="shared" si="223"/>
        <v>0</v>
      </c>
      <c r="V99" s="667">
        <f t="shared" si="223"/>
        <v>0</v>
      </c>
      <c r="W99" s="667">
        <f t="shared" si="223"/>
        <v>0</v>
      </c>
      <c r="X99" s="667">
        <f t="shared" si="223"/>
        <v>0</v>
      </c>
      <c r="Y99" s="667">
        <f t="shared" si="223"/>
        <v>0</v>
      </c>
      <c r="Z99" s="667">
        <f t="shared" si="223"/>
        <v>0</v>
      </c>
      <c r="AA99" s="667">
        <f t="shared" si="223"/>
        <v>0</v>
      </c>
      <c r="AB99" s="667">
        <f t="shared" si="223"/>
        <v>0</v>
      </c>
    </row>
    <row r="100" spans="2:28" s="332" customFormat="1">
      <c r="B100" s="663" t="s">
        <v>3412</v>
      </c>
      <c r="C100" s="664"/>
      <c r="D100" s="664"/>
      <c r="E100" s="664"/>
      <c r="F100" s="665"/>
      <c r="G100" s="666"/>
      <c r="H100" s="667"/>
      <c r="I100" s="667">
        <v>2.5000000000000001E-2</v>
      </c>
      <c r="J100" s="1140">
        <f>I100</f>
        <v>2.5000000000000001E-2</v>
      </c>
      <c r="K100" s="1140">
        <f t="shared" ref="K100" si="224">J100</f>
        <v>2.5000000000000001E-2</v>
      </c>
      <c r="L100" s="1140">
        <f t="shared" ref="L100:U101" si="225">K100</f>
        <v>2.5000000000000001E-2</v>
      </c>
      <c r="M100" s="1140">
        <f t="shared" si="225"/>
        <v>2.5000000000000001E-2</v>
      </c>
      <c r="N100" s="1140">
        <f t="shared" si="225"/>
        <v>2.5000000000000001E-2</v>
      </c>
      <c r="O100" s="1140">
        <f t="shared" si="225"/>
        <v>2.5000000000000001E-2</v>
      </c>
      <c r="P100" s="1140">
        <f t="shared" si="225"/>
        <v>2.5000000000000001E-2</v>
      </c>
      <c r="Q100" s="1140">
        <f t="shared" si="225"/>
        <v>2.5000000000000001E-2</v>
      </c>
      <c r="R100" s="1140">
        <f t="shared" si="225"/>
        <v>2.5000000000000001E-2</v>
      </c>
      <c r="S100" s="1140">
        <f t="shared" si="225"/>
        <v>2.5000000000000001E-2</v>
      </c>
      <c r="T100" s="1140">
        <f t="shared" si="225"/>
        <v>2.5000000000000001E-2</v>
      </c>
      <c r="U100" s="1140">
        <f t="shared" si="225"/>
        <v>2.5000000000000001E-2</v>
      </c>
      <c r="V100" s="1140">
        <f t="shared" ref="V100:V101" si="226">U100</f>
        <v>2.5000000000000001E-2</v>
      </c>
      <c r="W100" s="1140">
        <f t="shared" ref="W100:W101" si="227">V100</f>
        <v>2.5000000000000001E-2</v>
      </c>
      <c r="X100" s="1140">
        <f t="shared" ref="X100:X101" si="228">W100</f>
        <v>2.5000000000000001E-2</v>
      </c>
      <c r="Y100" s="1140">
        <f t="shared" ref="Y100:Y101" si="229">X100</f>
        <v>2.5000000000000001E-2</v>
      </c>
      <c r="Z100" s="1140">
        <f t="shared" ref="Z100:Z101" si="230">Y100</f>
        <v>2.5000000000000001E-2</v>
      </c>
      <c r="AA100" s="1140">
        <f t="shared" ref="AA100:AA101" si="231">Z100</f>
        <v>2.5000000000000001E-2</v>
      </c>
      <c r="AB100" s="1140">
        <f t="shared" ref="AB100:AB101" si="232">AA100</f>
        <v>2.5000000000000001E-2</v>
      </c>
    </row>
    <row r="101" spans="2:28" s="332" customFormat="1">
      <c r="B101" s="663" t="s">
        <v>3413</v>
      </c>
      <c r="C101" s="664"/>
      <c r="D101" s="664"/>
      <c r="E101" s="664"/>
      <c r="F101" s="665"/>
      <c r="G101" s="666"/>
      <c r="H101" s="667"/>
      <c r="I101" s="667">
        <v>0.02</v>
      </c>
      <c r="J101" s="1140">
        <f>I101</f>
        <v>0.02</v>
      </c>
      <c r="K101" s="1140">
        <f t="shared" ref="K101" si="233">J101</f>
        <v>0.02</v>
      </c>
      <c r="L101" s="1140">
        <f t="shared" si="225"/>
        <v>0.02</v>
      </c>
      <c r="M101" s="1140">
        <f t="shared" si="225"/>
        <v>0.02</v>
      </c>
      <c r="N101" s="1140">
        <f t="shared" si="225"/>
        <v>0.02</v>
      </c>
      <c r="O101" s="1140">
        <f t="shared" si="225"/>
        <v>0.02</v>
      </c>
      <c r="P101" s="1140">
        <f t="shared" si="225"/>
        <v>0.02</v>
      </c>
      <c r="Q101" s="1140">
        <f t="shared" si="225"/>
        <v>0.02</v>
      </c>
      <c r="R101" s="1140">
        <f t="shared" si="225"/>
        <v>0.02</v>
      </c>
      <c r="S101" s="1140">
        <f t="shared" si="225"/>
        <v>0.02</v>
      </c>
      <c r="T101" s="1140">
        <f t="shared" si="225"/>
        <v>0.02</v>
      </c>
      <c r="U101" s="1140">
        <f t="shared" si="225"/>
        <v>0.02</v>
      </c>
      <c r="V101" s="1140">
        <f t="shared" si="226"/>
        <v>0.02</v>
      </c>
      <c r="W101" s="1140">
        <f t="shared" si="227"/>
        <v>0.02</v>
      </c>
      <c r="X101" s="1140">
        <f t="shared" si="228"/>
        <v>0.02</v>
      </c>
      <c r="Y101" s="1140">
        <f t="shared" si="229"/>
        <v>0.02</v>
      </c>
      <c r="Z101" s="1140">
        <f t="shared" si="230"/>
        <v>0.02</v>
      </c>
      <c r="AA101" s="1140">
        <f t="shared" si="231"/>
        <v>0.02</v>
      </c>
      <c r="AB101" s="1140">
        <f t="shared" si="232"/>
        <v>0.02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1D244-8A82-496D-85D0-A56E9BB8482C}">
  <sheetPr>
    <tabColor theme="6" tint="0.79998168889431442"/>
  </sheetPr>
  <dimension ref="B1:P63"/>
  <sheetViews>
    <sheetView workbookViewId="0"/>
  </sheetViews>
  <sheetFormatPr baseColWidth="10" defaultColWidth="8.83203125" defaultRowHeight="15"/>
  <cols>
    <col min="1" max="1" width="6.6640625" style="69" customWidth="1"/>
    <col min="2" max="2" width="29.5" style="69" customWidth="1"/>
    <col min="3" max="15" width="13.1640625" style="69" customWidth="1"/>
    <col min="16" max="16384" width="8.83203125" style="69"/>
  </cols>
  <sheetData>
    <row r="1" spans="2:16" ht="16" thickBot="1">
      <c r="B1" s="855" t="s">
        <v>3295</v>
      </c>
    </row>
    <row r="2" spans="2:16" ht="16" thickBot="1">
      <c r="B2" s="1155" t="s">
        <v>3280</v>
      </c>
      <c r="C2" s="1156">
        <f>'Revenues"A"'!H54</f>
        <v>44926</v>
      </c>
      <c r="D2" s="1156">
        <f>'Revenues"A"'!I54</f>
        <v>45291</v>
      </c>
      <c r="E2" s="1156">
        <f>'Revenues"A"'!J54</f>
        <v>45657</v>
      </c>
      <c r="F2" s="1156">
        <f>'Revenues"A"'!K54</f>
        <v>46022</v>
      </c>
      <c r="G2" s="1156">
        <f>'Revenues"A"'!L54</f>
        <v>46387</v>
      </c>
      <c r="H2" s="1156">
        <f>'Revenues"A"'!M54</f>
        <v>46752</v>
      </c>
      <c r="I2" s="1156">
        <f>'Revenues"A"'!N54</f>
        <v>47118</v>
      </c>
      <c r="J2" s="1156">
        <f>'Revenues"A"'!O54</f>
        <v>47483</v>
      </c>
      <c r="K2" s="1156">
        <f>'Revenues"A"'!P54</f>
        <v>47848</v>
      </c>
      <c r="L2" s="1156">
        <f>'Revenues"A"'!Q54</f>
        <v>48213</v>
      </c>
      <c r="M2" s="1156">
        <f>'Revenues"A"'!R54</f>
        <v>48579</v>
      </c>
      <c r="N2" s="1156">
        <f>'Revenues"A"'!S54</f>
        <v>48944</v>
      </c>
      <c r="O2" s="1156">
        <f>'Revenues"A"'!T54</f>
        <v>49309</v>
      </c>
      <c r="P2" s="70"/>
    </row>
    <row r="3" spans="2:16">
      <c r="B3" s="676" t="s">
        <v>3293</v>
      </c>
      <c r="C3" s="70">
        <f>'Revenues"0"'!H4/1000</f>
        <v>128133.58295118144</v>
      </c>
      <c r="D3" s="70">
        <f>'Revenues"0"'!I4/1000</f>
        <v>126843.22312661356</v>
      </c>
      <c r="E3" s="70">
        <f>'Revenues"0"'!J4/1000</f>
        <v>126931.12320901177</v>
      </c>
      <c r="F3" s="70">
        <f>'Revenues"0"'!K4/1000</f>
        <v>127038.94859428694</v>
      </c>
      <c r="G3" s="70">
        <f>'Revenues"0"'!L4/1000</f>
        <v>127639.8727458465</v>
      </c>
      <c r="H3" s="70">
        <f>'Revenues"0"'!M4/1000</f>
        <v>123548.62107087426</v>
      </c>
      <c r="I3" s="70">
        <f>'Revenues"0"'!N4/1000</f>
        <v>120093.34896306707</v>
      </c>
      <c r="J3" s="70">
        <f>'Revenues"0"'!O4/1000</f>
        <v>118403.71214131535</v>
      </c>
      <c r="K3" s="70">
        <f>'Revenues"0"'!P4/1000</f>
        <v>118436.4658698054</v>
      </c>
      <c r="L3" s="70">
        <f>'Revenues"0"'!Q4/1000</f>
        <v>118402.72106352061</v>
      </c>
      <c r="M3" s="70">
        <f>'Revenues"0"'!R4/1000</f>
        <v>118399.0991397683</v>
      </c>
      <c r="N3" s="70">
        <f>'Revenues"0"'!S4/1000</f>
        <v>118354.69798355296</v>
      </c>
      <c r="O3" s="70">
        <f>'Revenues"0"'!T4/1000</f>
        <v>118216.59973427141</v>
      </c>
    </row>
    <row r="4" spans="2:16">
      <c r="B4" s="676" t="s">
        <v>3294</v>
      </c>
      <c r="C4" s="70">
        <f>('PL"0"'!I6+'PL"0"'!I9)/1000-C3</f>
        <v>9348.5292661714047</v>
      </c>
      <c r="D4" s="70">
        <f>('PL"0"'!J6+'PL"0"'!J9)/1000-D3</f>
        <v>9334.2446727316419</v>
      </c>
      <c r="E4" s="70">
        <f>('PL"0"'!K6+'PL"0"'!K9)/1000-E3</f>
        <v>9370.0678824700008</v>
      </c>
      <c r="F4" s="70">
        <f>('PL"0"'!L6+'PL"0"'!L9)/1000-F3</f>
        <v>9412.2890333438554</v>
      </c>
      <c r="G4" s="70">
        <f>('PL"0"'!M6+'PL"0"'!M9)/1000-G3</f>
        <v>9473.1464770511811</v>
      </c>
      <c r="H4" s="70">
        <f>('PL"0"'!N6+'PL"0"'!N9)/1000-H3</f>
        <v>9357.3811415945675</v>
      </c>
      <c r="I4" s="70">
        <f>('PL"0"'!O6+'PL"0"'!O9)/1000-I3</f>
        <v>9263.441926182626</v>
      </c>
      <c r="J4" s="70">
        <f>('PL"0"'!P6+'PL"0"'!P9)/1000-J3</f>
        <v>9235.227930075911</v>
      </c>
      <c r="K4" s="70">
        <f>('PL"0"'!Q6+'PL"0"'!Q9)/1000-K3</f>
        <v>9272.6814853189862</v>
      </c>
      <c r="L4" s="70">
        <f>('PL"0"'!R6+'PL"0"'!R9)/1000-L3</f>
        <v>9307.6821112822654</v>
      </c>
      <c r="M4" s="70">
        <f>('PL"0"'!S6+'PL"0"'!S9)/1000-M3</f>
        <v>9343.9667921642249</v>
      </c>
      <c r="N4" s="70">
        <f>('PL"0"'!T6+'PL"0"'!T9)/1000-N3</f>
        <v>9370.776983623713</v>
      </c>
      <c r="O4" s="70">
        <f>('PL"0"'!U6+'PL"0"'!U9)/1000-O3</f>
        <v>9395.7076364890236</v>
      </c>
    </row>
    <row r="5" spans="2:16">
      <c r="B5" s="676" t="s">
        <v>3296</v>
      </c>
      <c r="C5" s="70">
        <f>'PL"0"'!I13/1000+'PL"0"'!I7/1000</f>
        <v>68177.294733583636</v>
      </c>
      <c r="D5" s="70">
        <f>'PL"0"'!J13/1000+'PL"0"'!J7/1000</f>
        <v>68142.537597733346</v>
      </c>
      <c r="E5" s="70">
        <f>'PL"0"'!K13/1000+'PL"0"'!K7/1000</f>
        <v>68330.308632287255</v>
      </c>
      <c r="F5" s="70">
        <f>'PL"0"'!L13/1000+'PL"0"'!L7/1000</f>
        <v>68518.401766994619</v>
      </c>
      <c r="G5" s="70">
        <f>'PL"0"'!M13/1000+'PL"0"'!M7/1000</f>
        <v>68903.844880179589</v>
      </c>
      <c r="H5" s="70">
        <f>'PL"0"'!N13/1000+'PL"0"'!N7/1000</f>
        <v>67444.791695549196</v>
      </c>
      <c r="I5" s="70">
        <f>'PL"0"'!O13/1000+'PL"0"'!O7/1000</f>
        <v>66239.283355367254</v>
      </c>
      <c r="J5" s="70">
        <f>'PL"0"'!P13/1000+'PL"0"'!P7/1000</f>
        <v>65732.372449881907</v>
      </c>
      <c r="K5" s="70">
        <f>'PL"0"'!Q13/1000+'PL"0"'!Q7/1000</f>
        <v>65907.258656273552</v>
      </c>
      <c r="L5" s="70">
        <f>'PL"0"'!R13/1000+'PL"0"'!R7/1000</f>
        <v>66059.496187770725</v>
      </c>
      <c r="M5" s="70">
        <f>'PL"0"'!S13/1000+'PL"0"'!S7/1000</f>
        <v>66227.222654724057</v>
      </c>
      <c r="N5" s="70">
        <f>'PL"0"'!T13/1000+'PL"0"'!T7/1000</f>
        <v>66378.999240253572</v>
      </c>
      <c r="O5" s="70">
        <f>'PL"0"'!U13/1000+'PL"0"'!U7/1000</f>
        <v>66498.432881177883</v>
      </c>
    </row>
    <row r="6" spans="2:16">
      <c r="B6" s="676" t="s">
        <v>3297</v>
      </c>
      <c r="C6" s="70">
        <f>'PL"0"'!I17/1000</f>
        <v>114071.96557999999</v>
      </c>
      <c r="D6" s="70">
        <f>'PL"0"'!J17/1000</f>
        <v>113192.42828583489</v>
      </c>
      <c r="E6" s="70">
        <f>'PL"0"'!K17/1000</f>
        <v>113254.37374904798</v>
      </c>
      <c r="F6" s="70">
        <f>'PL"0"'!L17/1000</f>
        <v>114159.75257236886</v>
      </c>
      <c r="G6" s="70">
        <f>'PL"0"'!M17/1000</f>
        <v>115426.140642731</v>
      </c>
      <c r="H6" s="70">
        <f>'PL"0"'!N17/1000</f>
        <v>113417.48208955773</v>
      </c>
      <c r="I6" s="70">
        <f>'PL"0"'!O17/1000</f>
        <v>111820.59652147933</v>
      </c>
      <c r="J6" s="70">
        <f>'PL"0"'!P17/1000</f>
        <v>111458.28566650629</v>
      </c>
      <c r="K6" s="70">
        <f>'PL"0"'!Q17/1000</f>
        <v>112336.74448340628</v>
      </c>
      <c r="L6" s="70">
        <f>'PL"0"'!R17/1000</f>
        <v>113184.46734574276</v>
      </c>
      <c r="M6" s="70">
        <f>'PL"0"'!S17/1000</f>
        <v>114071.96557999999</v>
      </c>
      <c r="N6" s="70">
        <f>'PL"0"'!T17/1000</f>
        <v>113767.33865979796</v>
      </c>
      <c r="O6" s="70">
        <f>'PL"0"'!U17/1000</f>
        <v>113670.01286045536</v>
      </c>
    </row>
    <row r="7" spans="2:16" s="457" customFormat="1">
      <c r="B7" s="457" t="s">
        <v>3298</v>
      </c>
      <c r="C7" s="1019">
        <f>C3+C4-C5-C6</f>
        <v>-44767.148096230783</v>
      </c>
      <c r="D7" s="1019">
        <f t="shared" ref="D7:O7" si="0">D3+D4-D5-D6</f>
        <v>-45157.498084223029</v>
      </c>
      <c r="E7" s="1019">
        <f t="shared" si="0"/>
        <v>-45283.491289853468</v>
      </c>
      <c r="F7" s="1019">
        <f t="shared" si="0"/>
        <v>-46226.916711732687</v>
      </c>
      <c r="G7" s="1019">
        <f t="shared" si="0"/>
        <v>-47216.966300012908</v>
      </c>
      <c r="H7" s="1019">
        <f t="shared" si="0"/>
        <v>-47956.271572638099</v>
      </c>
      <c r="I7" s="1019">
        <f t="shared" si="0"/>
        <v>-48703.088987596886</v>
      </c>
      <c r="J7" s="1019">
        <f t="shared" si="0"/>
        <v>-49551.718044996931</v>
      </c>
      <c r="K7" s="1019">
        <f t="shared" si="0"/>
        <v>-50534.855784555446</v>
      </c>
      <c r="L7" s="1019">
        <f t="shared" si="0"/>
        <v>-51533.560358710602</v>
      </c>
      <c r="M7" s="1019">
        <f t="shared" si="0"/>
        <v>-52556.122302791526</v>
      </c>
      <c r="N7" s="1019">
        <f t="shared" si="0"/>
        <v>-52420.86293287485</v>
      </c>
      <c r="O7" s="1019">
        <f t="shared" si="0"/>
        <v>-52556.13837087281</v>
      </c>
    </row>
    <row r="8" spans="2:16">
      <c r="B8" s="676" t="s">
        <v>3299</v>
      </c>
      <c r="C8" s="70">
        <f>C10+C9-C7</f>
        <v>-1040.6239144297069</v>
      </c>
      <c r="D8" s="70">
        <f t="shared" ref="D8:O8" si="1">D10+D9-D7</f>
        <v>-1060.2331185954972</v>
      </c>
      <c r="E8" s="70">
        <f t="shared" si="1"/>
        <v>-1083.4445330098097</v>
      </c>
      <c r="F8" s="70">
        <f t="shared" si="1"/>
        <v>-1109.9456280948289</v>
      </c>
      <c r="G8" s="70">
        <f t="shared" si="1"/>
        <v>-1138.1556865564926</v>
      </c>
      <c r="H8" s="70">
        <f t="shared" si="1"/>
        <v>-1156.087260828077</v>
      </c>
      <c r="I8" s="70">
        <f t="shared" si="1"/>
        <v>-1175.9186527642305</v>
      </c>
      <c r="J8" s="70">
        <f t="shared" si="1"/>
        <v>-1200.3771715002658</v>
      </c>
      <c r="K8" s="70">
        <f t="shared" si="1"/>
        <v>-1229.4955962040112</v>
      </c>
      <c r="L8" s="70">
        <f t="shared" si="1"/>
        <v>-1259.0905727082863</v>
      </c>
      <c r="M8" s="70">
        <f t="shared" si="1"/>
        <v>-1289.407687755418</v>
      </c>
      <c r="N8" s="70">
        <f t="shared" si="1"/>
        <v>-1316.3948604545876</v>
      </c>
      <c r="O8" s="70">
        <f t="shared" si="1"/>
        <v>-1344.6836865085934</v>
      </c>
    </row>
    <row r="9" spans="2:16">
      <c r="B9" s="676" t="s">
        <v>3300</v>
      </c>
      <c r="C9" s="70">
        <f>'PL"0"'!I23/1000</f>
        <v>4846.6951041666689</v>
      </c>
      <c r="D9" s="70">
        <f>'PL"0"'!J23/1000</f>
        <v>6156.3150388158601</v>
      </c>
      <c r="E9" s="70">
        <f>'PL"0"'!K23/1000</f>
        <v>8534.5336094973281</v>
      </c>
      <c r="F9" s="70">
        <f>'PL"0"'!L23/1000</f>
        <v>10914.924959136932</v>
      </c>
      <c r="G9" s="70">
        <f>'PL"0"'!M23/1000</f>
        <v>13297.950826180107</v>
      </c>
      <c r="H9" s="70">
        <f>'PL"0"'!N23/1000</f>
        <v>15692.540956811899</v>
      </c>
      <c r="I9" s="70">
        <f>'PL"0"'!O23/1000</f>
        <v>18013.735410146295</v>
      </c>
      <c r="J9" s="70">
        <f>'PL"0"'!P23/1000</f>
        <v>20273.011916609157</v>
      </c>
      <c r="K9" s="70">
        <f>'PL"0"'!Q23/1000</f>
        <v>20633.119833471133</v>
      </c>
      <c r="L9" s="70">
        <f>'PL"0"'!R23/1000</f>
        <v>19199.311310270888</v>
      </c>
      <c r="M9" s="70">
        <f>'PL"0"'!S23/1000</f>
        <v>19765.803344187789</v>
      </c>
      <c r="N9" s="70">
        <f>'PL"0"'!T23/1000</f>
        <v>20378.220072313197</v>
      </c>
      <c r="O9" s="70">
        <f>'PL"0"'!U23/1000</f>
        <v>21030.6514840413</v>
      </c>
    </row>
    <row r="10" spans="2:16" s="457" customFormat="1">
      <c r="B10" s="1157" t="s">
        <v>3301</v>
      </c>
      <c r="C10" s="1020">
        <f>'PL"0"'!I55/1000</f>
        <v>-50654.467114827159</v>
      </c>
      <c r="D10" s="1020">
        <f>'PL"0"'!J55/1000</f>
        <v>-52374.046241634387</v>
      </c>
      <c r="E10" s="1020">
        <f>'PL"0"'!K55/1000</f>
        <v>-54901.469432360602</v>
      </c>
      <c r="F10" s="1020">
        <f>'PL"0"'!L55/1000</f>
        <v>-58251.787298964446</v>
      </c>
      <c r="G10" s="1020">
        <f>'PL"0"'!M55/1000</f>
        <v>-61653.072812749509</v>
      </c>
      <c r="H10" s="1020">
        <f>'PL"0"'!N55/1000</f>
        <v>-64804.899790278076</v>
      </c>
      <c r="I10" s="1020">
        <f>'PL"0"'!O55/1000</f>
        <v>-67892.743050507415</v>
      </c>
      <c r="J10" s="1020">
        <f>'PL"0"'!P55/1000</f>
        <v>-71025.107133106358</v>
      </c>
      <c r="K10" s="1020">
        <f>'PL"0"'!Q55/1000</f>
        <v>-72397.471214230594</v>
      </c>
      <c r="L10" s="1020">
        <f>'PL"0"'!R55/1000</f>
        <v>-71991.962241689776</v>
      </c>
      <c r="M10" s="1020">
        <f>'PL"0"'!S55/1000</f>
        <v>-73611.333334734736</v>
      </c>
      <c r="N10" s="1020">
        <f>'PL"0"'!T55/1000</f>
        <v>-74115.477865642635</v>
      </c>
      <c r="O10" s="1020">
        <f>'PL"0"'!U55/1000</f>
        <v>-74931.473541422703</v>
      </c>
    </row>
    <row r="11" spans="2:16" s="457" customFormat="1">
      <c r="B11" s="1158" t="s">
        <v>3302</v>
      </c>
      <c r="C11" s="1019">
        <f>'BS"0"'!I6/1000</f>
        <v>130376.23048368527</v>
      </c>
      <c r="D11" s="1019">
        <f>'BS"0"'!J6/1000</f>
        <v>145888.98959745036</v>
      </c>
      <c r="E11" s="1019">
        <f>'BS"0"'!K6/1000</f>
        <v>159354.39413421336</v>
      </c>
      <c r="F11" s="1019">
        <f>'BS"0"'!L6/1000</f>
        <v>170469.48389954903</v>
      </c>
      <c r="G11" s="1019">
        <f>'BS"0"'!M6/1000</f>
        <v>179419.65028222869</v>
      </c>
      <c r="H11" s="1019">
        <f>'BS"0"'!N6/1000</f>
        <v>184238.26323133538</v>
      </c>
      <c r="I11" s="1019">
        <f>'BS"0"'!O6/1000</f>
        <v>186307.26067592922</v>
      </c>
      <c r="J11" s="1019">
        <f>'BS"0"'!P6/1000</f>
        <v>186932.58428395051</v>
      </c>
      <c r="K11" s="1019">
        <f>'BS"0"'!Q6/1000</f>
        <v>188012.330183871</v>
      </c>
      <c r="L11" s="1019">
        <f>'BS"0"'!R6/1000</f>
        <v>190944.8287620729</v>
      </c>
      <c r="M11" s="1019">
        <f>'BS"0"'!S6/1000</f>
        <v>193760.29723011854</v>
      </c>
      <c r="N11" s="1019">
        <f>'BS"0"'!T6/1000</f>
        <v>196403.85094843837</v>
      </c>
      <c r="O11" s="1019">
        <f>'BS"0"'!U6/1000</f>
        <v>198834.69324825233</v>
      </c>
    </row>
    <row r="12" spans="2:16">
      <c r="B12" s="554" t="s">
        <v>3303</v>
      </c>
      <c r="C12" s="70">
        <f>'BS"0"'!I7/1000</f>
        <v>69798.322452595094</v>
      </c>
      <c r="D12" s="70">
        <f>'BS"0"'!J7/1000</f>
        <v>85594.7942200697</v>
      </c>
      <c r="E12" s="70">
        <f>'BS"0"'!K7/1000</f>
        <v>99033.103838014897</v>
      </c>
      <c r="F12" s="70">
        <f>'BS"0"'!L7/1000</f>
        <v>110115.34072850728</v>
      </c>
      <c r="G12" s="70">
        <f>'BS"0"'!M7/1000</f>
        <v>118921.2988004668</v>
      </c>
      <c r="H12" s="70">
        <f>'BS"0"'!N7/1000</f>
        <v>124655.16818212623</v>
      </c>
      <c r="I12" s="70">
        <f>'BS"0"'!O7/1000</f>
        <v>127496.29283163714</v>
      </c>
      <c r="J12" s="70">
        <f>'BS"0"'!P7/1000</f>
        <v>128495.23817587832</v>
      </c>
      <c r="K12" s="70">
        <f>'BS"0"'!Q7/1000</f>
        <v>129559.51474847452</v>
      </c>
      <c r="L12" s="70">
        <f>'BS"0"'!R7/1000</f>
        <v>132491.54777239234</v>
      </c>
      <c r="M12" s="70">
        <f>'BS"0"'!S7/1000</f>
        <v>135299.71564907703</v>
      </c>
      <c r="N12" s="70">
        <f>'BS"0"'!T7/1000</f>
        <v>137946.94622205372</v>
      </c>
      <c r="O12" s="70">
        <f>'BS"0"'!U7/1000</f>
        <v>140402.25439620813</v>
      </c>
    </row>
    <row r="13" spans="2:16">
      <c r="B13" s="554" t="s">
        <v>3304</v>
      </c>
      <c r="C13" s="70">
        <f>'BS"0"'!I22/1000</f>
        <v>58489.151051090157</v>
      </c>
      <c r="D13" s="70">
        <f>'BS"0"'!J22/1000</f>
        <v>58205.438397380654</v>
      </c>
      <c r="E13" s="70">
        <f>'BS"0"'!K22/1000</f>
        <v>58232.53331619846</v>
      </c>
      <c r="F13" s="70">
        <f>'BS"0"'!L22/1000</f>
        <v>58265.386191041784</v>
      </c>
      <c r="G13" s="70">
        <f>'BS"0"'!M22/1000</f>
        <v>58409.594501761887</v>
      </c>
      <c r="H13" s="70">
        <f>'BS"0"'!N22/1000</f>
        <v>57494.338069209145</v>
      </c>
      <c r="I13" s="70">
        <f>'BS"0"'!O22/1000</f>
        <v>56722.210864292101</v>
      </c>
      <c r="J13" s="70">
        <f>'BS"0"'!P22/1000</f>
        <v>56348.589128072206</v>
      </c>
      <c r="K13" s="70">
        <f>'BS"0"'!Q22/1000</f>
        <v>56364.058455396502</v>
      </c>
      <c r="L13" s="70">
        <f>'BS"0"'!R22/1000</f>
        <v>56364.524009680586</v>
      </c>
      <c r="M13" s="70">
        <f>'BS"0"'!S22/1000</f>
        <v>56371.82460104151</v>
      </c>
      <c r="N13" s="70">
        <f>'BS"0"'!T22/1000</f>
        <v>56368.147746384653</v>
      </c>
      <c r="O13" s="70">
        <f>'BS"0"'!U22/1000</f>
        <v>56343.681872044195</v>
      </c>
    </row>
    <row r="14" spans="2:16">
      <c r="B14" s="554" t="s">
        <v>3305</v>
      </c>
      <c r="C14" s="70">
        <f>C11-SUM(C12:C13)</f>
        <v>2088.7569800000201</v>
      </c>
      <c r="D14" s="70">
        <f t="shared" ref="D14:O14" si="2">D11-SUM(D12:D13)</f>
        <v>2088.7569800000056</v>
      </c>
      <c r="E14" s="70">
        <f t="shared" si="2"/>
        <v>2088.7569800000056</v>
      </c>
      <c r="F14" s="70">
        <f t="shared" si="2"/>
        <v>2088.7569799999765</v>
      </c>
      <c r="G14" s="70">
        <f t="shared" si="2"/>
        <v>2088.7569800000056</v>
      </c>
      <c r="H14" s="70">
        <f t="shared" si="2"/>
        <v>2088.7569800000056</v>
      </c>
      <c r="I14" s="70">
        <f t="shared" si="2"/>
        <v>2088.7569799999765</v>
      </c>
      <c r="J14" s="70">
        <f t="shared" si="2"/>
        <v>2088.7569799999765</v>
      </c>
      <c r="K14" s="70">
        <f t="shared" si="2"/>
        <v>2088.7569799999765</v>
      </c>
      <c r="L14" s="70">
        <f t="shared" si="2"/>
        <v>2088.7569799999765</v>
      </c>
      <c r="M14" s="70">
        <f t="shared" si="2"/>
        <v>2088.7569800000056</v>
      </c>
      <c r="N14" s="70">
        <f t="shared" si="2"/>
        <v>2088.7569799999765</v>
      </c>
      <c r="O14" s="70">
        <f t="shared" si="2"/>
        <v>2088.7569800000056</v>
      </c>
    </row>
    <row r="15" spans="2:16" s="457" customFormat="1">
      <c r="B15" s="1158" t="s">
        <v>3306</v>
      </c>
      <c r="C15" s="1019">
        <f>'BS"0"'!I47/1000</f>
        <v>130244.42304368527</v>
      </c>
      <c r="D15" s="1019">
        <f>'BS"0"'!J47/1000</f>
        <v>145757.18215745038</v>
      </c>
      <c r="E15" s="1019">
        <f>'BS"0"'!K47/1000</f>
        <v>159222.58669421339</v>
      </c>
      <c r="F15" s="1019">
        <f>'BS"0"'!L47/1000</f>
        <v>170337.67645954914</v>
      </c>
      <c r="G15" s="1019">
        <f>'BS"0"'!M47/1000</f>
        <v>179287.8428422288</v>
      </c>
      <c r="H15" s="1019">
        <f>'BS"0"'!N47/1000</f>
        <v>184106.45579133547</v>
      </c>
      <c r="I15" s="1019">
        <f>'BS"0"'!O47/1000</f>
        <v>186175.45323592931</v>
      </c>
      <c r="J15" s="1019">
        <f>'BS"0"'!P47/1000</f>
        <v>186800.77684395053</v>
      </c>
      <c r="K15" s="1019">
        <f>'BS"0"'!Q47/1000</f>
        <v>187880.52274387103</v>
      </c>
      <c r="L15" s="1019">
        <f>'BS"0"'!R47/1000</f>
        <v>190813.02132207292</v>
      </c>
      <c r="M15" s="1019">
        <f>'BS"0"'!S47/1000</f>
        <v>193628.48979011856</v>
      </c>
      <c r="N15" s="1019">
        <f>'BS"0"'!T47/1000</f>
        <v>196272.04350843842</v>
      </c>
      <c r="O15" s="1019">
        <f>'BS"0"'!U47/1000</f>
        <v>198702.88580825238</v>
      </c>
    </row>
    <row r="16" spans="2:16">
      <c r="B16" s="554" t="s">
        <v>3307</v>
      </c>
      <c r="C16" s="70">
        <f>'BS"0"'!I48/1000</f>
        <v>-109664.99060298492</v>
      </c>
      <c r="D16" s="70">
        <f>'BS"0"'!J48/1000</f>
        <v>-93709.750550417506</v>
      </c>
      <c r="E16" s="70">
        <f>'BS"0"'!K48/1000</f>
        <v>-80471.688918834348</v>
      </c>
      <c r="F16" s="70">
        <f>'BS"0"'!L48/1000</f>
        <v>-70001.574781534553</v>
      </c>
      <c r="G16" s="70">
        <f>'BS"0"'!M48/1000</f>
        <v>-62072.589861902125</v>
      </c>
      <c r="H16" s="70">
        <f>'BS"0"'!N48/1000</f>
        <v>-54810.02080912864</v>
      </c>
      <c r="I16" s="70">
        <f>'BS"0"'!O48/1000</f>
        <v>-50754.567448752627</v>
      </c>
      <c r="J16" s="70">
        <f>'BS"0"'!P48/1000</f>
        <v>-49452.573205328823</v>
      </c>
      <c r="K16" s="70">
        <f>'BS"0"'!Q48/1000</f>
        <v>-48992.235380017461</v>
      </c>
      <c r="L16" s="70">
        <f>'BS"0"'!R48/1000</f>
        <v>-46641.49707102713</v>
      </c>
      <c r="M16" s="70">
        <f>'BS"0"'!S48/1000</f>
        <v>-44443.181336866321</v>
      </c>
      <c r="N16" s="70">
        <f>'BS"0"'!T48/1000</f>
        <v>-41810.386315956799</v>
      </c>
      <c r="O16" s="70">
        <f>'BS"0"'!U48/1000</f>
        <v>-39460.927579354153</v>
      </c>
    </row>
    <row r="17" spans="2:16" s="855" customFormat="1">
      <c r="B17" s="1008" t="s">
        <v>3312</v>
      </c>
      <c r="C17" s="924">
        <f>'BS"0"'!I52/1000</f>
        <v>55792.17458184217</v>
      </c>
      <c r="D17" s="924">
        <f>'BS"0"'!J52/1000</f>
        <v>124121.46087604396</v>
      </c>
      <c r="E17" s="924">
        <f>'BS"0"'!K52/1000</f>
        <v>192260.99193998773</v>
      </c>
      <c r="F17" s="924">
        <f>'BS"0"'!L52/1000</f>
        <v>260982.89337625194</v>
      </c>
      <c r="G17" s="924">
        <f>'BS"0"'!M52/1000</f>
        <v>330564.95110863389</v>
      </c>
      <c r="H17" s="924">
        <f>'BS"0"'!N52/1000</f>
        <v>402632.41995168541</v>
      </c>
      <c r="I17" s="924">
        <f>'BS"0"'!O52/1000</f>
        <v>474580.61636256886</v>
      </c>
      <c r="J17" s="924">
        <f>'BS"0"'!P52/1000</f>
        <v>546907.71773909905</v>
      </c>
      <c r="K17" s="924">
        <f>'BS"0"'!Q52/1000</f>
        <v>619765.52677864104</v>
      </c>
      <c r="L17" s="924">
        <f>'BS"0"'!R52/1000</f>
        <v>694108.22732932109</v>
      </c>
      <c r="M17" s="924">
        <f>'BS"0"'!S52/1000</f>
        <v>769917.8763982167</v>
      </c>
      <c r="N17" s="924">
        <f>'BS"0"'!T52/1000</f>
        <v>846666.14928476897</v>
      </c>
      <c r="O17" s="1022">
        <f>'BS"0"'!U52/1000</f>
        <v>923947.08156279428</v>
      </c>
    </row>
    <row r="18" spans="2:16">
      <c r="B18" s="554" t="s">
        <v>3311</v>
      </c>
      <c r="C18" s="70">
        <f>'BS"0"'!I61/1000</f>
        <v>29441.022129999998</v>
      </c>
      <c r="D18" s="70">
        <f>'BS"0"'!J61/1000</f>
        <v>29441.022129999998</v>
      </c>
      <c r="E18" s="70">
        <f>'BS"0"'!K61/1000</f>
        <v>29441.022129999998</v>
      </c>
      <c r="F18" s="70">
        <f>'BS"0"'!L61/1000</f>
        <v>29441.022129999998</v>
      </c>
      <c r="G18" s="70">
        <f>'BS"0"'!M61/1000</f>
        <v>29441.022129999998</v>
      </c>
      <c r="H18" s="70">
        <f>'BS"0"'!N61/1000</f>
        <v>29441.022129999998</v>
      </c>
      <c r="I18" s="70">
        <f>'BS"0"'!O61/1000</f>
        <v>29441.022129999998</v>
      </c>
      <c r="J18" s="70">
        <f>'BS"0"'!P61/1000</f>
        <v>29441.022129999998</v>
      </c>
      <c r="K18" s="70">
        <f>'BS"0"'!Q61/1000</f>
        <v>29441.022129999998</v>
      </c>
      <c r="L18" s="70">
        <f>'BS"0"'!R61/1000</f>
        <v>29441.022129999998</v>
      </c>
      <c r="M18" s="70">
        <f>'BS"0"'!S61/1000</f>
        <v>29441.022129999998</v>
      </c>
      <c r="N18" s="70">
        <f>'BS"0"'!T61/1000</f>
        <v>29441.022129999998</v>
      </c>
      <c r="O18" s="70">
        <f>'BS"0"'!U61/1000</f>
        <v>29441.022129999998</v>
      </c>
    </row>
    <row r="19" spans="2:16">
      <c r="B19" s="554" t="s">
        <v>3308</v>
      </c>
      <c r="C19" s="70">
        <f>'BS"0"'!I65/1000</f>
        <v>50287.820559999993</v>
      </c>
      <c r="D19" s="70">
        <f>'BS"0"'!J65/1000</f>
        <v>50287.820559999993</v>
      </c>
      <c r="E19" s="70">
        <f>'BS"0"'!K65/1000</f>
        <v>50287.820559999993</v>
      </c>
      <c r="F19" s="70">
        <f>'BS"0"'!L65/1000</f>
        <v>50287.820559999993</v>
      </c>
      <c r="G19" s="70">
        <f>'BS"0"'!M65/1000</f>
        <v>50287.820559999993</v>
      </c>
      <c r="H19" s="70">
        <f>'BS"0"'!N65/1000</f>
        <v>50287.820559999993</v>
      </c>
      <c r="I19" s="70">
        <f>'BS"0"'!O65/1000</f>
        <v>50287.820559999993</v>
      </c>
      <c r="J19" s="70">
        <f>'BS"0"'!P65/1000</f>
        <v>50287.820559999993</v>
      </c>
      <c r="K19" s="70">
        <f>'BS"0"'!Q65/1000</f>
        <v>50287.820559999993</v>
      </c>
      <c r="L19" s="70">
        <f>'BS"0"'!R65/1000</f>
        <v>50287.820559999993</v>
      </c>
      <c r="M19" s="70">
        <f>'BS"0"'!S65/1000</f>
        <v>50287.820559999993</v>
      </c>
      <c r="N19" s="70">
        <f>'BS"0"'!T65/1000</f>
        <v>50287.820559999993</v>
      </c>
      <c r="O19" s="70">
        <f>'BS"0"'!U65/1000</f>
        <v>50287.820559999993</v>
      </c>
    </row>
    <row r="20" spans="2:16">
      <c r="B20" s="554" t="s">
        <v>3309</v>
      </c>
      <c r="C20" s="70">
        <f>'BS"0"'!I71/1000</f>
        <v>158082.8157266702</v>
      </c>
      <c r="D20" s="70">
        <f>'BS"0"'!J71/1000</f>
        <v>157640.33478786791</v>
      </c>
      <c r="E20" s="70">
        <f>'BS"0"'!K71/1000</f>
        <v>157867.67769304776</v>
      </c>
      <c r="F20" s="70">
        <f>'BS"0"'!L71/1000</f>
        <v>158512.65332108369</v>
      </c>
      <c r="G20" s="70">
        <f>'BS"0"'!M71/1000</f>
        <v>159533.83478413094</v>
      </c>
      <c r="H20" s="70">
        <f>'BS"0"'!N71/1000</f>
        <v>157089.87868046411</v>
      </c>
      <c r="I20" s="70">
        <f>'BS"0"'!O71/1000</f>
        <v>155103.42276468195</v>
      </c>
      <c r="J20" s="70">
        <f>'BS"0"'!P71/1000</f>
        <v>154426.75212927937</v>
      </c>
      <c r="K20" s="70">
        <f>'BS"0"'!Q71/1000</f>
        <v>155046.16020388852</v>
      </c>
      <c r="L20" s="70">
        <f>'BS"0"'!R71/1000</f>
        <v>155627.92047310006</v>
      </c>
      <c r="M20" s="70">
        <f>'BS"0"'!S71/1000</f>
        <v>156245.0732069849</v>
      </c>
      <c r="N20" s="70">
        <f>'BS"0"'!T71/1000</f>
        <v>156255.83190439522</v>
      </c>
      <c r="O20" s="70">
        <f>'BS"0"'!U71/1000</f>
        <v>156337.21546760655</v>
      </c>
    </row>
    <row r="21" spans="2:16">
      <c r="B21" s="1021" t="s">
        <v>3310</v>
      </c>
      <c r="C21" s="675">
        <f>C15-SUM(C16:C20)+C17</f>
        <v>2097.7552300000025</v>
      </c>
      <c r="D21" s="675">
        <f t="shared" ref="D21:O21" si="3">D15-SUM(D16:D20)+D17</f>
        <v>2097.7552299999952</v>
      </c>
      <c r="E21" s="675">
        <f t="shared" si="3"/>
        <v>2097.7552299999807</v>
      </c>
      <c r="F21" s="675">
        <f t="shared" si="3"/>
        <v>2097.7552300000098</v>
      </c>
      <c r="G21" s="675">
        <f t="shared" si="3"/>
        <v>2097.7552300000098</v>
      </c>
      <c r="H21" s="675">
        <f t="shared" si="3"/>
        <v>2097.7552299999516</v>
      </c>
      <c r="I21" s="675">
        <f t="shared" si="3"/>
        <v>2097.7552300000098</v>
      </c>
      <c r="J21" s="675">
        <f t="shared" si="3"/>
        <v>2097.7552300000098</v>
      </c>
      <c r="K21" s="675">
        <f t="shared" si="3"/>
        <v>2097.7552299998933</v>
      </c>
      <c r="L21" s="675">
        <f t="shared" si="3"/>
        <v>2097.7552300001262</v>
      </c>
      <c r="M21" s="675">
        <f t="shared" si="3"/>
        <v>2097.7552299998933</v>
      </c>
      <c r="N21" s="675">
        <f t="shared" si="3"/>
        <v>2097.7552300000098</v>
      </c>
      <c r="O21" s="675">
        <f t="shared" si="3"/>
        <v>2097.7552299998933</v>
      </c>
    </row>
    <row r="22" spans="2:16">
      <c r="B22" s="554" t="s">
        <v>3313</v>
      </c>
      <c r="C22" s="69">
        <f>'CF"0"'!H7/1000</f>
        <v>-50654.467114827159</v>
      </c>
      <c r="D22" s="69">
        <f>'CF"0"'!I7/1000</f>
        <v>-52374.046241634387</v>
      </c>
      <c r="E22" s="69">
        <f>'CF"0"'!J7/1000</f>
        <v>-54901.469432360602</v>
      </c>
      <c r="F22" s="69">
        <f>'CF"0"'!K7/1000</f>
        <v>-58251.787298964446</v>
      </c>
      <c r="G22" s="69">
        <f>'CF"0"'!L7/1000</f>
        <v>-61653.072812749509</v>
      </c>
      <c r="H22" s="69">
        <f>'CF"0"'!M7/1000</f>
        <v>-64804.899790278076</v>
      </c>
      <c r="I22" s="69">
        <f>'CF"0"'!N7/1000</f>
        <v>-67892.743050507415</v>
      </c>
      <c r="J22" s="69">
        <f>'CF"0"'!O7/1000</f>
        <v>-71025.107133106358</v>
      </c>
      <c r="K22" s="69">
        <f>'CF"0"'!P7/1000</f>
        <v>-72397.471214230594</v>
      </c>
      <c r="L22" s="69">
        <f>'CF"0"'!Q7/1000</f>
        <v>-71991.962241689776</v>
      </c>
      <c r="M22" s="69">
        <f>'CF"0"'!R7/1000</f>
        <v>-73611.333334734736</v>
      </c>
      <c r="N22" s="69">
        <f>'CF"0"'!S7/1000</f>
        <v>-74115.477865642635</v>
      </c>
      <c r="O22" s="69">
        <f>'CF"0"'!T7/1000</f>
        <v>-74931.473541422703</v>
      </c>
    </row>
    <row r="23" spans="2:16">
      <c r="B23" s="554" t="s">
        <v>3314</v>
      </c>
      <c r="C23" s="69">
        <f>'CF"0"'!H8/1000</f>
        <v>4963.8234608666689</v>
      </c>
      <c r="D23" s="69">
        <f>'CF"0"'!I8/1000</f>
        <v>6273.4433955158602</v>
      </c>
      <c r="E23" s="69">
        <f>'CF"0"'!J8/1000</f>
        <v>8651.6619661973273</v>
      </c>
      <c r="F23" s="69">
        <f>'CF"0"'!K8/1000</f>
        <v>11032.053315836931</v>
      </c>
      <c r="G23" s="69">
        <f>'CF"0"'!L8/1000</f>
        <v>13415.079182880107</v>
      </c>
      <c r="H23" s="69">
        <f>'CF"0"'!M8/1000</f>
        <v>15809.669313511899</v>
      </c>
      <c r="I23" s="69">
        <f>'CF"0"'!N8/1000</f>
        <v>18130.863766846294</v>
      </c>
      <c r="J23" s="69">
        <f>'CF"0"'!O8/1000</f>
        <v>20390.140273309156</v>
      </c>
      <c r="K23" s="69">
        <f>'CF"0"'!P8/1000</f>
        <v>20750.248190171133</v>
      </c>
      <c r="L23" s="69">
        <f>'CF"0"'!Q8/1000</f>
        <v>19316.439666970888</v>
      </c>
      <c r="M23" s="69">
        <f>'CF"0"'!R8/1000</f>
        <v>19882.931700887788</v>
      </c>
      <c r="N23" s="69">
        <f>'CF"0"'!S8/1000</f>
        <v>20495.348429013196</v>
      </c>
      <c r="O23" s="69">
        <f>'CF"0"'!T8/1000</f>
        <v>21147.779840741299</v>
      </c>
    </row>
    <row r="24" spans="2:16">
      <c r="B24" s="554" t="s">
        <v>3315</v>
      </c>
      <c r="C24" s="69">
        <f>'CF"0"'!H14/1000</f>
        <v>2104.3968255800623</v>
      </c>
      <c r="D24" s="69">
        <f>'CF"0"'!I14/1000</f>
        <v>-158.76828509279991</v>
      </c>
      <c r="E24" s="69">
        <f>'CF"0"'!J14/1000</f>
        <v>200.24798636203911</v>
      </c>
      <c r="F24" s="69">
        <f>'CF"0"'!K14/1000</f>
        <v>612.12275319261471</v>
      </c>
      <c r="G24" s="69">
        <f>'CF"0"'!L14/1000</f>
        <v>876.97315232714823</v>
      </c>
      <c r="H24" s="69">
        <f>'CF"0"'!M14/1000</f>
        <v>-1528.6996711140928</v>
      </c>
      <c r="I24" s="69">
        <f>'CF"0"'!N14/1000</f>
        <v>-1214.3287108651307</v>
      </c>
      <c r="J24" s="69">
        <f>'CF"0"'!O14/1000</f>
        <v>-303.0488991826968</v>
      </c>
      <c r="K24" s="69">
        <f>'CF"0"'!P14/1000</f>
        <v>603.93874728487151</v>
      </c>
      <c r="L24" s="69">
        <f>'CF"0"'!Q14/1000</f>
        <v>581.29471492746848</v>
      </c>
      <c r="M24" s="69">
        <f>'CF"0"'!R14/1000</f>
        <v>609.852142523922</v>
      </c>
      <c r="N24" s="69">
        <f>'CF"0"'!S14/1000</f>
        <v>14.435552067160607</v>
      </c>
      <c r="O24" s="69">
        <f>'CF"0"'!T14/1000</f>
        <v>105.84943755177129</v>
      </c>
    </row>
    <row r="25" spans="2:16">
      <c r="B25" s="554" t="s">
        <v>3318</v>
      </c>
      <c r="C25" s="69">
        <f>'CF"0"'!H23/1000</f>
        <v>-12088.799396761749</v>
      </c>
      <c r="D25" s="69">
        <f>'CF"0"'!I23/1000</f>
        <v>-21952.786806290467</v>
      </c>
      <c r="E25" s="69">
        <f>'CF"0"'!J23/1000</f>
        <v>-21972.843227442521</v>
      </c>
      <c r="F25" s="69">
        <f>'CF"0"'!K23/1000</f>
        <v>-21997.161849629312</v>
      </c>
      <c r="G25" s="69">
        <f>'CF"0"'!L23/1000</f>
        <v>-22103.908898139634</v>
      </c>
      <c r="H25" s="69">
        <f>'CF"0"'!M23/1000</f>
        <v>-21426.410338471331</v>
      </c>
      <c r="I25" s="69">
        <f>'CF"0"'!N23/1000</f>
        <v>-20854.8600596572</v>
      </c>
      <c r="J25" s="69">
        <f>'CF"0"'!O23/1000</f>
        <v>-21271.957260850329</v>
      </c>
      <c r="K25" s="69">
        <f>'CF"0"'!P23/1000</f>
        <v>-21697.396406067342</v>
      </c>
      <c r="L25" s="69">
        <f>'CF"0"'!Q23/1000</f>
        <v>-22131.344334188696</v>
      </c>
      <c r="M25" s="69">
        <f>'CF"0"'!R23/1000</f>
        <v>-22573.971220872485</v>
      </c>
      <c r="N25" s="69">
        <f>'CF"0"'!S23/1000</f>
        <v>-23025.450645289904</v>
      </c>
      <c r="O25" s="69">
        <f>'CF"0"'!T23/1000</f>
        <v>-23485.959658195701</v>
      </c>
    </row>
    <row r="26" spans="2:16">
      <c r="B26" s="554" t="s">
        <v>3316</v>
      </c>
      <c r="C26" s="69">
        <f>'CF"0"'!H18/1000</f>
        <v>-117.1283567</v>
      </c>
      <c r="D26" s="69">
        <f>'CF"0"'!I18/1000</f>
        <v>-117.1283567</v>
      </c>
      <c r="E26" s="69">
        <f>'CF"0"'!J18/1000</f>
        <v>-117.1283567</v>
      </c>
      <c r="F26" s="69">
        <f>'CF"0"'!K18/1000</f>
        <v>-117.1283567</v>
      </c>
      <c r="G26" s="69">
        <f>'CF"0"'!L18/1000</f>
        <v>-117.1283567</v>
      </c>
      <c r="H26" s="69">
        <f>'CF"0"'!M18/1000</f>
        <v>-117.1283567</v>
      </c>
      <c r="I26" s="69">
        <f>'CF"0"'!N18/1000</f>
        <v>-117.1283567</v>
      </c>
      <c r="J26" s="69">
        <f>'CF"0"'!O18/1000</f>
        <v>-117.1283567</v>
      </c>
      <c r="K26" s="69">
        <f>'CF"0"'!P18/1000</f>
        <v>-117.1283567</v>
      </c>
      <c r="L26" s="69">
        <f>'CF"0"'!Q18/1000</f>
        <v>-117.1283567</v>
      </c>
      <c r="M26" s="69">
        <f>'CF"0"'!R18/1000</f>
        <v>-117.1283567</v>
      </c>
      <c r="N26" s="69">
        <f>'CF"0"'!S18/1000</f>
        <v>-117.1283567</v>
      </c>
      <c r="O26" s="69">
        <f>'CF"0"'!T18/1000</f>
        <v>-117.1283567</v>
      </c>
    </row>
    <row r="27" spans="2:16" s="457" customFormat="1">
      <c r="B27" s="1157" t="s">
        <v>3317</v>
      </c>
      <c r="C27" s="597">
        <f>SUM(C22:C26)</f>
        <v>-55792.174581842177</v>
      </c>
      <c r="D27" s="597">
        <f t="shared" ref="D27:O27" si="4">SUM(D22:D26)</f>
        <v>-68329.286294201796</v>
      </c>
      <c r="E27" s="597">
        <f t="shared" si="4"/>
        <v>-68139.531063943752</v>
      </c>
      <c r="F27" s="597">
        <f t="shared" si="4"/>
        <v>-68721.901436264219</v>
      </c>
      <c r="G27" s="597">
        <f t="shared" si="4"/>
        <v>-69582.057732381887</v>
      </c>
      <c r="H27" s="597">
        <f t="shared" si="4"/>
        <v>-72067.468843051611</v>
      </c>
      <c r="I27" s="597">
        <f t="shared" si="4"/>
        <v>-71948.196410883451</v>
      </c>
      <c r="J27" s="597">
        <f t="shared" si="4"/>
        <v>-72327.101376530234</v>
      </c>
      <c r="K27" s="597">
        <f t="shared" si="4"/>
        <v>-72857.809039541942</v>
      </c>
      <c r="L27" s="597">
        <f t="shared" si="4"/>
        <v>-74342.700550680122</v>
      </c>
      <c r="M27" s="597">
        <f t="shared" si="4"/>
        <v>-75809.649068895524</v>
      </c>
      <c r="N27" s="597">
        <f t="shared" si="4"/>
        <v>-76748.272886552193</v>
      </c>
      <c r="O27" s="597">
        <f t="shared" si="4"/>
        <v>-77280.932278025342</v>
      </c>
    </row>
    <row r="28" spans="2:16">
      <c r="B28" s="552"/>
    </row>
    <row r="30" spans="2:16" ht="16" thickBot="1">
      <c r="B30" s="855" t="s">
        <v>3295</v>
      </c>
    </row>
    <row r="31" spans="2:16" ht="16" thickBot="1">
      <c r="B31" s="1155" t="s">
        <v>3133</v>
      </c>
      <c r="C31" s="1156">
        <f>C2</f>
        <v>44926</v>
      </c>
      <c r="D31" s="1156">
        <f t="shared" ref="D31:O31" si="5">D2</f>
        <v>45291</v>
      </c>
      <c r="E31" s="1156">
        <f t="shared" si="5"/>
        <v>45657</v>
      </c>
      <c r="F31" s="1156">
        <f t="shared" si="5"/>
        <v>46022</v>
      </c>
      <c r="G31" s="1156">
        <f t="shared" si="5"/>
        <v>46387</v>
      </c>
      <c r="H31" s="1156">
        <f t="shared" si="5"/>
        <v>46752</v>
      </c>
      <c r="I31" s="1156">
        <f t="shared" si="5"/>
        <v>47118</v>
      </c>
      <c r="J31" s="1156">
        <f t="shared" si="5"/>
        <v>47483</v>
      </c>
      <c r="K31" s="1156">
        <f t="shared" si="5"/>
        <v>47848</v>
      </c>
      <c r="L31" s="1156">
        <f t="shared" si="5"/>
        <v>48213</v>
      </c>
      <c r="M31" s="1156">
        <f t="shared" si="5"/>
        <v>48579</v>
      </c>
      <c r="N31" s="1156">
        <f t="shared" si="5"/>
        <v>48944</v>
      </c>
      <c r="O31" s="1156">
        <f t="shared" si="5"/>
        <v>49309</v>
      </c>
      <c r="P31" s="70"/>
    </row>
    <row r="32" spans="2:16">
      <c r="B32" s="676" t="s">
        <v>3293</v>
      </c>
      <c r="C32" s="70">
        <f>'Revenues"A"'!H4/1000</f>
        <v>128117.37237238145</v>
      </c>
      <c r="D32" s="70">
        <f>'Revenues"A"'!I4/1000</f>
        <v>127151.35941433172</v>
      </c>
      <c r="E32" s="70">
        <f>'Revenues"A"'!J4/1000</f>
        <v>131154.69606233784</v>
      </c>
      <c r="F32" s="70">
        <f>'Revenues"A"'!K4/1000</f>
        <v>138814.74784984282</v>
      </c>
      <c r="G32" s="70">
        <f>'Revenues"A"'!L4/1000</f>
        <v>144391.2483758388</v>
      </c>
      <c r="H32" s="70">
        <f>'Revenues"A"'!M4/1000</f>
        <v>145130.18315465777</v>
      </c>
      <c r="I32" s="70">
        <f>'Revenues"A"'!N4/1000</f>
        <v>149096.41320017559</v>
      </c>
      <c r="J32" s="70">
        <f>'Revenues"A"'!O4/1000</f>
        <v>155242.93903741933</v>
      </c>
      <c r="K32" s="70">
        <f>'Revenues"A"'!P4/1000</f>
        <v>155679.13287232321</v>
      </c>
      <c r="L32" s="70">
        <f>'Revenues"A"'!Q4/1000</f>
        <v>156021.09088809777</v>
      </c>
      <c r="M32" s="70">
        <f>'Revenues"A"'!R4/1000</f>
        <v>156400.47288444469</v>
      </c>
      <c r="N32" s="70">
        <f>'Revenues"A"'!S4/1000</f>
        <v>156727.20127883472</v>
      </c>
      <c r="O32" s="70">
        <f>'Revenues"A"'!T4/1000</f>
        <v>156947.76273340391</v>
      </c>
    </row>
    <row r="33" spans="2:15">
      <c r="B33" s="676" t="s">
        <v>3294</v>
      </c>
      <c r="C33" s="70">
        <f>('PL"A"'!I6+'PL"A"'!I9)/1000-C32</f>
        <v>9289.9483382556355</v>
      </c>
      <c r="D33" s="70">
        <f>('PL"A"'!J6+'PL"A"'!J9)/1000-D32</f>
        <v>9591.6450927134574</v>
      </c>
      <c r="E33" s="70">
        <f>('PL"A"'!K6+'PL"A"'!K9)/1000-E32</f>
        <v>10096.661252467893</v>
      </c>
      <c r="F33" s="70">
        <f>('PL"A"'!L6+'PL"A"'!L9)/1000-F32</f>
        <v>10771.058934684406</v>
      </c>
      <c r="G33" s="70">
        <f>('PL"A"'!M6+'PL"A"'!M9)/1000-G32</f>
        <v>11388.257036585273</v>
      </c>
      <c r="H33" s="70">
        <f>('PL"A"'!N6+'PL"A"'!N9)/1000-H32</f>
        <v>11796.034309796058</v>
      </c>
      <c r="I33" s="70">
        <f>('PL"A"'!O6+'PL"A"'!O9)/1000-I32</f>
        <v>12366.445141512871</v>
      </c>
      <c r="J33" s="70">
        <f>('PL"A"'!P6+'PL"A"'!P9)/1000-J32</f>
        <v>13088.622411509801</v>
      </c>
      <c r="K33" s="70">
        <f>('PL"A"'!Q6+'PL"A"'!Q9)/1000-K32</f>
        <v>13517.064599566016</v>
      </c>
      <c r="L33" s="70">
        <f>('PL"A"'!R6+'PL"A"'!R9)/1000-L32</f>
        <v>13957.759863678803</v>
      </c>
      <c r="M33" s="70">
        <f>('PL"A"'!S6+'PL"A"'!S9)/1000-M32</f>
        <v>14403.62011837773</v>
      </c>
      <c r="N33" s="70">
        <f>('PL"A"'!T6+'PL"A"'!T9)/1000-N32</f>
        <v>14849.0733732511</v>
      </c>
      <c r="O33" s="70">
        <f>('PL"A"'!U6+'PL"A"'!U9)/1000-O32</f>
        <v>15290.059481065022</v>
      </c>
    </row>
    <row r="34" spans="2:15">
      <c r="B34" s="676" t="s">
        <v>3296</v>
      </c>
      <c r="C34" s="70">
        <f>('PL"A"'!I7+'PL"A"'!I13)/1000</f>
        <v>67639.743339583642</v>
      </c>
      <c r="D34" s="70">
        <f>('PL"A"'!J7+'PL"A"'!J13)/1000</f>
        <v>67346.358781333009</v>
      </c>
      <c r="E34" s="70">
        <f>('PL"A"'!K7+'PL"A"'!K13)/1000</f>
        <v>69016.084714247321</v>
      </c>
      <c r="F34" s="70">
        <f>('PL"A"'!L7+'PL"A"'!L13)/1000</f>
        <v>72132.713270957698</v>
      </c>
      <c r="G34" s="70">
        <f>('PL"A"'!M7+'PL"A"'!M13)/1000</f>
        <v>74433.857725047943</v>
      </c>
      <c r="H34" s="70">
        <f>('PL"A"'!N7+'PL"A"'!N13)/1000</f>
        <v>74821.697720814918</v>
      </c>
      <c r="I34" s="70">
        <f>('PL"A"'!O7+'PL"A"'!O13)/1000</f>
        <v>76490.43705191472</v>
      </c>
      <c r="J34" s="70">
        <f>('PL"A"'!P7+'PL"A"'!P13)/1000</f>
        <v>79038.865621013683</v>
      </c>
      <c r="K34" s="70">
        <f>('PL"A"'!Q7+'PL"A"'!Q13)/1000</f>
        <v>78022.358952807292</v>
      </c>
      <c r="L34" s="70">
        <f>('PL"A"'!R7+'PL"A"'!R13)/1000</f>
        <v>78270.904560417097</v>
      </c>
      <c r="M34" s="70">
        <f>('PL"A"'!S7+'PL"A"'!S13)/1000</f>
        <v>78535.408189854294</v>
      </c>
      <c r="N34" s="70">
        <f>('PL"A"'!T7+'PL"A"'!T13)/1000</f>
        <v>78780.169216251787</v>
      </c>
      <c r="O34" s="70">
        <f>('PL"A"'!U7+'PL"A"'!U13)/1000</f>
        <v>78983.776797295897</v>
      </c>
    </row>
    <row r="35" spans="2:15">
      <c r="B35" s="676" t="s">
        <v>3297</v>
      </c>
      <c r="C35" s="70">
        <f>'PL"A"'!I17/1000</f>
        <v>114071.96557999999</v>
      </c>
      <c r="D35" s="70">
        <f>'PL"A"'!J17/1000</f>
        <v>113363.51914414177</v>
      </c>
      <c r="E35" s="70">
        <f>'PL"A"'!K17/1000</f>
        <v>116046.22467903518</v>
      </c>
      <c r="F35" s="70">
        <f>'PL"A"'!L17/1000</f>
        <v>118953.62160879713</v>
      </c>
      <c r="G35" s="70">
        <f>'PL"A"'!M17/1000</f>
        <v>120330.65235780305</v>
      </c>
      <c r="H35" s="70">
        <f>'PL"A"'!N17/1000</f>
        <v>118539.53946802298</v>
      </c>
      <c r="I35" s="70">
        <f>'PL"A"'!O17/1000</f>
        <v>117221.65635203762</v>
      </c>
      <c r="J35" s="70">
        <f>'PL"A"'!P17/1000</f>
        <v>118742.18598261723</v>
      </c>
      <c r="K35" s="70">
        <f>'PL"A"'!Q17/1000</f>
        <v>116789.41724827206</v>
      </c>
      <c r="L35" s="70">
        <f>'PL"A"'!R17/1000</f>
        <v>116937.76673922462</v>
      </c>
      <c r="M35" s="70">
        <f>'PL"A"'!S17/1000</f>
        <v>117107.57935042515</v>
      </c>
      <c r="N35" s="70">
        <f>'PL"A"'!T17/1000</f>
        <v>117245.82889572761</v>
      </c>
      <c r="O35" s="70">
        <f>'PL"A"'!U17/1000</f>
        <v>117321.1079986808</v>
      </c>
    </row>
    <row r="36" spans="2:15" s="457" customFormat="1">
      <c r="B36" s="457" t="s">
        <v>3298</v>
      </c>
      <c r="C36" s="1019">
        <f>C32+C33-C34-C35</f>
        <v>-44304.388208946548</v>
      </c>
      <c r="D36" s="1019">
        <f t="shared" ref="D36:O36" si="6">D32+D33-D34-D35</f>
        <v>-43966.873418429604</v>
      </c>
      <c r="E36" s="1019">
        <f t="shared" si="6"/>
        <v>-43810.952078476766</v>
      </c>
      <c r="F36" s="1019">
        <f t="shared" si="6"/>
        <v>-41500.528095227593</v>
      </c>
      <c r="G36" s="1019">
        <f t="shared" si="6"/>
        <v>-38985.004670426919</v>
      </c>
      <c r="H36" s="1019">
        <f t="shared" si="6"/>
        <v>-36435.019724384067</v>
      </c>
      <c r="I36" s="1019">
        <f t="shared" si="6"/>
        <v>-32249.235062263877</v>
      </c>
      <c r="J36" s="1019">
        <f t="shared" si="6"/>
        <v>-29449.49015470178</v>
      </c>
      <c r="K36" s="1019">
        <f t="shared" si="6"/>
        <v>-25615.578729190122</v>
      </c>
      <c r="L36" s="1019">
        <f t="shared" si="6"/>
        <v>-25229.820547865151</v>
      </c>
      <c r="M36" s="1019">
        <f t="shared" si="6"/>
        <v>-24838.894537457018</v>
      </c>
      <c r="N36" s="1019">
        <f t="shared" si="6"/>
        <v>-24449.723459893576</v>
      </c>
      <c r="O36" s="1019">
        <f t="shared" si="6"/>
        <v>-24067.062581507766</v>
      </c>
    </row>
    <row r="37" spans="2:15">
      <c r="B37" s="676" t="s">
        <v>3299</v>
      </c>
      <c r="C37" s="70">
        <f>C39+C38-C36</f>
        <v>-1040.6239144296924</v>
      </c>
      <c r="D37" s="70">
        <f t="shared" ref="D37:O37" si="7">D39+D38-D36</f>
        <v>-1041.4747073179096</v>
      </c>
      <c r="E37" s="70">
        <f t="shared" si="7"/>
        <v>-648.1061330033117</v>
      </c>
      <c r="F37" s="70">
        <f t="shared" si="7"/>
        <v>151.73293406779703</v>
      </c>
      <c r="G37" s="70">
        <f t="shared" si="7"/>
        <v>735.34905797049578</v>
      </c>
      <c r="H37" s="70">
        <f t="shared" si="7"/>
        <v>1319.2563250380044</v>
      </c>
      <c r="I37" s="70">
        <f t="shared" si="7"/>
        <v>2744.4984827144544</v>
      </c>
      <c r="J37" s="70">
        <f t="shared" si="7"/>
        <v>4217.7966150807624</v>
      </c>
      <c r="K37" s="70">
        <f t="shared" si="7"/>
        <v>5682.6439948860789</v>
      </c>
      <c r="L37" s="70">
        <f t="shared" si="7"/>
        <v>5835.7434653762903</v>
      </c>
      <c r="M37" s="70">
        <f t="shared" si="7"/>
        <v>5990.9288690500107</v>
      </c>
      <c r="N37" s="70">
        <f t="shared" si="7"/>
        <v>6145.8671600466878</v>
      </c>
      <c r="O37" s="70">
        <f t="shared" si="7"/>
        <v>6300.205043383834</v>
      </c>
    </row>
    <row r="38" spans="2:15">
      <c r="B38" s="676" t="s">
        <v>3300</v>
      </c>
      <c r="C38" s="70">
        <f>'PL"A"'!I23/1000</f>
        <v>4576.7576347500008</v>
      </c>
      <c r="D38" s="70">
        <f>'PL"A"'!J23/1000</f>
        <v>5219.8632021748717</v>
      </c>
      <c r="E38" s="70">
        <f>'PL"A"'!K23/1000</f>
        <v>8549.3418620966386</v>
      </c>
      <c r="F38" s="70">
        <f>'PL"A"'!L23/1000</f>
        <v>13243.816506763393</v>
      </c>
      <c r="G38" s="70">
        <f>'PL"A"'!M23/1000</f>
        <v>22575.420307578013</v>
      </c>
      <c r="H38" s="70">
        <f>'PL"A"'!N23/1000</f>
        <v>24581.598381007756</v>
      </c>
      <c r="I38" s="70">
        <f>'PL"A"'!O23/1000</f>
        <v>29597.043564582116</v>
      </c>
      <c r="J38" s="70">
        <f>'PL"A"'!P23/1000</f>
        <v>40596.05004967899</v>
      </c>
      <c r="K38" s="70">
        <f>'PL"A"'!Q23/1000</f>
        <v>39887.899066013844</v>
      </c>
      <c r="L38" s="70">
        <f>'PL"A"'!R23/1000</f>
        <v>38166.31741607537</v>
      </c>
      <c r="M38" s="70">
        <f>'PL"A"'!S23/1000</f>
        <v>37875.768395189079</v>
      </c>
      <c r="N38" s="70">
        <f>'PL"A"'!T23/1000</f>
        <v>30226.426394690356</v>
      </c>
      <c r="O38" s="70">
        <f>'PL"A"'!U23/1000</f>
        <v>30474.090321889667</v>
      </c>
    </row>
    <row r="39" spans="2:15" s="457" customFormat="1">
      <c r="B39" s="1157" t="s">
        <v>3301</v>
      </c>
      <c r="C39" s="1020">
        <f>'PL"A"'!I56/1000</f>
        <v>-49921.76975812624</v>
      </c>
      <c r="D39" s="1020">
        <f>'PL"A"'!J56/1000</f>
        <v>-50228.211327922385</v>
      </c>
      <c r="E39" s="1020">
        <f>'PL"A"'!K56/1000</f>
        <v>-53008.400073576719</v>
      </c>
      <c r="F39" s="1020">
        <f>'PL"A"'!L56/1000</f>
        <v>-54592.611667923185</v>
      </c>
      <c r="G39" s="1020">
        <f>'PL"A"'!M56/1000</f>
        <v>-60825.07592003444</v>
      </c>
      <c r="H39" s="1020">
        <f>'PL"A"'!N56/1000</f>
        <v>-59697.361780353815</v>
      </c>
      <c r="I39" s="1020">
        <f>'PL"A"'!O56/1000</f>
        <v>-59101.780144131539</v>
      </c>
      <c r="J39" s="1020">
        <f>'PL"A"'!P56/1000</f>
        <v>-65827.743589300007</v>
      </c>
      <c r="K39" s="1020">
        <f>'PL"A"'!Q56/1000</f>
        <v>-59820.833800317887</v>
      </c>
      <c r="L39" s="1020">
        <f>'PL"A"'!R56/1000</f>
        <v>-57560.39449856423</v>
      </c>
      <c r="M39" s="1020">
        <f>'PL"A"'!S56/1000</f>
        <v>-56723.734063596086</v>
      </c>
      <c r="N39" s="1020">
        <f>'PL"A"'!T56/1000</f>
        <v>-48530.282694537244</v>
      </c>
      <c r="O39" s="1020">
        <f>'PL"A"'!U56/1000</f>
        <v>-48240.947860013599</v>
      </c>
    </row>
    <row r="40" spans="2:15" s="457" customFormat="1">
      <c r="B40" s="1158" t="s">
        <v>3302</v>
      </c>
      <c r="C40" s="1019">
        <f>'BS"A"'!I6/1000</f>
        <v>144264.91990828721</v>
      </c>
      <c r="D40" s="1019">
        <f>'BS"A"'!J6/1000</f>
        <v>272030.23188461777</v>
      </c>
      <c r="E40" s="1019">
        <f>'BS"A"'!K6/1000</f>
        <v>436711.83861876198</v>
      </c>
      <c r="F40" s="1019">
        <f>'BS"A"'!L6/1000</f>
        <v>562890.2673071397</v>
      </c>
      <c r="G40" s="1019">
        <f>'BS"A"'!M6/1000</f>
        <v>623579.344790829</v>
      </c>
      <c r="H40" s="1019">
        <f>'BS"A"'!N6/1000</f>
        <v>802091.61291127303</v>
      </c>
      <c r="I40" s="1019">
        <f>'BS"A"'!O6/1000</f>
        <v>897468.22477527568</v>
      </c>
      <c r="J40" s="1019">
        <f>'BS"A"'!P6/1000</f>
        <v>868001.37684366631</v>
      </c>
      <c r="K40" s="1019">
        <f>'BS"A"'!Q6/1000</f>
        <v>839413.87056213501</v>
      </c>
      <c r="L40" s="1019">
        <f>'BS"A"'!R6/1000</f>
        <v>812752.04660109326</v>
      </c>
      <c r="M40" s="1019">
        <f>'BS"A"'!S6/1000</f>
        <v>786615.68508760398</v>
      </c>
      <c r="N40" s="1019">
        <f>'BS"A"'!T6/1000</f>
        <v>768344.62631221698</v>
      </c>
      <c r="O40" s="1019">
        <f>'BS"A"'!U6/1000</f>
        <v>750030.89199050609</v>
      </c>
    </row>
    <row r="41" spans="2:15">
      <c r="B41" s="554" t="s">
        <v>3303</v>
      </c>
      <c r="C41" s="70">
        <f>'BS"A"'!I7/1000</f>
        <v>83703.683222244857</v>
      </c>
      <c r="D41" s="70">
        <f>'BS"A"'!J7/1000</f>
        <v>211662.96641694065</v>
      </c>
      <c r="E41" s="70">
        <f>'BS"A"'!K7/1000</f>
        <v>375034.73466304201</v>
      </c>
      <c r="F41" s="70">
        <f>'BS"A"'!L7/1000</f>
        <v>498290.57702098117</v>
      </c>
      <c r="G41" s="70">
        <f>'BS"A"'!M7/1000</f>
        <v>555962.27965059294</v>
      </c>
      <c r="H41" s="70">
        <f>'BS"A"'!N7/1000</f>
        <v>731998.48861255962</v>
      </c>
      <c r="I41" s="70">
        <f>'BS"A"'!O7/1000</f>
        <v>822772.1294537622</v>
      </c>
      <c r="J41" s="70">
        <f>'BS"A"'!P7/1000</f>
        <v>786752.14313078008</v>
      </c>
      <c r="K41" s="70">
        <f>'BS"A"'!Q7/1000</f>
        <v>751531.82906599715</v>
      </c>
      <c r="L41" s="70">
        <f>'BS"A"'!R7/1000</f>
        <v>718126.44835117739</v>
      </c>
      <c r="M41" s="70">
        <f>'BS"A"'!S7/1000</f>
        <v>685106.83539126883</v>
      </c>
      <c r="N41" s="70">
        <f>'BS"A"'!T7/1000</f>
        <v>659833.68754056469</v>
      </c>
      <c r="O41" s="70">
        <f>'BS"A"'!U7/1000</f>
        <v>634411.94133354083</v>
      </c>
    </row>
    <row r="42" spans="2:15">
      <c r="B42" s="554" t="s">
        <v>3304</v>
      </c>
      <c r="C42" s="70">
        <f>'BS"A"'!I22/1000</f>
        <v>58472.479706042366</v>
      </c>
      <c r="D42" s="70">
        <f>'BS"A"'!J22/1000</f>
        <v>58278.508487677071</v>
      </c>
      <c r="E42" s="70">
        <f>'BS"A"'!K22/1000</f>
        <v>59588.346975719942</v>
      </c>
      <c r="F42" s="70">
        <f>'BS"A"'!L22/1000</f>
        <v>62510.93330615852</v>
      </c>
      <c r="G42" s="70">
        <f>'BS"A"'!M22/1000</f>
        <v>65528.308160236025</v>
      </c>
      <c r="H42" s="70">
        <f>'BS"A"'!N22/1000</f>
        <v>68004.367318713266</v>
      </c>
      <c r="I42" s="70">
        <f>'BS"A"'!O22/1000</f>
        <v>72607.338341513474</v>
      </c>
      <c r="J42" s="70">
        <f>'BS"A"'!P22/1000</f>
        <v>79160.476732886149</v>
      </c>
      <c r="K42" s="70">
        <f>'BS"A"'!Q22/1000</f>
        <v>85793.284516137894</v>
      </c>
      <c r="L42" s="70">
        <f>'BS"A"'!R22/1000</f>
        <v>92536.841269915953</v>
      </c>
      <c r="M42" s="70">
        <f>'BS"A"'!S22/1000</f>
        <v>99420.092716335086</v>
      </c>
      <c r="N42" s="70">
        <f>'BS"A"'!T22/1000</f>
        <v>106422.18179165231</v>
      </c>
      <c r="O42" s="70">
        <f>'BS"A"'!U22/1000</f>
        <v>113530.19367696519</v>
      </c>
    </row>
    <row r="43" spans="2:15">
      <c r="B43" s="554" t="s">
        <v>3305</v>
      </c>
      <c r="C43" s="70">
        <f>C40-SUM(C41:C42)</f>
        <v>2088.7569799999765</v>
      </c>
      <c r="D43" s="70">
        <f t="shared" ref="D43:O43" si="8">D40-SUM(D41:D42)</f>
        <v>2088.7569800000638</v>
      </c>
      <c r="E43" s="70">
        <f t="shared" si="8"/>
        <v>2088.7569800000056</v>
      </c>
      <c r="F43" s="70">
        <f t="shared" si="8"/>
        <v>2088.7569800000638</v>
      </c>
      <c r="G43" s="70">
        <f t="shared" si="8"/>
        <v>2088.7569800000638</v>
      </c>
      <c r="H43" s="70">
        <f t="shared" si="8"/>
        <v>2088.7569800001802</v>
      </c>
      <c r="I43" s="70">
        <f t="shared" si="8"/>
        <v>2088.7569800000638</v>
      </c>
      <c r="J43" s="70">
        <f t="shared" si="8"/>
        <v>2088.7569800000638</v>
      </c>
      <c r="K43" s="70">
        <f t="shared" si="8"/>
        <v>2088.7569799999474</v>
      </c>
      <c r="L43" s="70">
        <f t="shared" si="8"/>
        <v>2088.7569799999474</v>
      </c>
      <c r="M43" s="70">
        <f t="shared" si="8"/>
        <v>2088.7569800000638</v>
      </c>
      <c r="N43" s="70">
        <f t="shared" si="8"/>
        <v>2088.7569799999474</v>
      </c>
      <c r="O43" s="70">
        <f t="shared" si="8"/>
        <v>2088.7569800000638</v>
      </c>
    </row>
    <row r="44" spans="2:15" s="457" customFormat="1">
      <c r="B44" s="1158" t="s">
        <v>3306</v>
      </c>
      <c r="C44" s="1019">
        <f>'BS"A"'!I47/1000</f>
        <v>144133.11246828726</v>
      </c>
      <c r="D44" s="1019">
        <f>'BS"A"'!J47/1000</f>
        <v>271898.42444461776</v>
      </c>
      <c r="E44" s="1019">
        <f>'BS"A"'!K47/1000</f>
        <v>436580.03117876203</v>
      </c>
      <c r="F44" s="1019">
        <f>'BS"A"'!L47/1000</f>
        <v>562758.45986713981</v>
      </c>
      <c r="G44" s="1019">
        <f>'BS"A"'!M47/1000</f>
        <v>623447.53735082899</v>
      </c>
      <c r="H44" s="1019">
        <f>'BS"A"'!N47/1000</f>
        <v>801959.80547127302</v>
      </c>
      <c r="I44" s="1019">
        <f>'BS"A"'!O47/1000</f>
        <v>897336.41733527579</v>
      </c>
      <c r="J44" s="1019">
        <f>'BS"A"'!P47/1000</f>
        <v>867869.56940366642</v>
      </c>
      <c r="K44" s="1019">
        <f>'BS"A"'!Q47/1000</f>
        <v>839282.06312213512</v>
      </c>
      <c r="L44" s="1019">
        <f>'BS"A"'!R47/1000</f>
        <v>812620.23916109337</v>
      </c>
      <c r="M44" s="1019">
        <f>'BS"A"'!S47/1000</f>
        <v>786483.87764760398</v>
      </c>
      <c r="N44" s="1019">
        <f>'BS"A"'!T47/1000</f>
        <v>768212.81887221709</v>
      </c>
      <c r="O44" s="1019">
        <f>'BS"A"'!U47/1000</f>
        <v>749899.08455050597</v>
      </c>
    </row>
    <row r="45" spans="2:15">
      <c r="B45" s="554" t="s">
        <v>3307</v>
      </c>
      <c r="C45" s="70">
        <f>'BS"A"'!I48/1000</f>
        <v>-95207.461049628968</v>
      </c>
      <c r="D45" s="70">
        <f>'BS"A"'!J48/1000</f>
        <v>33311.539443312278</v>
      </c>
      <c r="E45" s="70">
        <f>'BS"A"'!K48/1000</f>
        <v>195113.84372556827</v>
      </c>
      <c r="F45" s="70">
        <f>'BS"A"'!L48/1000</f>
        <v>316874.04503921018</v>
      </c>
      <c r="G45" s="70">
        <f>'BS"A"'!M48/1000</f>
        <v>374724.44970930315</v>
      </c>
      <c r="H45" s="70">
        <f>'BS"A"'!N48/1000</f>
        <v>553867.84647869656</v>
      </c>
      <c r="I45" s="70">
        <f>'BS"A"'!O48/1000</f>
        <v>648381.17262249859</v>
      </c>
      <c r="J45" s="70">
        <f>'BS"A"'!P48/1000</f>
        <v>615787.6227676227</v>
      </c>
      <c r="K45" s="70">
        <f>'BS"A"'!Q48/1000</f>
        <v>589402.93033404124</v>
      </c>
      <c r="L45" s="70">
        <f>'BS"A"'!R48/1000</f>
        <v>562563.28765193734</v>
      </c>
      <c r="M45" s="70">
        <f>'BS"A"'!S48/1000</f>
        <v>536224.38021504914</v>
      </c>
      <c r="N45" s="70">
        <f>'BS"A"'!T48/1000</f>
        <v>517787.18171124189</v>
      </c>
      <c r="O45" s="70">
        <f>'BS"A"'!U48/1000</f>
        <v>499379.93546050641</v>
      </c>
    </row>
    <row r="46" spans="2:15" s="855" customFormat="1">
      <c r="B46" s="1008" t="s">
        <v>3312</v>
      </c>
      <c r="C46" s="924">
        <f>'BS"A"'!I53/1000</f>
        <v>69517.006778497205</v>
      </c>
      <c r="D46" s="924">
        <f>'BS"A"'!J53/1000</f>
        <v>248264.21859936081</v>
      </c>
      <c r="E46" s="924">
        <f>'BS"A"'!K53/1000</f>
        <v>463074.9229551935</v>
      </c>
      <c r="F46" s="924">
        <f>'BS"A"'!L53/1000</f>
        <v>639427.73593675869</v>
      </c>
      <c r="G46" s="924">
        <f>'BS"A"'!M53/1000</f>
        <v>758103.21652688598</v>
      </c>
      <c r="H46" s="924">
        <f>'BS"A"'!N53/1000</f>
        <v>996943.97507663327</v>
      </c>
      <c r="I46" s="924">
        <f>'BS"A"'!O53/1000</f>
        <v>1150559.0813645667</v>
      </c>
      <c r="J46" s="924">
        <f>'BS"A"'!P53/1000</f>
        <v>1183793.2750989909</v>
      </c>
      <c r="K46" s="924">
        <f>'BS"A"'!Q53/1000</f>
        <v>1217229.4164657274</v>
      </c>
      <c r="L46" s="924">
        <f>'BS"A"'!R53/1000</f>
        <v>1247950.1682821878</v>
      </c>
      <c r="M46" s="924">
        <f>'BS"A"'!S53/1000</f>
        <v>1278334.9949088956</v>
      </c>
      <c r="N46" s="924">
        <f>'BS"A"'!T53/1000</f>
        <v>1308428.0790996256</v>
      </c>
      <c r="O46" s="1022">
        <f>'BS"A"'!U53/1000</f>
        <v>1338261.7807089037</v>
      </c>
    </row>
    <row r="47" spans="2:15">
      <c r="B47" s="554" t="s">
        <v>3311</v>
      </c>
      <c r="C47" s="70">
        <f>'BS"A"'!I61/1000</f>
        <v>29441.022129999998</v>
      </c>
      <c r="D47" s="70">
        <f>'BS"A"'!J61/1000</f>
        <v>29441.022129999998</v>
      </c>
      <c r="E47" s="70">
        <f>'BS"A"'!K61/1000</f>
        <v>29441.022129999998</v>
      </c>
      <c r="F47" s="70">
        <f>'BS"A"'!L61/1000</f>
        <v>29441.022129999998</v>
      </c>
      <c r="G47" s="70">
        <f>'BS"A"'!M61/1000</f>
        <v>29441.022129999998</v>
      </c>
      <c r="H47" s="70">
        <f>'BS"A"'!N61/1000</f>
        <v>29441.022129999998</v>
      </c>
      <c r="I47" s="70">
        <f>'BS"A"'!O61/1000</f>
        <v>29441.022129999998</v>
      </c>
      <c r="J47" s="70">
        <f>'BS"A"'!P61/1000</f>
        <v>29441.022129999998</v>
      </c>
      <c r="K47" s="70">
        <f>'BS"A"'!Q61/1000</f>
        <v>29441.022129999998</v>
      </c>
      <c r="L47" s="70">
        <f>'BS"A"'!R61/1000</f>
        <v>29441.022129999998</v>
      </c>
      <c r="M47" s="70">
        <f>'BS"A"'!S61/1000</f>
        <v>29441.022129999998</v>
      </c>
      <c r="N47" s="70">
        <f>'BS"A"'!T61/1000</f>
        <v>29441.022129999998</v>
      </c>
      <c r="O47" s="70">
        <f>'BS"A"'!U61/1000</f>
        <v>29441.022129999998</v>
      </c>
    </row>
    <row r="48" spans="2:15">
      <c r="B48" s="554" t="s">
        <v>3308</v>
      </c>
      <c r="C48" s="70">
        <f>'BS"A"'!I65/1000</f>
        <v>50287.820559999993</v>
      </c>
      <c r="D48" s="70">
        <f>'BS"A"'!J65/1000</f>
        <v>50287.820559999993</v>
      </c>
      <c r="E48" s="70">
        <f>'BS"A"'!K65/1000</f>
        <v>50287.820559999993</v>
      </c>
      <c r="F48" s="70">
        <f>'BS"A"'!L65/1000</f>
        <v>50287.820559999993</v>
      </c>
      <c r="G48" s="70">
        <f>'BS"A"'!M65/1000</f>
        <v>50287.820559999993</v>
      </c>
      <c r="H48" s="70">
        <f>'BS"A"'!N65/1000</f>
        <v>50287.820559999993</v>
      </c>
      <c r="I48" s="70">
        <f>'BS"A"'!O65/1000</f>
        <v>50287.820559999993</v>
      </c>
      <c r="J48" s="70">
        <f>'BS"A"'!P65/1000</f>
        <v>50287.820559999993</v>
      </c>
      <c r="K48" s="70">
        <f>'BS"A"'!Q65/1000</f>
        <v>50287.820559999993</v>
      </c>
      <c r="L48" s="70">
        <f>'BS"A"'!R65/1000</f>
        <v>50287.820559999993</v>
      </c>
      <c r="M48" s="70">
        <f>'BS"A"'!S65/1000</f>
        <v>50287.820559999993</v>
      </c>
      <c r="N48" s="70">
        <f>'BS"A"'!T65/1000</f>
        <v>50287.820559999993</v>
      </c>
      <c r="O48" s="70">
        <f>'BS"A"'!U65/1000</f>
        <v>50287.820559999993</v>
      </c>
    </row>
    <row r="49" spans="2:16">
      <c r="B49" s="554" t="s">
        <v>3309</v>
      </c>
      <c r="C49" s="70">
        <f>'BS"A"'!I71/1000</f>
        <v>157513.97559791626</v>
      </c>
      <c r="D49" s="70">
        <f>'BS"A"'!J71/1000</f>
        <v>156760.28708130549</v>
      </c>
      <c r="E49" s="70">
        <f>'BS"A"'!K71/1000</f>
        <v>159639.58953319376</v>
      </c>
      <c r="F49" s="70">
        <f>'BS"A"'!L71/1000</f>
        <v>164057.81690792961</v>
      </c>
      <c r="G49" s="70">
        <f>'BS"A"'!M71/1000</f>
        <v>166896.4897215259</v>
      </c>
      <c r="H49" s="70">
        <f>'BS"A"'!N71/1000</f>
        <v>166265.36107257652</v>
      </c>
      <c r="I49" s="70">
        <f>'BS"A"'!O71/1000</f>
        <v>167128.64679277712</v>
      </c>
      <c r="J49" s="70">
        <f>'BS"A"'!P71/1000</f>
        <v>170255.34871604366</v>
      </c>
      <c r="K49" s="70">
        <f>'BS"A"'!Q71/1000</f>
        <v>168052.53486809391</v>
      </c>
      <c r="L49" s="70">
        <f>'BS"A"'!R71/1000</f>
        <v>168230.35358915597</v>
      </c>
      <c r="M49" s="70">
        <f>'BS"A"'!S71/1000</f>
        <v>168432.89951255496</v>
      </c>
      <c r="N49" s="70">
        <f>'BS"A"'!T71/1000</f>
        <v>168599.03924097519</v>
      </c>
      <c r="O49" s="70">
        <f>'BS"A"'!U71/1000</f>
        <v>168692.55116999961</v>
      </c>
    </row>
    <row r="50" spans="2:16">
      <c r="B50" s="1021" t="s">
        <v>3310</v>
      </c>
      <c r="C50" s="675">
        <f>C44-SUM(C45:C49)+C46</f>
        <v>2097.7552299999952</v>
      </c>
      <c r="D50" s="675">
        <f t="shared" ref="D50:O50" si="9">D44-SUM(D45:D49)+D46</f>
        <v>2097.7552299999807</v>
      </c>
      <c r="E50" s="675">
        <f t="shared" si="9"/>
        <v>2097.7552300001262</v>
      </c>
      <c r="F50" s="675">
        <f t="shared" si="9"/>
        <v>2097.7552300001262</v>
      </c>
      <c r="G50" s="675">
        <f t="shared" si="9"/>
        <v>2097.7552300000098</v>
      </c>
      <c r="H50" s="675">
        <f t="shared" si="9"/>
        <v>2097.7552299998933</v>
      </c>
      <c r="I50" s="675">
        <f t="shared" si="9"/>
        <v>2097.7552300002426</v>
      </c>
      <c r="J50" s="675">
        <f t="shared" si="9"/>
        <v>2097.7552300000098</v>
      </c>
      <c r="K50" s="675">
        <f t="shared" si="9"/>
        <v>2097.7552300002426</v>
      </c>
      <c r="L50" s="675">
        <f t="shared" si="9"/>
        <v>2097.7552300004754</v>
      </c>
      <c r="M50" s="675">
        <f t="shared" si="9"/>
        <v>2097.7552300000098</v>
      </c>
      <c r="N50" s="675">
        <f t="shared" si="9"/>
        <v>2097.7552300002426</v>
      </c>
      <c r="O50" s="675">
        <f t="shared" si="9"/>
        <v>2097.7552300000098</v>
      </c>
    </row>
    <row r="51" spans="2:16">
      <c r="B51" s="554" t="s">
        <v>3313</v>
      </c>
      <c r="C51" s="69">
        <f>'CF"A"'!H7/1000</f>
        <v>-49921.76975812624</v>
      </c>
      <c r="D51" s="69">
        <f>'CF"A"'!I7/1000</f>
        <v>-50228.211327922385</v>
      </c>
      <c r="E51" s="69">
        <f>'CF"A"'!J7/1000</f>
        <v>-53008.400073576719</v>
      </c>
      <c r="F51" s="69">
        <f>'CF"A"'!K7/1000</f>
        <v>-54592.611667923185</v>
      </c>
      <c r="G51" s="69">
        <f>'CF"A"'!L7/1000</f>
        <v>-60825.07592003444</v>
      </c>
      <c r="H51" s="69">
        <f>'CF"A"'!M7/1000</f>
        <v>-59697.361780353815</v>
      </c>
      <c r="I51" s="69">
        <f>'CF"A"'!N7/1000</f>
        <v>-59101.780144131539</v>
      </c>
      <c r="J51" s="69">
        <f>'CF"A"'!O7/1000</f>
        <v>-65827.743589300007</v>
      </c>
      <c r="K51" s="69">
        <f>'CF"A"'!P7/1000</f>
        <v>-59820.833800317887</v>
      </c>
      <c r="L51" s="69">
        <f>'CF"A"'!Q7/1000</f>
        <v>-57560.39449856423</v>
      </c>
      <c r="M51" s="69">
        <f>'CF"A"'!R7/1000</f>
        <v>-56723.734063596086</v>
      </c>
      <c r="N51" s="69">
        <f>'CF"A"'!S7/1000</f>
        <v>-48530.282694537244</v>
      </c>
      <c r="O51" s="69">
        <f>'CF"A"'!T7/1000</f>
        <v>-48240.947860013599</v>
      </c>
    </row>
    <row r="52" spans="2:16">
      <c r="B52" s="554" t="s">
        <v>3314</v>
      </c>
      <c r="C52" s="69">
        <f>'CF"A"'!H8/1000</f>
        <v>4693.8859914500017</v>
      </c>
      <c r="D52" s="69">
        <f>'CF"A"'!I8/1000</f>
        <v>5336.9915588748727</v>
      </c>
      <c r="E52" s="69">
        <f>'CF"A"'!J8/1000</f>
        <v>8666.4702187966395</v>
      </c>
      <c r="F52" s="69">
        <f>'CF"A"'!K8/1000</f>
        <v>13360.944863463392</v>
      </c>
      <c r="G52" s="69">
        <f>'CF"A"'!L8/1000</f>
        <v>22692.548664278012</v>
      </c>
      <c r="H52" s="69">
        <f>'CF"A"'!M8/1000</f>
        <v>24698.726737707755</v>
      </c>
      <c r="I52" s="69">
        <f>'CF"A"'!N8/1000</f>
        <v>29714.171921282115</v>
      </c>
      <c r="J52" s="69">
        <f>'CF"A"'!O8/1000</f>
        <v>40713.178406378989</v>
      </c>
      <c r="K52" s="69">
        <f>'CF"A"'!P8/1000</f>
        <v>40005.027422713843</v>
      </c>
      <c r="L52" s="69">
        <f>'CF"A"'!Q8/1000</f>
        <v>38283.445772775376</v>
      </c>
      <c r="M52" s="69">
        <f>'CF"A"'!R8/1000</f>
        <v>37992.896751889079</v>
      </c>
      <c r="N52" s="69">
        <f>'CF"A"'!S8/1000</f>
        <v>30343.554751390355</v>
      </c>
      <c r="O52" s="69">
        <f>'CF"A"'!T8/1000</f>
        <v>30591.218678589667</v>
      </c>
    </row>
    <row r="53" spans="2:16">
      <c r="B53" s="554" t="s">
        <v>3315</v>
      </c>
      <c r="C53" s="69">
        <f>'CF"A"'!H14/1000</f>
        <v>1552.2280418738658</v>
      </c>
      <c r="D53" s="69">
        <f>'CF"A"'!I14/1000</f>
        <v>-583.71646308111588</v>
      </c>
      <c r="E53" s="69">
        <f>'CF"A"'!J14/1000</f>
        <v>1925.6732371887761</v>
      </c>
      <c r="F53" s="69">
        <f>'CF"A"'!K14/1000</f>
        <v>2636.2828053449894</v>
      </c>
      <c r="G53" s="69">
        <f>'CF"A"'!L14/1000</f>
        <v>1524.0968958552946</v>
      </c>
      <c r="H53" s="69">
        <f>'CF"A"'!M14/1000</f>
        <v>-850.12509062910635</v>
      </c>
      <c r="I53" s="69">
        <f>'CF"A"'!N14/1000</f>
        <v>-88.712018197754404</v>
      </c>
      <c r="J53" s="69">
        <f>'CF"A"'!O14/1000</f>
        <v>1672.2691788435661</v>
      </c>
      <c r="K53" s="69">
        <f>'CF"A"'!P14/1000</f>
        <v>-2357.6234333641723</v>
      </c>
      <c r="L53" s="69">
        <f>'CF"A"'!Q14/1000</f>
        <v>40.984960383605213</v>
      </c>
      <c r="M53" s="69">
        <f>'CF"A"'!R14/1000</f>
        <v>56.880537469528619</v>
      </c>
      <c r="N53" s="69">
        <f>'CF"A"'!S14/1000</f>
        <v>32.273609154692849</v>
      </c>
      <c r="O53" s="69">
        <f>'CF"A"'!T14/1000</f>
        <v>-16.193784423798324</v>
      </c>
    </row>
    <row r="54" spans="2:16">
      <c r="B54" s="554" t="s">
        <v>3318</v>
      </c>
      <c r="C54" s="69">
        <f>'CF"A"'!H23/1000</f>
        <v>-25724.222696994842</v>
      </c>
      <c r="D54" s="69">
        <f>'CF"A"'!I23/1000</f>
        <v>-133179.14639687067</v>
      </c>
      <c r="E54" s="69">
        <f>'CF"A"'!J23/1000</f>
        <v>-171921.11010819799</v>
      </c>
      <c r="F54" s="69">
        <f>'CF"A"'!K23/1000</f>
        <v>-136499.65886470259</v>
      </c>
      <c r="G54" s="69">
        <f>'CF"A"'!L23/1000</f>
        <v>-80247.12293718975</v>
      </c>
      <c r="H54" s="69">
        <f>'CF"A"'!M23/1000</f>
        <v>-200617.80734297453</v>
      </c>
      <c r="I54" s="69">
        <f>'CF"A"'!N23/1000</f>
        <v>-120370.6844057846</v>
      </c>
      <c r="J54" s="69">
        <f>'CF"A"'!O23/1000</f>
        <v>-4576.0637266969161</v>
      </c>
      <c r="K54" s="69">
        <f>'CF"A"'!P23/1000</f>
        <v>-4667.5850012308656</v>
      </c>
      <c r="L54" s="69">
        <f>'CF"A"'!Q23/1000</f>
        <v>-4760.9367012555822</v>
      </c>
      <c r="M54" s="69">
        <f>'CF"A"'!R23/1000</f>
        <v>-4856.1554352805915</v>
      </c>
      <c r="N54" s="69">
        <f>'CF"A"'!S23/1000</f>
        <v>-4953.2785439861636</v>
      </c>
      <c r="O54" s="69">
        <f>'CF"A"'!T23/1000</f>
        <v>-5052.3441148658094</v>
      </c>
    </row>
    <row r="55" spans="2:16">
      <c r="B55" s="554" t="s">
        <v>3316</v>
      </c>
      <c r="C55" s="69">
        <f>'CF"A"'!H18/1000</f>
        <v>-117.1283567</v>
      </c>
      <c r="D55" s="69">
        <f>'CF"A"'!I18/1000</f>
        <v>-117.1283567</v>
      </c>
      <c r="E55" s="69">
        <f>'CF"A"'!J18/1000</f>
        <v>-117.1283567</v>
      </c>
      <c r="F55" s="69">
        <f>'CF"A"'!K18/1000</f>
        <v>-117.1283567</v>
      </c>
      <c r="G55" s="69">
        <f>'CF"A"'!L18/1000</f>
        <v>-117.1283567</v>
      </c>
      <c r="H55" s="69">
        <f>'CF"A"'!M18/1000</f>
        <v>-117.1283567</v>
      </c>
      <c r="I55" s="69">
        <f>'CF"A"'!N18/1000</f>
        <v>-117.1283567</v>
      </c>
      <c r="J55" s="69">
        <f>'CF"A"'!O18/1000</f>
        <v>-117.1283567</v>
      </c>
      <c r="K55" s="69">
        <f>'CF"A"'!P18/1000</f>
        <v>-117.1283567</v>
      </c>
      <c r="L55" s="69">
        <f>'CF"A"'!Q18/1000</f>
        <v>-117.1283567</v>
      </c>
      <c r="M55" s="69">
        <f>'CF"A"'!R18/1000</f>
        <v>-117.1283567</v>
      </c>
      <c r="N55" s="69">
        <f>'CF"A"'!S18/1000</f>
        <v>-117.1283567</v>
      </c>
      <c r="O55" s="69">
        <f>'CF"A"'!T18/1000</f>
        <v>-117.1283567</v>
      </c>
    </row>
    <row r="56" spans="2:16" s="457" customFormat="1">
      <c r="B56" s="1157" t="s">
        <v>3317</v>
      </c>
      <c r="C56" s="597">
        <f>SUM(C51:C55)</f>
        <v>-69517.00677849722</v>
      </c>
      <c r="D56" s="597">
        <f t="shared" ref="D56:O56" si="10">SUM(D51:D55)</f>
        <v>-178771.21098569932</v>
      </c>
      <c r="E56" s="597">
        <f t="shared" si="10"/>
        <v>-214454.4950824893</v>
      </c>
      <c r="F56" s="597">
        <f t="shared" si="10"/>
        <v>-175212.1712205174</v>
      </c>
      <c r="G56" s="597">
        <f t="shared" si="10"/>
        <v>-116972.6816537909</v>
      </c>
      <c r="H56" s="597">
        <f t="shared" si="10"/>
        <v>-236583.69583294971</v>
      </c>
      <c r="I56" s="597">
        <f t="shared" si="10"/>
        <v>-149964.13300353178</v>
      </c>
      <c r="J56" s="597">
        <f t="shared" si="10"/>
        <v>-28135.488087474369</v>
      </c>
      <c r="K56" s="597">
        <f t="shared" si="10"/>
        <v>-26958.143168899082</v>
      </c>
      <c r="L56" s="597">
        <f t="shared" si="10"/>
        <v>-24114.02882336083</v>
      </c>
      <c r="M56" s="597">
        <f t="shared" si="10"/>
        <v>-23647.240566218068</v>
      </c>
      <c r="N56" s="597">
        <f t="shared" si="10"/>
        <v>-23224.861234678356</v>
      </c>
      <c r="O56" s="597">
        <f t="shared" si="10"/>
        <v>-22835.395437413539</v>
      </c>
    </row>
    <row r="58" spans="2:16" s="568" customFormat="1">
      <c r="B58" s="1049" t="s">
        <v>3330</v>
      </c>
      <c r="C58" s="568">
        <f>'CF"A"'!H14/1000</f>
        <v>1552.2280418738658</v>
      </c>
      <c r="D58" s="568">
        <f>'CF"A"'!I14/1000</f>
        <v>-583.71646308111588</v>
      </c>
      <c r="E58" s="568">
        <f>'CF"A"'!J14/1000</f>
        <v>1925.6732371887761</v>
      </c>
      <c r="F58" s="568">
        <f>'CF"A"'!K14/1000</f>
        <v>2636.2828053449894</v>
      </c>
      <c r="G58" s="568">
        <f>'CF"A"'!L14/1000</f>
        <v>1524.0968958552946</v>
      </c>
      <c r="H58" s="568">
        <f>'CF"A"'!M14/1000</f>
        <v>-850.12509062910635</v>
      </c>
      <c r="I58" s="568">
        <f>'CF"A"'!N14/1000</f>
        <v>-88.712018197754404</v>
      </c>
      <c r="J58" s="568">
        <f>'CF"A"'!O14/1000</f>
        <v>1672.2691788435661</v>
      </c>
      <c r="K58" s="568">
        <f>'CF"A"'!P14/1000</f>
        <v>-2357.6234333641723</v>
      </c>
      <c r="L58" s="568">
        <f>'CF"A"'!Q14/1000</f>
        <v>40.984960383605213</v>
      </c>
      <c r="M58" s="568">
        <f>'CF"A"'!R14/1000</f>
        <v>56.880537469528619</v>
      </c>
      <c r="N58" s="568">
        <f>'CF"A"'!S14/1000</f>
        <v>32.273609154692849</v>
      </c>
      <c r="O58" s="568">
        <f>'CF"A"'!T14/1000</f>
        <v>-16.193784423798324</v>
      </c>
    </row>
    <row r="59" spans="2:16">
      <c r="B59" s="1049" t="s">
        <v>3314</v>
      </c>
      <c r="C59" s="568">
        <f>'CF"A"'!H15/1000</f>
        <v>-1103.5448625136391</v>
      </c>
      <c r="D59" s="568">
        <f>'CF"A"'!I15/1000</f>
        <v>132.05095795386657</v>
      </c>
      <c r="E59" s="568">
        <f>'CF"A"'!J15/1000</f>
        <v>-740.87268300212179</v>
      </c>
      <c r="F59" s="568">
        <f>'CF"A"'!K15/1000</f>
        <v>-1384.3892717797346</v>
      </c>
      <c r="G59" s="568">
        <f>'CF"A"'!L15/1000</f>
        <v>-1021.2914748985655</v>
      </c>
      <c r="H59" s="568">
        <f>'CF"A"'!M15/1000</f>
        <v>-170.13790980206056</v>
      </c>
      <c r="I59" s="568">
        <f>'CF"A"'!N15/1000</f>
        <v>-739.60519223546612</v>
      </c>
      <c r="J59" s="568">
        <f>'CF"A"'!O15/1000</f>
        <v>-1129.9459716598169</v>
      </c>
      <c r="K59" s="568">
        <f>'CF"A"'!P15/1000</f>
        <v>-120.27126595171168</v>
      </c>
      <c r="L59" s="568">
        <f>'CF"A"'!Q15/1000</f>
        <v>-106.30588266017288</v>
      </c>
      <c r="M59" s="568">
        <f>'CF"A"'!R15/1000</f>
        <v>-113.16715514853969</v>
      </c>
      <c r="N59" s="568">
        <f>'CF"A"'!S15/1000</f>
        <v>-104.00032781565935</v>
      </c>
      <c r="O59" s="568">
        <f>'CF"A"'!T15/1000</f>
        <v>-85.230155505131933</v>
      </c>
      <c r="P59" s="568"/>
    </row>
    <row r="60" spans="2:16">
      <c r="B60" s="1049" t="s">
        <v>3315</v>
      </c>
      <c r="C60" s="568">
        <f>'CF"A"'!H21/1000</f>
        <v>0</v>
      </c>
      <c r="D60" s="568">
        <f>'CF"A"'!I21/1000</f>
        <v>0</v>
      </c>
      <c r="E60" s="568">
        <f>'CF"A"'!J21/1000</f>
        <v>0</v>
      </c>
      <c r="F60" s="568">
        <f>'CF"A"'!K21/1000</f>
        <v>0</v>
      </c>
      <c r="G60" s="568">
        <f>'CF"A"'!L21/1000</f>
        <v>0</v>
      </c>
      <c r="H60" s="568">
        <f>'CF"A"'!M21/1000</f>
        <v>0</v>
      </c>
      <c r="I60" s="568">
        <f>'CF"A"'!N21/1000</f>
        <v>0</v>
      </c>
      <c r="J60" s="568">
        <f>'CF"A"'!O21/1000</f>
        <v>0</v>
      </c>
      <c r="K60" s="568">
        <f>'CF"A"'!P21/1000</f>
        <v>0</v>
      </c>
      <c r="L60" s="568">
        <f>'CF"A"'!Q21/1000</f>
        <v>0</v>
      </c>
      <c r="M60" s="568">
        <f>'CF"A"'!R21/1000</f>
        <v>0</v>
      </c>
      <c r="N60" s="568">
        <f>'CF"A"'!S21/1000</f>
        <v>0</v>
      </c>
      <c r="O60" s="568">
        <f>'CF"A"'!T21/1000</f>
        <v>0</v>
      </c>
      <c r="P60" s="568"/>
    </row>
    <row r="61" spans="2:16">
      <c r="B61" s="1049" t="s">
        <v>3318</v>
      </c>
      <c r="C61" s="568">
        <f>'CF"A"'!H30/1000</f>
        <v>0</v>
      </c>
      <c r="D61" s="568">
        <f>'CF"A"'!I30/1000</f>
        <v>7.4505805969238283E-12</v>
      </c>
      <c r="E61" s="568">
        <f>'CF"A"'!J30/1000</f>
        <v>7.4505805969238283E-12</v>
      </c>
      <c r="F61" s="568">
        <f>'CF"A"'!K30/1000</f>
        <v>0</v>
      </c>
      <c r="G61" s="568">
        <f>'CF"A"'!L30/1000</f>
        <v>0</v>
      </c>
      <c r="H61" s="568">
        <f>'CF"A"'!M30/1000</f>
        <v>2.9802322387695313E-11</v>
      </c>
      <c r="I61" s="568">
        <f>'CF"A"'!N30/1000</f>
        <v>2.9802322387695313E-11</v>
      </c>
      <c r="J61" s="568">
        <f>'CF"A"'!O30/1000</f>
        <v>0</v>
      </c>
      <c r="K61" s="568">
        <f>'CF"A"'!P30/1000</f>
        <v>-2.2351741790771485E-11</v>
      </c>
      <c r="L61" s="568">
        <f>'CF"A"'!Q30/1000</f>
        <v>0</v>
      </c>
      <c r="M61" s="568">
        <f>'CF"A"'!R30/1000</f>
        <v>-1.4901161193847657E-11</v>
      </c>
      <c r="N61" s="568">
        <f>'CF"A"'!S30/1000</f>
        <v>-4.470348358154297E-11</v>
      </c>
      <c r="O61" s="568">
        <f>'CF"A"'!T30/1000</f>
        <v>-3.7252902984619141E-11</v>
      </c>
      <c r="P61" s="568"/>
    </row>
    <row r="62" spans="2:16">
      <c r="B62" s="1049" t="s">
        <v>3316</v>
      </c>
      <c r="C62" s="568">
        <f>'CF"A"'!H25/1000</f>
        <v>0</v>
      </c>
      <c r="D62" s="568">
        <f>'CF"A"'!I25/1000</f>
        <v>0</v>
      </c>
      <c r="E62" s="568">
        <f>'CF"A"'!J25/1000</f>
        <v>0</v>
      </c>
      <c r="F62" s="568">
        <f>'CF"A"'!K25/1000</f>
        <v>0</v>
      </c>
      <c r="G62" s="568">
        <f>'CF"A"'!L25/1000</f>
        <v>0</v>
      </c>
      <c r="H62" s="568">
        <f>'CF"A"'!M25/1000</f>
        <v>0</v>
      </c>
      <c r="I62" s="568">
        <f>'CF"A"'!N25/1000</f>
        <v>0</v>
      </c>
      <c r="J62" s="568">
        <f>'CF"A"'!O25/1000</f>
        <v>0</v>
      </c>
      <c r="K62" s="568">
        <f>'CF"A"'!P25/1000</f>
        <v>0</v>
      </c>
      <c r="L62" s="568">
        <f>'CF"A"'!Q25/1000</f>
        <v>0</v>
      </c>
      <c r="M62" s="568">
        <f>'CF"A"'!R25/1000</f>
        <v>0</v>
      </c>
      <c r="N62" s="568">
        <f>'CF"A"'!S25/1000</f>
        <v>0</v>
      </c>
      <c r="O62" s="568">
        <f>'CF"A"'!T25/1000</f>
        <v>0</v>
      </c>
      <c r="P62" s="568"/>
    </row>
    <row r="63" spans="2:16" s="457" customFormat="1">
      <c r="B63" s="1050" t="s">
        <v>3317</v>
      </c>
      <c r="C63" s="1050">
        <f>SUM(C58:C62)</f>
        <v>448.68317936022663</v>
      </c>
      <c r="D63" s="1050">
        <f t="shared" ref="D63" si="11">SUM(D58:D62)</f>
        <v>-451.66550512724183</v>
      </c>
      <c r="E63" s="1050">
        <f t="shared" ref="E63" si="12">SUM(E58:E62)</f>
        <v>1184.8005541866617</v>
      </c>
      <c r="F63" s="1050">
        <f t="shared" ref="F63" si="13">SUM(F58:F62)</f>
        <v>1251.8935335652548</v>
      </c>
      <c r="G63" s="1050">
        <f t="shared" ref="G63" si="14">SUM(G58:G62)</f>
        <v>502.80542095672911</v>
      </c>
      <c r="H63" s="1050">
        <f t="shared" ref="H63" si="15">SUM(H58:H62)</f>
        <v>-1020.2630004311371</v>
      </c>
      <c r="I63" s="1050">
        <f t="shared" ref="I63" si="16">SUM(I58:I62)</f>
        <v>-828.31721043319078</v>
      </c>
      <c r="J63" s="1050">
        <f t="shared" ref="J63" si="17">SUM(J58:J62)</f>
        <v>542.32320718374922</v>
      </c>
      <c r="K63" s="1050">
        <f t="shared" ref="K63" si="18">SUM(K58:K62)</f>
        <v>-2477.8946993159061</v>
      </c>
      <c r="L63" s="1050">
        <f t="shared" ref="L63" si="19">SUM(L58:L62)</f>
        <v>-65.320922276567671</v>
      </c>
      <c r="M63" s="1050">
        <f t="shared" ref="M63" si="20">SUM(M58:M62)</f>
        <v>-56.286617679025973</v>
      </c>
      <c r="N63" s="1050">
        <f t="shared" ref="N63" si="21">SUM(N58:N62)</f>
        <v>-71.726718661011205</v>
      </c>
      <c r="O63" s="1050">
        <f t="shared" ref="O63" si="22">SUM(O58:O62)</f>
        <v>-101.4239399289675</v>
      </c>
      <c r="P63" s="1046"/>
    </row>
  </sheetData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EF4EC"/>
    <pageSetUpPr fitToPage="1"/>
  </sheetPr>
  <dimension ref="A1:AC78"/>
  <sheetViews>
    <sheetView topLeftCell="A39" workbookViewId="0"/>
  </sheetViews>
  <sheetFormatPr baseColWidth="10" defaultColWidth="11.5" defaultRowHeight="12"/>
  <cols>
    <col min="1" max="1" width="2.83203125" style="50" customWidth="1"/>
    <col min="2" max="2" width="32.5" style="51" customWidth="1"/>
    <col min="3" max="7" width="12" style="64" customWidth="1"/>
    <col min="8" max="28" width="12" style="51" customWidth="1"/>
    <col min="29" max="16384" width="11.5" style="51"/>
  </cols>
  <sheetData>
    <row r="1" spans="1:29">
      <c r="A1" s="64"/>
      <c r="B1" s="64"/>
    </row>
    <row r="2" spans="1:29" s="48" customFormat="1">
      <c r="A2" s="50"/>
      <c r="B2" s="52"/>
      <c r="C2" s="74">
        <f>'BS"0"'!D5</f>
        <v>43100</v>
      </c>
      <c r="D2" s="74">
        <f>'BS"0"'!E5</f>
        <v>43465</v>
      </c>
      <c r="E2" s="74">
        <f>'BS"0"'!F5</f>
        <v>43830</v>
      </c>
      <c r="F2" s="74">
        <f>'BS"0"'!G5</f>
        <v>44196</v>
      </c>
      <c r="G2" s="66">
        <f>'BS"0"'!H5</f>
        <v>44561</v>
      </c>
      <c r="H2" s="53">
        <f>EOMONTH(G2,12)</f>
        <v>44926</v>
      </c>
      <c r="I2" s="53">
        <f t="shared" ref="I2:R2" si="0">EOMONTH(H2,12)</f>
        <v>45291</v>
      </c>
      <c r="J2" s="53">
        <f t="shared" si="0"/>
        <v>45657</v>
      </c>
      <c r="K2" s="53">
        <f t="shared" si="0"/>
        <v>46022</v>
      </c>
      <c r="L2" s="53">
        <f t="shared" si="0"/>
        <v>46387</v>
      </c>
      <c r="M2" s="53">
        <f t="shared" si="0"/>
        <v>46752</v>
      </c>
      <c r="N2" s="53">
        <f t="shared" si="0"/>
        <v>47118</v>
      </c>
      <c r="O2" s="53">
        <f t="shared" si="0"/>
        <v>47483</v>
      </c>
      <c r="P2" s="53">
        <f t="shared" si="0"/>
        <v>47848</v>
      </c>
      <c r="Q2" s="53">
        <f t="shared" si="0"/>
        <v>48213</v>
      </c>
      <c r="R2" s="53">
        <f t="shared" si="0"/>
        <v>48579</v>
      </c>
      <c r="S2" s="53">
        <f t="shared" ref="S2" si="1">EOMONTH(R2,12)</f>
        <v>48944</v>
      </c>
      <c r="T2" s="53">
        <f t="shared" ref="T2:U2" si="2">EOMONTH(S2,12)</f>
        <v>49309</v>
      </c>
      <c r="U2" s="53">
        <f t="shared" si="2"/>
        <v>49674</v>
      </c>
      <c r="V2" s="53">
        <f t="shared" ref="V2" si="3">EOMONTH(U2,12)</f>
        <v>50040</v>
      </c>
      <c r="W2" s="53">
        <f t="shared" ref="W2" si="4">EOMONTH(V2,12)</f>
        <v>50405</v>
      </c>
      <c r="X2" s="53">
        <f t="shared" ref="X2" si="5">EOMONTH(W2,12)</f>
        <v>50770</v>
      </c>
      <c r="Y2" s="53">
        <f t="shared" ref="Y2" si="6">EOMONTH(X2,12)</f>
        <v>51135</v>
      </c>
      <c r="Z2" s="53">
        <f t="shared" ref="Z2" si="7">EOMONTH(Y2,12)</f>
        <v>51501</v>
      </c>
      <c r="AA2" s="53">
        <f t="shared" ref="AA2" si="8">EOMONTH(Z2,12)</f>
        <v>51866</v>
      </c>
      <c r="AB2" s="53">
        <f t="shared" ref="AB2" si="9">EOMONTH(AA2,12)</f>
        <v>52231</v>
      </c>
    </row>
    <row r="3" spans="1:29">
      <c r="B3" s="741" t="s">
        <v>3054</v>
      </c>
      <c r="C3" s="75">
        <f>SUM(C4:C5)</f>
        <v>43655416.600000001</v>
      </c>
      <c r="D3" s="75">
        <f t="shared" ref="D3:U3" si="10">SUM(D4:D5)</f>
        <v>42042700.399999999</v>
      </c>
      <c r="E3" s="75">
        <f t="shared" si="10"/>
        <v>47904581.700000003</v>
      </c>
      <c r="F3" s="75">
        <f t="shared" si="10"/>
        <v>52125494.25</v>
      </c>
      <c r="G3" s="173">
        <f t="shared" si="10"/>
        <v>50870921.240000017</v>
      </c>
      <c r="H3" s="54">
        <f t="shared" si="10"/>
        <v>58113025.532595113</v>
      </c>
      <c r="I3" s="54">
        <f t="shared" si="10"/>
        <v>73909497.30006972</v>
      </c>
      <c r="J3" s="54">
        <f t="shared" si="10"/>
        <v>87347806.918014899</v>
      </c>
      <c r="K3" s="54">
        <f t="shared" si="10"/>
        <v>98430043.808507293</v>
      </c>
      <c r="L3" s="54">
        <f t="shared" si="10"/>
        <v>107236001.88046679</v>
      </c>
      <c r="M3" s="54">
        <f t="shared" si="10"/>
        <v>112969871.26212625</v>
      </c>
      <c r="N3" s="54">
        <f t="shared" si="10"/>
        <v>115810995.91163716</v>
      </c>
      <c r="O3" s="54">
        <f t="shared" si="10"/>
        <v>116809941.25587833</v>
      </c>
      <c r="P3" s="54">
        <f t="shared" si="10"/>
        <v>117874217.82847454</v>
      </c>
      <c r="Q3" s="54">
        <f t="shared" si="10"/>
        <v>120806250.85239235</v>
      </c>
      <c r="R3" s="54">
        <f t="shared" si="10"/>
        <v>123614418.72907703</v>
      </c>
      <c r="S3" s="54">
        <f t="shared" si="10"/>
        <v>126261649.30205375</v>
      </c>
      <c r="T3" s="54">
        <f t="shared" si="10"/>
        <v>128716957.47620815</v>
      </c>
      <c r="U3" s="54">
        <f t="shared" si="10"/>
        <v>130883206.74209456</v>
      </c>
      <c r="V3" s="54">
        <f t="shared" ref="V3" si="11">SUM(V4:V5)</f>
        <v>132671276.04774895</v>
      </c>
      <c r="W3" s="54">
        <f t="shared" ref="W3" si="12">SUM(W4:W5)</f>
        <v>134073601.79396673</v>
      </c>
      <c r="X3" s="54">
        <f t="shared" ref="X3" si="13">SUM(X4:X5)</f>
        <v>135706453.04955912</v>
      </c>
      <c r="Y3" s="54">
        <f t="shared" ref="Y3" si="14">SUM(Y4:Y5)</f>
        <v>137867205.9259136</v>
      </c>
      <c r="Z3" s="54">
        <f t="shared" ref="Z3" si="15">SUM(Z4:Z5)</f>
        <v>139618604.65104547</v>
      </c>
      <c r="AA3" s="54">
        <f t="shared" ref="AA3" si="16">SUM(AA4:AA5)</f>
        <v>140952462.14193022</v>
      </c>
      <c r="AB3" s="54">
        <f t="shared" ref="AB3" si="17">SUM(AB4:AB5)</f>
        <v>141860427.573883</v>
      </c>
    </row>
    <row r="4" spans="1:29">
      <c r="B4" s="289" t="s">
        <v>3052</v>
      </c>
      <c r="C4" s="65">
        <f>C7+C10</f>
        <v>15044885.440000003</v>
      </c>
      <c r="D4" s="65">
        <f t="shared" ref="D4:U4" si="18">D7+D10</f>
        <v>14886130.83</v>
      </c>
      <c r="E4" s="65">
        <f t="shared" si="18"/>
        <v>21128592.480000004</v>
      </c>
      <c r="F4" s="65">
        <f t="shared" si="18"/>
        <v>25907575.559999999</v>
      </c>
      <c r="G4" s="67">
        <f t="shared" si="18"/>
        <v>25090281.460000008</v>
      </c>
      <c r="H4" s="55">
        <f t="shared" si="18"/>
        <v>27896995.926714219</v>
      </c>
      <c r="I4" s="55">
        <f t="shared" si="18"/>
        <v>34628304.148462638</v>
      </c>
      <c r="J4" s="55">
        <f t="shared" si="18"/>
        <v>39540241.680262871</v>
      </c>
      <c r="K4" s="55">
        <f t="shared" si="18"/>
        <v>42633268.254202969</v>
      </c>
      <c r="L4" s="55">
        <f t="shared" si="18"/>
        <v>43946571.531595767</v>
      </c>
      <c r="M4" s="55">
        <f t="shared" si="18"/>
        <v>43079133.120976135</v>
      </c>
      <c r="N4" s="55">
        <f t="shared" si="18"/>
        <v>40140385.37607681</v>
      </c>
      <c r="O4" s="55">
        <f t="shared" si="18"/>
        <v>35672281.226802617</v>
      </c>
      <c r="P4" s="55">
        <f t="shared" si="18"/>
        <v>31588587.664796218</v>
      </c>
      <c r="Q4" s="55">
        <f t="shared" si="18"/>
        <v>29698111.500202421</v>
      </c>
      <c r="R4" s="55">
        <f t="shared" si="18"/>
        <v>28015740.353388324</v>
      </c>
      <c r="S4" s="55">
        <f t="shared" si="18"/>
        <v>26511041.471179362</v>
      </c>
      <c r="T4" s="55">
        <f t="shared" si="18"/>
        <v>25159801.94982744</v>
      </c>
      <c r="U4" s="55">
        <f t="shared" si="18"/>
        <v>23871792.915080443</v>
      </c>
      <c r="V4" s="55">
        <f t="shared" ref="V4:AB4" si="19">V7+V10</f>
        <v>22564939.102871843</v>
      </c>
      <c r="W4" s="55">
        <f t="shared" si="19"/>
        <v>21238863.617652405</v>
      </c>
      <c r="X4" s="55">
        <f t="shared" si="19"/>
        <v>19893182.025961909</v>
      </c>
      <c r="Y4" s="55">
        <f t="shared" si="19"/>
        <v>18527502.205670934</v>
      </c>
      <c r="Z4" s="55">
        <f t="shared" si="19"/>
        <v>17141424.192207478</v>
      </c>
      <c r="AA4" s="55">
        <f t="shared" si="19"/>
        <v>15734540.021708082</v>
      </c>
      <c r="AB4" s="55">
        <f t="shared" si="19"/>
        <v>14306433.571032032</v>
      </c>
    </row>
    <row r="5" spans="1:29">
      <c r="B5" s="289" t="s">
        <v>3053</v>
      </c>
      <c r="C5" s="65">
        <f>C8+C11</f>
        <v>28610531.16</v>
      </c>
      <c r="D5" s="65">
        <f t="shared" ref="D5:U5" si="20">D8+D11</f>
        <v>27156569.57</v>
      </c>
      <c r="E5" s="65">
        <f t="shared" si="20"/>
        <v>26775989.219999999</v>
      </c>
      <c r="F5" s="65">
        <f t="shared" si="20"/>
        <v>26217918.690000001</v>
      </c>
      <c r="G5" s="67">
        <f t="shared" si="20"/>
        <v>25780639.780000009</v>
      </c>
      <c r="H5" s="55">
        <f t="shared" si="20"/>
        <v>30216029.60588089</v>
      </c>
      <c r="I5" s="55">
        <f t="shared" si="20"/>
        <v>39281193.151607081</v>
      </c>
      <c r="J5" s="55">
        <f t="shared" si="20"/>
        <v>47807565.237752028</v>
      </c>
      <c r="K5" s="55">
        <f t="shared" si="20"/>
        <v>55796775.554304324</v>
      </c>
      <c r="L5" s="55">
        <f t="shared" si="20"/>
        <v>63289430.34887103</v>
      </c>
      <c r="M5" s="55">
        <f t="shared" si="20"/>
        <v>69890738.141150117</v>
      </c>
      <c r="N5" s="55">
        <f t="shared" si="20"/>
        <v>75670610.53556034</v>
      </c>
      <c r="O5" s="55">
        <f t="shared" si="20"/>
        <v>81137660.029075712</v>
      </c>
      <c r="P5" s="55">
        <f t="shared" si="20"/>
        <v>86285630.163678318</v>
      </c>
      <c r="Q5" s="55">
        <f t="shared" si="20"/>
        <v>91108139.352189928</v>
      </c>
      <c r="R5" s="55">
        <f t="shared" si="20"/>
        <v>95598678.375688702</v>
      </c>
      <c r="S5" s="55">
        <f t="shared" si="20"/>
        <v>99750607.830874383</v>
      </c>
      <c r="T5" s="55">
        <f t="shared" si="20"/>
        <v>103557155.52638072</v>
      </c>
      <c r="U5" s="55">
        <f t="shared" si="20"/>
        <v>107011413.82701412</v>
      </c>
      <c r="V5" s="55">
        <f t="shared" ref="V5:AB5" si="21">V8+V11</f>
        <v>110106336.94487712</v>
      </c>
      <c r="W5" s="55">
        <f t="shared" si="21"/>
        <v>112834738.17631432</v>
      </c>
      <c r="X5" s="55">
        <f t="shared" si="21"/>
        <v>115813271.0235972</v>
      </c>
      <c r="Y5" s="55">
        <f t="shared" si="21"/>
        <v>119339703.72024266</v>
      </c>
      <c r="Z5" s="55">
        <f t="shared" si="21"/>
        <v>122477180.45883799</v>
      </c>
      <c r="AA5" s="55">
        <f t="shared" si="21"/>
        <v>125217922.12022215</v>
      </c>
      <c r="AB5" s="55">
        <f t="shared" si="21"/>
        <v>127553994.00285095</v>
      </c>
    </row>
    <row r="6" spans="1:29" s="172" customFormat="1">
      <c r="A6" s="170"/>
      <c r="B6" s="742" t="s">
        <v>3061</v>
      </c>
      <c r="C6" s="68">
        <f>SUM(C7:C8)</f>
        <v>43655416.600000001</v>
      </c>
      <c r="D6" s="68">
        <f t="shared" ref="D6" si="22">SUM(D7:D8)</f>
        <v>42042700.399999999</v>
      </c>
      <c r="E6" s="68">
        <f t="shared" ref="E6" si="23">SUM(E7:E8)</f>
        <v>47904581.700000003</v>
      </c>
      <c r="F6" s="68">
        <f t="shared" ref="F6" si="24">SUM(F7:F8)</f>
        <v>52125494.25</v>
      </c>
      <c r="G6" s="171">
        <f t="shared" ref="G6" si="25">SUM(G7:G8)</f>
        <v>50870921.240000017</v>
      </c>
      <c r="H6" s="120">
        <f t="shared" ref="H6" si="26">SUM(H7:H8)</f>
        <v>58113025.532595113</v>
      </c>
      <c r="I6" s="120">
        <f t="shared" ref="I6" si="27">SUM(I7:I8)</f>
        <v>73909497.30006972</v>
      </c>
      <c r="J6" s="120">
        <f t="shared" ref="J6" si="28">SUM(J7:J8)</f>
        <v>87347806.918014899</v>
      </c>
      <c r="K6" s="120">
        <f t="shared" ref="K6" si="29">SUM(K7:K8)</f>
        <v>98430043.808507293</v>
      </c>
      <c r="L6" s="120">
        <f t="shared" ref="L6" si="30">SUM(L7:L8)</f>
        <v>107236001.88046679</v>
      </c>
      <c r="M6" s="120">
        <f t="shared" ref="M6" si="31">SUM(M7:M8)</f>
        <v>112969871.26212625</v>
      </c>
      <c r="N6" s="120">
        <f t="shared" ref="N6" si="32">SUM(N7:N8)</f>
        <v>115810995.91163716</v>
      </c>
      <c r="O6" s="120">
        <f t="shared" ref="O6" si="33">SUM(O7:O8)</f>
        <v>116809941.25587833</v>
      </c>
      <c r="P6" s="120">
        <f t="shared" ref="P6" si="34">SUM(P7:P8)</f>
        <v>117874217.82847454</v>
      </c>
      <c r="Q6" s="120">
        <f t="shared" ref="Q6" si="35">SUM(Q7:Q8)</f>
        <v>120806250.85239235</v>
      </c>
      <c r="R6" s="120">
        <f t="shared" ref="R6" si="36">SUM(R7:R8)</f>
        <v>123614418.72907703</v>
      </c>
      <c r="S6" s="120">
        <f t="shared" ref="S6" si="37">SUM(S7:S8)</f>
        <v>126261649.30205375</v>
      </c>
      <c r="T6" s="120">
        <f t="shared" ref="T6" si="38">SUM(T7:T8)</f>
        <v>128716957.47620815</v>
      </c>
      <c r="U6" s="120">
        <f t="shared" ref="U6" si="39">SUM(U7:U8)</f>
        <v>130883206.74209456</v>
      </c>
      <c r="V6" s="120">
        <f t="shared" ref="V6" si="40">SUM(V7:V8)</f>
        <v>132671276.04774895</v>
      </c>
      <c r="W6" s="120">
        <f t="shared" ref="W6" si="41">SUM(W7:W8)</f>
        <v>134073601.79396673</v>
      </c>
      <c r="X6" s="120">
        <f t="shared" ref="X6" si="42">SUM(X7:X8)</f>
        <v>135706453.04955912</v>
      </c>
      <c r="Y6" s="120">
        <f t="shared" ref="Y6" si="43">SUM(Y7:Y8)</f>
        <v>137867205.9259136</v>
      </c>
      <c r="Z6" s="120">
        <f t="shared" ref="Z6" si="44">SUM(Z7:Z8)</f>
        <v>139618604.65104547</v>
      </c>
      <c r="AA6" s="120">
        <f t="shared" ref="AA6" si="45">SUM(AA7:AA8)</f>
        <v>140952462.14193022</v>
      </c>
      <c r="AB6" s="120">
        <f t="shared" ref="AB6" si="46">SUM(AB7:AB8)</f>
        <v>141860427.573883</v>
      </c>
    </row>
    <row r="7" spans="1:29">
      <c r="B7" s="71" t="s">
        <v>246</v>
      </c>
      <c r="C7" s="65">
        <f>'BS"0"'!D16+'BS"0"'!D17</f>
        <v>15044885.440000003</v>
      </c>
      <c r="D7" s="65">
        <f>'BS"0"'!E16+'BS"0"'!E17</f>
        <v>14886130.83</v>
      </c>
      <c r="E7" s="65">
        <f>'BS"0"'!F16+'BS"0"'!F17</f>
        <v>21128592.480000004</v>
      </c>
      <c r="F7" s="65">
        <f>'BS"0"'!G16+'BS"0"'!G17</f>
        <v>25907575.559999999</v>
      </c>
      <c r="G7" s="67">
        <f>'BS"0"'!H16+'BS"0"'!H17</f>
        <v>25090281.460000008</v>
      </c>
      <c r="H7" s="55">
        <f>G7+H27-H17-H20</f>
        <v>27896995.926714219</v>
      </c>
      <c r="I7" s="55">
        <f t="shared" ref="I7:AB7" si="47">H7+I27-I17-I20</f>
        <v>34628304.148462638</v>
      </c>
      <c r="J7" s="55">
        <f t="shared" si="47"/>
        <v>39540241.680262871</v>
      </c>
      <c r="K7" s="55">
        <f t="shared" si="47"/>
        <v>42633268.254202969</v>
      </c>
      <c r="L7" s="55">
        <f t="shared" si="47"/>
        <v>43946571.531595767</v>
      </c>
      <c r="M7" s="55">
        <f t="shared" si="47"/>
        <v>43079133.120976135</v>
      </c>
      <c r="N7" s="55">
        <f t="shared" si="47"/>
        <v>40140385.37607681</v>
      </c>
      <c r="O7" s="55">
        <f t="shared" si="47"/>
        <v>35672281.226802617</v>
      </c>
      <c r="P7" s="55">
        <f t="shared" si="47"/>
        <v>31588587.664796218</v>
      </c>
      <c r="Q7" s="55">
        <f t="shared" si="47"/>
        <v>29698111.500202421</v>
      </c>
      <c r="R7" s="55">
        <f t="shared" si="47"/>
        <v>28015740.353388324</v>
      </c>
      <c r="S7" s="55">
        <f t="shared" si="47"/>
        <v>26511041.471179362</v>
      </c>
      <c r="T7" s="55">
        <f t="shared" si="47"/>
        <v>25159801.94982744</v>
      </c>
      <c r="U7" s="55">
        <f t="shared" si="47"/>
        <v>23871792.915080443</v>
      </c>
      <c r="V7" s="55">
        <f t="shared" si="47"/>
        <v>22564939.102871843</v>
      </c>
      <c r="W7" s="55">
        <f t="shared" si="47"/>
        <v>21238863.617652405</v>
      </c>
      <c r="X7" s="55">
        <f t="shared" si="47"/>
        <v>19893182.025961909</v>
      </c>
      <c r="Y7" s="55">
        <f t="shared" si="47"/>
        <v>18527502.205670934</v>
      </c>
      <c r="Z7" s="55">
        <f t="shared" si="47"/>
        <v>17141424.192207478</v>
      </c>
      <c r="AA7" s="55">
        <f t="shared" si="47"/>
        <v>15734540.021708082</v>
      </c>
      <c r="AB7" s="55">
        <f t="shared" si="47"/>
        <v>14306433.571032032</v>
      </c>
    </row>
    <row r="8" spans="1:29">
      <c r="B8" s="289" t="s">
        <v>3051</v>
      </c>
      <c r="C8" s="65">
        <f>'BS"0"'!D15</f>
        <v>28610531.16</v>
      </c>
      <c r="D8" s="65">
        <f>'BS"0"'!E15</f>
        <v>27156569.57</v>
      </c>
      <c r="E8" s="65">
        <f>'BS"0"'!F15</f>
        <v>26775989.219999999</v>
      </c>
      <c r="F8" s="65">
        <f>'BS"0"'!G15</f>
        <v>26217918.690000001</v>
      </c>
      <c r="G8" s="67">
        <f>'BS"0"'!H15</f>
        <v>25780639.780000009</v>
      </c>
      <c r="H8" s="55">
        <f>G8+H28-H21-H18</f>
        <v>30216029.60588089</v>
      </c>
      <c r="I8" s="55">
        <f t="shared" ref="I8:AB8" si="48">H8+I28-I21-I18</f>
        <v>39281193.151607081</v>
      </c>
      <c r="J8" s="55">
        <f t="shared" si="48"/>
        <v>47807565.237752028</v>
      </c>
      <c r="K8" s="55">
        <f t="shared" si="48"/>
        <v>55796775.554304324</v>
      </c>
      <c r="L8" s="55">
        <f t="shared" si="48"/>
        <v>63289430.34887103</v>
      </c>
      <c r="M8" s="55">
        <f t="shared" si="48"/>
        <v>69890738.141150117</v>
      </c>
      <c r="N8" s="55">
        <f t="shared" si="48"/>
        <v>75670610.53556034</v>
      </c>
      <c r="O8" s="55">
        <f t="shared" si="48"/>
        <v>81137660.029075712</v>
      </c>
      <c r="P8" s="55">
        <f t="shared" si="48"/>
        <v>86285630.163678318</v>
      </c>
      <c r="Q8" s="55">
        <f t="shared" si="48"/>
        <v>91108139.352189928</v>
      </c>
      <c r="R8" s="55">
        <f t="shared" si="48"/>
        <v>95598678.375688702</v>
      </c>
      <c r="S8" s="55">
        <f t="shared" si="48"/>
        <v>99750607.830874383</v>
      </c>
      <c r="T8" s="55">
        <f t="shared" si="48"/>
        <v>103557155.52638072</v>
      </c>
      <c r="U8" s="55">
        <f t="shared" si="48"/>
        <v>107011413.82701412</v>
      </c>
      <c r="V8" s="55">
        <f t="shared" si="48"/>
        <v>110106336.94487712</v>
      </c>
      <c r="W8" s="55">
        <f t="shared" si="48"/>
        <v>112834738.17631432</v>
      </c>
      <c r="X8" s="55">
        <f t="shared" si="48"/>
        <v>115813271.0235972</v>
      </c>
      <c r="Y8" s="55">
        <f t="shared" si="48"/>
        <v>119339703.72024266</v>
      </c>
      <c r="Z8" s="55">
        <f t="shared" si="48"/>
        <v>122477180.45883799</v>
      </c>
      <c r="AA8" s="55">
        <f t="shared" si="48"/>
        <v>125217922.12022215</v>
      </c>
      <c r="AB8" s="55">
        <f t="shared" si="48"/>
        <v>127553994.00285095</v>
      </c>
    </row>
    <row r="9" spans="1:29" s="172" customFormat="1">
      <c r="A9" s="170"/>
      <c r="B9" s="742" t="s">
        <v>3062</v>
      </c>
      <c r="C9" s="68">
        <f>SUM(C10:C11)</f>
        <v>0</v>
      </c>
      <c r="D9" s="68">
        <f t="shared" ref="D9" si="49">SUM(D10:D11)</f>
        <v>0</v>
      </c>
      <c r="E9" s="68">
        <f t="shared" ref="E9" si="50">SUM(E10:E11)</f>
        <v>0</v>
      </c>
      <c r="F9" s="68">
        <f t="shared" ref="F9" si="51">SUM(F10:F11)</f>
        <v>0</v>
      </c>
      <c r="G9" s="171">
        <f t="shared" ref="G9" si="52">SUM(G10:G11)</f>
        <v>0</v>
      </c>
      <c r="H9" s="120">
        <f t="shared" ref="H9" si="53">SUM(H10:H11)</f>
        <v>0</v>
      </c>
      <c r="I9" s="120">
        <f t="shared" ref="I9" si="54">SUM(I10:I11)</f>
        <v>0</v>
      </c>
      <c r="J9" s="120">
        <f t="shared" ref="J9" si="55">SUM(J10:J11)</f>
        <v>0</v>
      </c>
      <c r="K9" s="120">
        <f t="shared" ref="K9" si="56">SUM(K10:K11)</f>
        <v>0</v>
      </c>
      <c r="L9" s="120">
        <f t="shared" ref="L9" si="57">SUM(L10:L11)</f>
        <v>0</v>
      </c>
      <c r="M9" s="120">
        <f t="shared" ref="M9" si="58">SUM(M10:M11)</f>
        <v>0</v>
      </c>
      <c r="N9" s="120">
        <f t="shared" ref="N9" si="59">SUM(N10:N11)</f>
        <v>0</v>
      </c>
      <c r="O9" s="120">
        <f t="shared" ref="O9" si="60">SUM(O10:O11)</f>
        <v>0</v>
      </c>
      <c r="P9" s="120">
        <f t="shared" ref="P9" si="61">SUM(P10:P11)</f>
        <v>0</v>
      </c>
      <c r="Q9" s="120">
        <f t="shared" ref="Q9" si="62">SUM(Q10:Q11)</f>
        <v>0</v>
      </c>
      <c r="R9" s="120">
        <f t="shared" ref="R9" si="63">SUM(R10:R11)</f>
        <v>0</v>
      </c>
      <c r="S9" s="120">
        <f t="shared" ref="S9" si="64">SUM(S10:S11)</f>
        <v>0</v>
      </c>
      <c r="T9" s="120">
        <f t="shared" ref="T9" si="65">SUM(T10:T11)</f>
        <v>0</v>
      </c>
      <c r="U9" s="120">
        <f t="shared" ref="U9" si="66">SUM(U10:U11)</f>
        <v>0</v>
      </c>
      <c r="V9" s="120">
        <f t="shared" ref="V9" si="67">SUM(V10:V11)</f>
        <v>0</v>
      </c>
      <c r="W9" s="120">
        <f t="shared" ref="W9" si="68">SUM(W10:W11)</f>
        <v>0</v>
      </c>
      <c r="X9" s="120">
        <f t="shared" ref="X9" si="69">SUM(X10:X11)</f>
        <v>0</v>
      </c>
      <c r="Y9" s="120">
        <f t="shared" ref="Y9" si="70">SUM(Y10:Y11)</f>
        <v>0</v>
      </c>
      <c r="Z9" s="120">
        <f t="shared" ref="Z9" si="71">SUM(Z10:Z11)</f>
        <v>0</v>
      </c>
      <c r="AA9" s="120">
        <f t="shared" ref="AA9" si="72">SUM(AA10:AA11)</f>
        <v>0</v>
      </c>
      <c r="AB9" s="120">
        <f t="shared" ref="AB9" si="73">SUM(AB10:AB11)</f>
        <v>0</v>
      </c>
    </row>
    <row r="10" spans="1:29">
      <c r="B10" s="71" t="s">
        <v>246</v>
      </c>
      <c r="C10" s="65"/>
      <c r="D10" s="65"/>
      <c r="E10" s="65"/>
      <c r="F10" s="65"/>
      <c r="G10" s="67"/>
      <c r="H10" s="55">
        <f>G10+H30-H23</f>
        <v>0</v>
      </c>
      <c r="I10" s="55">
        <f t="shared" ref="I10:U10" si="74">H10+I30-I23</f>
        <v>0</v>
      </c>
      <c r="J10" s="55">
        <f t="shared" si="74"/>
        <v>0</v>
      </c>
      <c r="K10" s="55">
        <f t="shared" si="74"/>
        <v>0</v>
      </c>
      <c r="L10" s="55">
        <f t="shared" si="74"/>
        <v>0</v>
      </c>
      <c r="M10" s="55">
        <f t="shared" si="74"/>
        <v>0</v>
      </c>
      <c r="N10" s="55">
        <f t="shared" si="74"/>
        <v>0</v>
      </c>
      <c r="O10" s="55">
        <f t="shared" si="74"/>
        <v>0</v>
      </c>
      <c r="P10" s="55">
        <f t="shared" si="74"/>
        <v>0</v>
      </c>
      <c r="Q10" s="55">
        <f t="shared" si="74"/>
        <v>0</v>
      </c>
      <c r="R10" s="55">
        <f t="shared" si="74"/>
        <v>0</v>
      </c>
      <c r="S10" s="55">
        <f t="shared" si="74"/>
        <v>0</v>
      </c>
      <c r="T10" s="55">
        <f t="shared" si="74"/>
        <v>0</v>
      </c>
      <c r="U10" s="55">
        <f t="shared" si="74"/>
        <v>0</v>
      </c>
      <c r="V10" s="55">
        <f t="shared" ref="V10:AB10" si="75">U10+V30-V23</f>
        <v>0</v>
      </c>
      <c r="W10" s="55">
        <f t="shared" si="75"/>
        <v>0</v>
      </c>
      <c r="X10" s="55">
        <f t="shared" si="75"/>
        <v>0</v>
      </c>
      <c r="Y10" s="55">
        <f t="shared" si="75"/>
        <v>0</v>
      </c>
      <c r="Z10" s="55">
        <f t="shared" si="75"/>
        <v>0</v>
      </c>
      <c r="AA10" s="55">
        <f t="shared" si="75"/>
        <v>0</v>
      </c>
      <c r="AB10" s="55">
        <f t="shared" si="75"/>
        <v>0</v>
      </c>
    </row>
    <row r="11" spans="1:29">
      <c r="B11" s="302" t="s">
        <v>3051</v>
      </c>
      <c r="C11" s="285"/>
      <c r="D11" s="285"/>
      <c r="E11" s="285"/>
      <c r="F11" s="285"/>
      <c r="G11" s="286"/>
      <c r="H11" s="303">
        <f>G11+H31-H24</f>
        <v>0</v>
      </c>
      <c r="I11" s="303">
        <f t="shared" ref="I11:U11" si="76">H11+I31-I24</f>
        <v>0</v>
      </c>
      <c r="J11" s="303">
        <f t="shared" si="76"/>
        <v>0</v>
      </c>
      <c r="K11" s="303">
        <f t="shared" si="76"/>
        <v>0</v>
      </c>
      <c r="L11" s="303">
        <f t="shared" si="76"/>
        <v>0</v>
      </c>
      <c r="M11" s="303">
        <f t="shared" si="76"/>
        <v>0</v>
      </c>
      <c r="N11" s="303">
        <f t="shared" si="76"/>
        <v>0</v>
      </c>
      <c r="O11" s="303">
        <f t="shared" si="76"/>
        <v>0</v>
      </c>
      <c r="P11" s="303">
        <f t="shared" si="76"/>
        <v>0</v>
      </c>
      <c r="Q11" s="303">
        <f t="shared" si="76"/>
        <v>0</v>
      </c>
      <c r="R11" s="303">
        <f t="shared" si="76"/>
        <v>0</v>
      </c>
      <c r="S11" s="303">
        <f t="shared" si="76"/>
        <v>0</v>
      </c>
      <c r="T11" s="303">
        <f t="shared" si="76"/>
        <v>0</v>
      </c>
      <c r="U11" s="303">
        <f t="shared" si="76"/>
        <v>0</v>
      </c>
      <c r="V11" s="303">
        <f t="shared" ref="V11:AB11" si="77">U11+V31-V24</f>
        <v>0</v>
      </c>
      <c r="W11" s="303">
        <f t="shared" si="77"/>
        <v>0</v>
      </c>
      <c r="X11" s="303">
        <f t="shared" si="77"/>
        <v>0</v>
      </c>
      <c r="Y11" s="303">
        <f t="shared" si="77"/>
        <v>0</v>
      </c>
      <c r="Z11" s="303">
        <f t="shared" si="77"/>
        <v>0</v>
      </c>
      <c r="AA11" s="303">
        <f t="shared" si="77"/>
        <v>0</v>
      </c>
      <c r="AB11" s="303">
        <f t="shared" si="77"/>
        <v>0</v>
      </c>
      <c r="AC11" s="752"/>
    </row>
    <row r="12" spans="1:29" s="49" customFormat="1">
      <c r="A12" s="57"/>
      <c r="B12" s="58"/>
      <c r="C12" s="77"/>
      <c r="D12" s="77"/>
      <c r="E12" s="77"/>
      <c r="F12" s="77"/>
      <c r="G12" s="174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</row>
    <row r="13" spans="1:29" s="172" customFormat="1">
      <c r="A13" s="170"/>
      <c r="B13" s="748" t="s">
        <v>247</v>
      </c>
      <c r="C13" s="744">
        <f>SUM(C14:C15)</f>
        <v>3137294.2</v>
      </c>
      <c r="D13" s="744">
        <f t="shared" ref="D13:G13" si="78">SUM(D14:D15)</f>
        <v>3230372.16</v>
      </c>
      <c r="E13" s="744">
        <f t="shared" si="78"/>
        <v>3423404.12</v>
      </c>
      <c r="F13" s="744">
        <f t="shared" si="78"/>
        <v>3970695.5700000003</v>
      </c>
      <c r="G13" s="745">
        <f t="shared" si="78"/>
        <v>4445128.2300000004</v>
      </c>
      <c r="H13" s="749">
        <f t="shared" ref="H13" si="79">SUM(H14:H15)</f>
        <v>4846695.1041666688</v>
      </c>
      <c r="I13" s="749">
        <f t="shared" ref="I13" si="80">SUM(I14:I15)</f>
        <v>6156315.0388158597</v>
      </c>
      <c r="J13" s="749">
        <f t="shared" ref="J13" si="81">SUM(J14:J15)</f>
        <v>8534533.6094973274</v>
      </c>
      <c r="K13" s="749">
        <f t="shared" ref="K13" si="82">SUM(K14:K15)</f>
        <v>10914924.959136931</v>
      </c>
      <c r="L13" s="749">
        <f t="shared" ref="L13" si="83">SUM(L14:L15)</f>
        <v>13297950.826180108</v>
      </c>
      <c r="M13" s="749">
        <f t="shared" ref="M13" si="84">SUM(M14:M15)</f>
        <v>15692540.956811899</v>
      </c>
      <c r="N13" s="749">
        <f t="shared" ref="N13" si="85">SUM(N14:N15)</f>
        <v>18013735.410146296</v>
      </c>
      <c r="O13" s="749">
        <f t="shared" ref="O13" si="86">SUM(O14:O15)</f>
        <v>20273011.916609157</v>
      </c>
      <c r="P13" s="749">
        <f t="shared" ref="P13" si="87">SUM(P14:P15)</f>
        <v>20633119.833471134</v>
      </c>
      <c r="Q13" s="749">
        <f t="shared" ref="Q13" si="88">SUM(Q14:Q15)</f>
        <v>19199311.310270887</v>
      </c>
      <c r="R13" s="749">
        <f t="shared" ref="R13" si="89">SUM(R14:R15)</f>
        <v>19765803.344187789</v>
      </c>
      <c r="S13" s="749">
        <f t="shared" ref="S13" si="90">SUM(S14:S15)</f>
        <v>20378220.072313197</v>
      </c>
      <c r="T13" s="749">
        <f t="shared" ref="T13" si="91">SUM(T14:T15)</f>
        <v>21030651.4840413</v>
      </c>
      <c r="U13" s="749">
        <f t="shared" ref="U13" si="92">SUM(U14:U15)</f>
        <v>21789429.585473225</v>
      </c>
      <c r="V13" s="749">
        <f t="shared" ref="V13" si="93">SUM(V14:V15)</f>
        <v>22646723.12273242</v>
      </c>
      <c r="W13" s="749">
        <f t="shared" ref="W13" si="94">SUM(W14:W15)</f>
        <v>23521162.530736797</v>
      </c>
      <c r="X13" s="749">
        <f t="shared" ref="X13" si="95">SUM(X14:X15)</f>
        <v>23789106.786901273</v>
      </c>
      <c r="Y13" s="749">
        <f t="shared" ref="Y13" si="96">SUM(Y14:Y15)</f>
        <v>23769644.326989017</v>
      </c>
      <c r="Z13" s="749">
        <f t="shared" ref="Z13" si="97">SUM(Z14:Z15)</f>
        <v>24697606.422278523</v>
      </c>
      <c r="AA13" s="749">
        <f t="shared" ref="AA13" si="98">SUM(AA14:AA15)</f>
        <v>25644127.759473823</v>
      </c>
      <c r="AB13" s="749">
        <f t="shared" ref="AB13" si="99">SUM(AB14:AB15)</f>
        <v>26609579.523413032</v>
      </c>
      <c r="AC13" s="750"/>
    </row>
    <row r="14" spans="1:29">
      <c r="B14" s="71" t="s">
        <v>246</v>
      </c>
      <c r="C14" s="65">
        <f>C17+C20+C23</f>
        <v>1531682.6800000002</v>
      </c>
      <c r="D14" s="65">
        <f t="shared" ref="D14:U14" si="100">D17+D20+D23</f>
        <v>1642994.04</v>
      </c>
      <c r="E14" s="65">
        <f t="shared" si="100"/>
        <v>1854175.7000000002</v>
      </c>
      <c r="F14" s="65">
        <f t="shared" si="100"/>
        <v>2380452.5</v>
      </c>
      <c r="G14" s="67">
        <f t="shared" si="100"/>
        <v>2891915.0700000003</v>
      </c>
      <c r="H14" s="55">
        <f t="shared" si="100"/>
        <v>3237685.2316666688</v>
      </c>
      <c r="I14" s="55">
        <f t="shared" si="100"/>
        <v>4245085.181396815</v>
      </c>
      <c r="J14" s="55">
        <f t="shared" si="100"/>
        <v>6074484.0819210205</v>
      </c>
      <c r="K14" s="55">
        <f t="shared" si="100"/>
        <v>7905554.3508745627</v>
      </c>
      <c r="L14" s="55">
        <f t="shared" si="100"/>
        <v>9738651.1716770064</v>
      </c>
      <c r="M14" s="55">
        <f t="shared" si="100"/>
        <v>11580643.579855308</v>
      </c>
      <c r="N14" s="55">
        <f t="shared" si="100"/>
        <v>13366177.77472792</v>
      </c>
      <c r="O14" s="55">
        <f t="shared" si="100"/>
        <v>15104082.779699352</v>
      </c>
      <c r="P14" s="55">
        <f t="shared" si="100"/>
        <v>14932391.765040072</v>
      </c>
      <c r="Q14" s="55">
        <f t="shared" si="100"/>
        <v>12956148.33168814</v>
      </c>
      <c r="R14" s="55">
        <f t="shared" si="100"/>
        <v>12969356.757250322</v>
      </c>
      <c r="S14" s="55">
        <f t="shared" si="100"/>
        <v>13017424.204853918</v>
      </c>
      <c r="T14" s="55">
        <f t="shared" si="100"/>
        <v>13094219.350449776</v>
      </c>
      <c r="U14" s="55">
        <f t="shared" si="100"/>
        <v>13265848.460426807</v>
      </c>
      <c r="V14" s="55">
        <f t="shared" ref="V14:AB14" si="101">V17+V20+V23</f>
        <v>13524250.026402012</v>
      </c>
      <c r="W14" s="55">
        <f t="shared" si="101"/>
        <v>13787819.623696718</v>
      </c>
      <c r="X14" s="55">
        <f t="shared" si="101"/>
        <v>14056660.61293732</v>
      </c>
      <c r="Y14" s="55">
        <f t="shared" si="101"/>
        <v>14330878.421962734</v>
      </c>
      <c r="Z14" s="55">
        <f t="shared" si="101"/>
        <v>14610580.587168654</v>
      </c>
      <c r="AA14" s="55">
        <f t="shared" si="101"/>
        <v>14895876.795678694</v>
      </c>
      <c r="AB14" s="55">
        <f t="shared" si="101"/>
        <v>15186878.928358935</v>
      </c>
    </row>
    <row r="15" spans="1:29">
      <c r="B15" s="289" t="s">
        <v>3051</v>
      </c>
      <c r="C15" s="65">
        <f>C18+C21+C24</f>
        <v>1605611.52</v>
      </c>
      <c r="D15" s="65">
        <f t="shared" ref="D15:U15" si="102">D18+D21+D24</f>
        <v>1587378.12</v>
      </c>
      <c r="E15" s="65">
        <f t="shared" si="102"/>
        <v>1569228.42</v>
      </c>
      <c r="F15" s="65">
        <f t="shared" si="102"/>
        <v>1590243.07</v>
      </c>
      <c r="G15" s="67">
        <f t="shared" si="102"/>
        <v>1553213.16</v>
      </c>
      <c r="H15" s="55">
        <f t="shared" si="102"/>
        <v>1609009.8725000003</v>
      </c>
      <c r="I15" s="55">
        <f t="shared" si="102"/>
        <v>1911229.8574190442</v>
      </c>
      <c r="J15" s="55">
        <f t="shared" si="102"/>
        <v>2460049.5275763059</v>
      </c>
      <c r="K15" s="55">
        <f t="shared" si="102"/>
        <v>3009370.6082623685</v>
      </c>
      <c r="L15" s="55">
        <f t="shared" si="102"/>
        <v>3559299.6545031015</v>
      </c>
      <c r="M15" s="55">
        <f t="shared" si="102"/>
        <v>4111897.3769565914</v>
      </c>
      <c r="N15" s="55">
        <f t="shared" si="102"/>
        <v>4647557.635418376</v>
      </c>
      <c r="O15" s="55">
        <f t="shared" si="102"/>
        <v>5168929.1369098052</v>
      </c>
      <c r="P15" s="55">
        <f t="shared" si="102"/>
        <v>5700728.0684310636</v>
      </c>
      <c r="Q15" s="55">
        <f t="shared" si="102"/>
        <v>6243162.9785827473</v>
      </c>
      <c r="R15" s="55">
        <f t="shared" si="102"/>
        <v>6796446.5869374648</v>
      </c>
      <c r="S15" s="55">
        <f t="shared" si="102"/>
        <v>7360795.8674592767</v>
      </c>
      <c r="T15" s="55">
        <f t="shared" si="102"/>
        <v>7936432.1335915243</v>
      </c>
      <c r="U15" s="55">
        <f t="shared" si="102"/>
        <v>8523581.1250464171</v>
      </c>
      <c r="V15" s="55">
        <f t="shared" ref="V15:AB15" si="103">V18+V21+V24</f>
        <v>9122473.096330408</v>
      </c>
      <c r="W15" s="55">
        <f t="shared" si="103"/>
        <v>9733342.9070400782</v>
      </c>
      <c r="X15" s="55">
        <f t="shared" si="103"/>
        <v>9732446.1739639528</v>
      </c>
      <c r="Y15" s="55">
        <f t="shared" si="103"/>
        <v>9438765.9050262831</v>
      </c>
      <c r="Z15" s="55">
        <f t="shared" si="103"/>
        <v>10087025.835109871</v>
      </c>
      <c r="AA15" s="55">
        <f t="shared" si="103"/>
        <v>10748250.963795131</v>
      </c>
      <c r="AB15" s="55">
        <f t="shared" si="103"/>
        <v>11422700.595054096</v>
      </c>
    </row>
    <row r="16" spans="1:29" s="172" customFormat="1">
      <c r="A16" s="170"/>
      <c r="B16" s="742" t="s">
        <v>3063</v>
      </c>
      <c r="C16" s="68">
        <f>SUM(C17:C18)</f>
        <v>3137294.2</v>
      </c>
      <c r="D16" s="68">
        <f t="shared" ref="D16" si="104">SUM(D17:D18)</f>
        <v>3230372.16</v>
      </c>
      <c r="E16" s="68">
        <f t="shared" ref="E16" si="105">SUM(E17:E18)</f>
        <v>3423404.12</v>
      </c>
      <c r="F16" s="68">
        <f t="shared" ref="F16" si="106">SUM(F17:F18)</f>
        <v>3970695.5700000003</v>
      </c>
      <c r="G16" s="171">
        <f t="shared" ref="G16" si="107">SUM(G17:G18)</f>
        <v>4445128.2300000004</v>
      </c>
      <c r="H16" s="120">
        <f t="shared" ref="H16" si="108">SUM(H17:H18)</f>
        <v>4445128.2300000004</v>
      </c>
      <c r="I16" s="120">
        <f t="shared" ref="I16" si="109">SUM(I17:I18)</f>
        <v>4445128.2300000004</v>
      </c>
      <c r="J16" s="120">
        <f t="shared" ref="J16" si="110">SUM(J17:J18)</f>
        <v>4445128.2300000004</v>
      </c>
      <c r="K16" s="120">
        <f t="shared" ref="K16" si="111">SUM(K17:K18)</f>
        <v>4445128.2300000004</v>
      </c>
      <c r="L16" s="120">
        <f t="shared" ref="L16" si="112">SUM(L17:L18)</f>
        <v>4445128.2300000004</v>
      </c>
      <c r="M16" s="120">
        <f t="shared" ref="M16" si="113">SUM(M17:M18)</f>
        <v>4445128.2300000004</v>
      </c>
      <c r="N16" s="120">
        <f t="shared" ref="N16" si="114">SUM(N17:N18)</f>
        <v>4445128.2300000004</v>
      </c>
      <c r="O16" s="120">
        <f t="shared" ref="O16" si="115">SUM(O17:O18)</f>
        <v>4445128.2300000004</v>
      </c>
      <c r="P16" s="120">
        <f t="shared" ref="P16" si="116">SUM(P17:P18)</f>
        <v>3508174.0600000061</v>
      </c>
      <c r="Q16" s="120">
        <f t="shared" ref="Q16" si="117">SUM(Q17:Q18)</f>
        <v>1553213.16</v>
      </c>
      <c r="R16" s="120">
        <f t="shared" ref="R16" si="118">SUM(R17:R18)</f>
        <v>1553213.16</v>
      </c>
      <c r="S16" s="120">
        <f t="shared" ref="S16" si="119">SUM(S17:S18)</f>
        <v>1553213.16</v>
      </c>
      <c r="T16" s="120">
        <f t="shared" ref="T16" si="120">SUM(T17:T18)</f>
        <v>1553213.16</v>
      </c>
      <c r="U16" s="120">
        <f t="shared" ref="U16" si="121">SUM(U17:U18)</f>
        <v>1553213.16</v>
      </c>
      <c r="V16" s="120">
        <f t="shared" ref="V16" si="122">SUM(V17:V18)</f>
        <v>1553213.16</v>
      </c>
      <c r="W16" s="120">
        <f t="shared" ref="W16" si="123">SUM(W17:W18)</f>
        <v>1553213.16</v>
      </c>
      <c r="X16" s="120">
        <f t="shared" ref="X16" si="124">SUM(X17:X18)</f>
        <v>929229.22000000998</v>
      </c>
      <c r="Y16" s="120">
        <f t="shared" ref="Y16" si="125">SUM(Y17:Y18)</f>
        <v>0</v>
      </c>
      <c r="Z16" s="120">
        <f t="shared" ref="Z16" si="126">SUM(Z17:Z18)</f>
        <v>0</v>
      </c>
      <c r="AA16" s="120">
        <f t="shared" ref="AA16" si="127">SUM(AA17:AA18)</f>
        <v>0</v>
      </c>
      <c r="AB16" s="120">
        <f t="shared" ref="AB16" si="128">SUM(AB17:AB18)</f>
        <v>0</v>
      </c>
    </row>
    <row r="17" spans="1:29">
      <c r="B17" s="71" t="s">
        <v>246</v>
      </c>
      <c r="C17" s="65">
        <f>'Costs"0"'!C56</f>
        <v>1531682.6800000002</v>
      </c>
      <c r="D17" s="65">
        <f>'Costs"0"'!D56</f>
        <v>1642994.04</v>
      </c>
      <c r="E17" s="65">
        <f>'Costs"0"'!E56</f>
        <v>1854175.7000000002</v>
      </c>
      <c r="F17" s="65">
        <f>'Costs"0"'!F56</f>
        <v>2380452.5</v>
      </c>
      <c r="G17" s="67">
        <f>'Costs"0"'!G56</f>
        <v>2891915.0700000003</v>
      </c>
      <c r="H17" s="55">
        <f>G17</f>
        <v>2891915.0700000003</v>
      </c>
      <c r="I17" s="55">
        <f t="shared" ref="I17:T18" si="129">H17</f>
        <v>2891915.0700000003</v>
      </c>
      <c r="J17" s="55">
        <f t="shared" si="129"/>
        <v>2891915.0700000003</v>
      </c>
      <c r="K17" s="55">
        <f t="shared" si="129"/>
        <v>2891915.0700000003</v>
      </c>
      <c r="L17" s="55">
        <f t="shared" si="129"/>
        <v>2891915.0700000003</v>
      </c>
      <c r="M17" s="55">
        <f t="shared" si="129"/>
        <v>2891915.0700000003</v>
      </c>
      <c r="N17" s="55">
        <f t="shared" si="129"/>
        <v>2891915.0700000003</v>
      </c>
      <c r="O17" s="55">
        <f t="shared" si="129"/>
        <v>2891915.0700000003</v>
      </c>
      <c r="P17" s="56">
        <v>1954960.900000006</v>
      </c>
      <c r="Q17" s="56">
        <v>0</v>
      </c>
      <c r="R17" s="55">
        <f t="shared" ref="R17:AB18" si="130">Q17</f>
        <v>0</v>
      </c>
      <c r="S17" s="55">
        <f t="shared" si="130"/>
        <v>0</v>
      </c>
      <c r="T17" s="55">
        <f t="shared" si="130"/>
        <v>0</v>
      </c>
      <c r="U17" s="55">
        <f t="shared" si="130"/>
        <v>0</v>
      </c>
      <c r="V17" s="55">
        <f t="shared" ref="V17:AB17" si="131">U17</f>
        <v>0</v>
      </c>
      <c r="W17" s="55">
        <f t="shared" si="131"/>
        <v>0</v>
      </c>
      <c r="X17" s="55">
        <f t="shared" si="131"/>
        <v>0</v>
      </c>
      <c r="Y17" s="55">
        <f t="shared" si="131"/>
        <v>0</v>
      </c>
      <c r="Z17" s="55">
        <f t="shared" si="131"/>
        <v>0</v>
      </c>
      <c r="AA17" s="55">
        <f t="shared" si="131"/>
        <v>0</v>
      </c>
      <c r="AB17" s="55">
        <f t="shared" si="131"/>
        <v>0</v>
      </c>
      <c r="AC17" s="751" t="s">
        <v>3059</v>
      </c>
    </row>
    <row r="18" spans="1:29">
      <c r="B18" s="289" t="s">
        <v>3051</v>
      </c>
      <c r="C18" s="65">
        <f>'Costs"0"'!C55</f>
        <v>1605611.52</v>
      </c>
      <c r="D18" s="65">
        <f>'Costs"0"'!D55</f>
        <v>1587378.12</v>
      </c>
      <c r="E18" s="65">
        <f>'Costs"0"'!E55</f>
        <v>1569228.42</v>
      </c>
      <c r="F18" s="65">
        <f>'Costs"0"'!F55</f>
        <v>1590243.07</v>
      </c>
      <c r="G18" s="67">
        <f>'Costs"0"'!G55</f>
        <v>1553213.16</v>
      </c>
      <c r="H18" s="55">
        <f>G18</f>
        <v>1553213.16</v>
      </c>
      <c r="I18" s="55">
        <f t="shared" si="129"/>
        <v>1553213.16</v>
      </c>
      <c r="J18" s="55">
        <f t="shared" si="129"/>
        <v>1553213.16</v>
      </c>
      <c r="K18" s="55">
        <f t="shared" si="129"/>
        <v>1553213.16</v>
      </c>
      <c r="L18" s="55">
        <f t="shared" si="129"/>
        <v>1553213.16</v>
      </c>
      <c r="M18" s="55">
        <f t="shared" si="129"/>
        <v>1553213.16</v>
      </c>
      <c r="N18" s="55">
        <f t="shared" si="129"/>
        <v>1553213.16</v>
      </c>
      <c r="O18" s="55">
        <f t="shared" si="129"/>
        <v>1553213.16</v>
      </c>
      <c r="P18" s="55">
        <f t="shared" si="129"/>
        <v>1553213.16</v>
      </c>
      <c r="Q18" s="55">
        <f t="shared" si="129"/>
        <v>1553213.16</v>
      </c>
      <c r="R18" s="55">
        <f t="shared" si="129"/>
        <v>1553213.16</v>
      </c>
      <c r="S18" s="55">
        <f t="shared" si="129"/>
        <v>1553213.16</v>
      </c>
      <c r="T18" s="55">
        <f t="shared" si="129"/>
        <v>1553213.16</v>
      </c>
      <c r="U18" s="55">
        <f t="shared" si="130"/>
        <v>1553213.16</v>
      </c>
      <c r="V18" s="55">
        <f t="shared" si="130"/>
        <v>1553213.16</v>
      </c>
      <c r="W18" s="55">
        <f t="shared" si="130"/>
        <v>1553213.16</v>
      </c>
      <c r="X18" s="55">
        <f>G8-SUM(H18:W18)</f>
        <v>929229.22000000998</v>
      </c>
      <c r="Y18" s="55">
        <v>0</v>
      </c>
      <c r="Z18" s="55">
        <f t="shared" si="130"/>
        <v>0</v>
      </c>
      <c r="AA18" s="55">
        <f t="shared" si="130"/>
        <v>0</v>
      </c>
      <c r="AB18" s="55">
        <f t="shared" si="130"/>
        <v>0</v>
      </c>
      <c r="AC18" s="751" t="s">
        <v>3060</v>
      </c>
    </row>
    <row r="19" spans="1:29" s="172" customFormat="1">
      <c r="A19" s="170"/>
      <c r="B19" s="742" t="s">
        <v>3057</v>
      </c>
      <c r="C19" s="68">
        <f>SUM(C20:C21)</f>
        <v>0</v>
      </c>
      <c r="D19" s="68">
        <f t="shared" ref="D19" si="132">SUM(D20:D21)</f>
        <v>0</v>
      </c>
      <c r="E19" s="68">
        <f t="shared" ref="E19" si="133">SUM(E20:E21)</f>
        <v>0</v>
      </c>
      <c r="F19" s="68">
        <f t="shared" ref="F19" si="134">SUM(F20:F21)</f>
        <v>0</v>
      </c>
      <c r="G19" s="171">
        <f t="shared" ref="G19" si="135">SUM(G20:G21)</f>
        <v>0</v>
      </c>
      <c r="H19" s="120">
        <f t="shared" ref="H19" si="136">SUM(H20:H21)</f>
        <v>401566.87416666868</v>
      </c>
      <c r="I19" s="120">
        <f t="shared" ref="I19" si="137">SUM(I20:I21)</f>
        <v>1711186.808815859</v>
      </c>
      <c r="J19" s="120">
        <f t="shared" ref="J19" si="138">SUM(J20:J21)</f>
        <v>4089405.379497326</v>
      </c>
      <c r="K19" s="120">
        <f t="shared" ref="K19" si="139">SUM(K20:K21)</f>
        <v>6469796.7291369308</v>
      </c>
      <c r="L19" s="120">
        <f t="shared" ref="L19" si="140">SUM(L20:L21)</f>
        <v>8852822.5961801074</v>
      </c>
      <c r="M19" s="120">
        <f t="shared" ref="M19" si="141">SUM(M20:M21)</f>
        <v>11247412.726811899</v>
      </c>
      <c r="N19" s="120">
        <f t="shared" ref="N19" si="142">SUM(N20:N21)</f>
        <v>13568607.180146296</v>
      </c>
      <c r="O19" s="120">
        <f t="shared" ref="O19" si="143">SUM(O20:O21)</f>
        <v>15827883.686609156</v>
      </c>
      <c r="P19" s="120">
        <f t="shared" ref="P19" si="144">SUM(P20:P21)</f>
        <v>17124945.773471128</v>
      </c>
      <c r="Q19" s="120">
        <f t="shared" ref="Q19" si="145">SUM(Q20:Q21)</f>
        <v>17646098.150270887</v>
      </c>
      <c r="R19" s="120">
        <f t="shared" ref="R19" si="146">SUM(R20:R21)</f>
        <v>18212590.184187785</v>
      </c>
      <c r="S19" s="120">
        <f t="shared" ref="S19" si="147">SUM(S20:S21)</f>
        <v>18825006.912313193</v>
      </c>
      <c r="T19" s="120">
        <f t="shared" ref="T19" si="148">SUM(T20:T21)</f>
        <v>19477438.3240413</v>
      </c>
      <c r="U19" s="120">
        <f t="shared" ref="U19" si="149">SUM(U20:U21)</f>
        <v>20236216.425473224</v>
      </c>
      <c r="V19" s="120">
        <f t="shared" ref="V19" si="150">SUM(V20:V21)</f>
        <v>21093509.962732419</v>
      </c>
      <c r="W19" s="120">
        <f t="shared" ref="W19" si="151">SUM(W20:W21)</f>
        <v>21967949.370736796</v>
      </c>
      <c r="X19" s="120">
        <f t="shared" ref="X19" si="152">SUM(X20:X21)</f>
        <v>22859877.566901263</v>
      </c>
      <c r="Y19" s="120">
        <f t="shared" ref="Y19" si="153">SUM(Y20:Y21)</f>
        <v>23769644.326989017</v>
      </c>
      <c r="Z19" s="120">
        <f t="shared" ref="Z19" si="154">SUM(Z20:Z21)</f>
        <v>24697606.422278523</v>
      </c>
      <c r="AA19" s="120">
        <f t="shared" ref="AA19" si="155">SUM(AA20:AA21)</f>
        <v>25644127.759473823</v>
      </c>
      <c r="AB19" s="120">
        <f t="shared" ref="AB19" si="156">SUM(AB20:AB21)</f>
        <v>26609579.523413032</v>
      </c>
    </row>
    <row r="20" spans="1:29">
      <c r="B20" s="71" t="s">
        <v>246</v>
      </c>
      <c r="C20" s="65"/>
      <c r="D20" s="65"/>
      <c r="E20" s="65"/>
      <c r="F20" s="65"/>
      <c r="G20" s="67"/>
      <c r="H20" s="55">
        <f>G27/$AC$27</f>
        <v>345770.16166666831</v>
      </c>
      <c r="I20" s="55">
        <f t="shared" ref="I20:O20" si="157">H27/$AC$27+H20</f>
        <v>1353170.1113968147</v>
      </c>
      <c r="J20" s="55">
        <f t="shared" si="157"/>
        <v>3182569.0119210202</v>
      </c>
      <c r="K20" s="55">
        <f t="shared" si="157"/>
        <v>5013639.2808745624</v>
      </c>
      <c r="L20" s="55">
        <f t="shared" si="157"/>
        <v>6846736.1016770061</v>
      </c>
      <c r="M20" s="55">
        <f t="shared" si="157"/>
        <v>8688728.5098553076</v>
      </c>
      <c r="N20" s="55">
        <f t="shared" si="157"/>
        <v>10474262.70472792</v>
      </c>
      <c r="O20" s="55">
        <f t="shared" si="157"/>
        <v>12212167.709699351</v>
      </c>
      <c r="P20" s="55">
        <f t="shared" ref="P20:U20" si="158">O27/$AC$27+O20-H27/$AC$27</f>
        <v>12977430.865040066</v>
      </c>
      <c r="Q20" s="55">
        <f t="shared" si="158"/>
        <v>12956148.33168814</v>
      </c>
      <c r="R20" s="55">
        <f t="shared" si="158"/>
        <v>12969356.757250322</v>
      </c>
      <c r="S20" s="55">
        <f t="shared" si="158"/>
        <v>13017424.204853918</v>
      </c>
      <c r="T20" s="55">
        <f t="shared" si="158"/>
        <v>13094219.350449776</v>
      </c>
      <c r="U20" s="55">
        <f t="shared" si="158"/>
        <v>13265848.460426807</v>
      </c>
      <c r="V20" s="55">
        <f t="shared" ref="V20:AB20" si="159">U27/$AC$27+U20-N27/$AC$27</f>
        <v>13524250.026402012</v>
      </c>
      <c r="W20" s="55">
        <f t="shared" si="159"/>
        <v>13787819.623696718</v>
      </c>
      <c r="X20" s="55">
        <f t="shared" si="159"/>
        <v>14056660.61293732</v>
      </c>
      <c r="Y20" s="55">
        <f t="shared" si="159"/>
        <v>14330878.421962734</v>
      </c>
      <c r="Z20" s="55">
        <f t="shared" si="159"/>
        <v>14610580.587168654</v>
      </c>
      <c r="AA20" s="55">
        <f t="shared" si="159"/>
        <v>14895876.795678694</v>
      </c>
      <c r="AB20" s="55">
        <f t="shared" si="159"/>
        <v>15186878.928358935</v>
      </c>
      <c r="AC20" s="751"/>
    </row>
    <row r="21" spans="1:29">
      <c r="B21" s="289" t="s">
        <v>3051</v>
      </c>
      <c r="C21" s="65"/>
      <c r="D21" s="65"/>
      <c r="E21" s="65"/>
      <c r="F21" s="65"/>
      <c r="G21" s="67"/>
      <c r="H21" s="55">
        <f>G28/$AC$28</f>
        <v>55796.712500000358</v>
      </c>
      <c r="I21" s="55">
        <f t="shared" ref="I21:U21" si="160">H28/$AC$28+H21</f>
        <v>358016.69741904427</v>
      </c>
      <c r="J21" s="55">
        <f t="shared" si="160"/>
        <v>906836.36757630575</v>
      </c>
      <c r="K21" s="55">
        <f t="shared" si="160"/>
        <v>1456157.4482623683</v>
      </c>
      <c r="L21" s="55">
        <f t="shared" si="160"/>
        <v>2006086.4945031013</v>
      </c>
      <c r="M21" s="55">
        <f t="shared" si="160"/>
        <v>2558684.2169565917</v>
      </c>
      <c r="N21" s="55">
        <f t="shared" si="160"/>
        <v>3094344.4754183758</v>
      </c>
      <c r="O21" s="55">
        <f t="shared" si="160"/>
        <v>3615715.9769098056</v>
      </c>
      <c r="P21" s="55">
        <f t="shared" si="160"/>
        <v>4147514.9084310639</v>
      </c>
      <c r="Q21" s="55">
        <f t="shared" si="160"/>
        <v>4689949.8185827471</v>
      </c>
      <c r="R21" s="55">
        <f t="shared" si="160"/>
        <v>5243233.4269374646</v>
      </c>
      <c r="S21" s="55">
        <f t="shared" si="160"/>
        <v>5807582.7074592765</v>
      </c>
      <c r="T21" s="55">
        <f t="shared" si="160"/>
        <v>6383218.9735915242</v>
      </c>
      <c r="U21" s="55">
        <f t="shared" si="160"/>
        <v>6970367.965046417</v>
      </c>
      <c r="V21" s="55">
        <f t="shared" ref="V21:AB21" si="161">U28/$AC$28+U21</f>
        <v>7569259.9363304079</v>
      </c>
      <c r="W21" s="55">
        <f t="shared" si="161"/>
        <v>8180129.747040078</v>
      </c>
      <c r="X21" s="55">
        <f t="shared" si="161"/>
        <v>8803216.9539639428</v>
      </c>
      <c r="Y21" s="55">
        <f t="shared" si="161"/>
        <v>9438765.9050262831</v>
      </c>
      <c r="Z21" s="55">
        <f t="shared" si="161"/>
        <v>10087025.835109871</v>
      </c>
      <c r="AA21" s="55">
        <f t="shared" si="161"/>
        <v>10748250.963795131</v>
      </c>
      <c r="AB21" s="55">
        <f t="shared" si="161"/>
        <v>11422700.595054096</v>
      </c>
      <c r="AC21" s="751"/>
    </row>
    <row r="22" spans="1:29" s="172" customFormat="1">
      <c r="A22" s="170"/>
      <c r="B22" s="742" t="s">
        <v>3058</v>
      </c>
      <c r="C22" s="68">
        <f>SUM(C23:C24)</f>
        <v>0</v>
      </c>
      <c r="D22" s="68">
        <f t="shared" ref="D22" si="162">SUM(D23:D24)</f>
        <v>0</v>
      </c>
      <c r="E22" s="68">
        <f t="shared" ref="E22" si="163">SUM(E23:E24)</f>
        <v>0</v>
      </c>
      <c r="F22" s="68">
        <f t="shared" ref="F22" si="164">SUM(F23:F24)</f>
        <v>0</v>
      </c>
      <c r="G22" s="171">
        <f t="shared" ref="G22" si="165">SUM(G23:G24)</f>
        <v>0</v>
      </c>
      <c r="H22" s="120">
        <f t="shared" ref="H22" si="166">SUM(H23:H24)</f>
        <v>0</v>
      </c>
      <c r="I22" s="120">
        <f t="shared" ref="I22" si="167">SUM(I23:I24)</f>
        <v>0</v>
      </c>
      <c r="J22" s="120">
        <f t="shared" ref="J22" si="168">SUM(J23:J24)</f>
        <v>0</v>
      </c>
      <c r="K22" s="120">
        <f t="shared" ref="K22" si="169">SUM(K23:K24)</f>
        <v>0</v>
      </c>
      <c r="L22" s="120">
        <f t="shared" ref="L22" si="170">SUM(L23:L24)</f>
        <v>0</v>
      </c>
      <c r="M22" s="120">
        <f t="shared" ref="M22" si="171">SUM(M23:M24)</f>
        <v>0</v>
      </c>
      <c r="N22" s="120">
        <f t="shared" ref="N22" si="172">SUM(N23:N24)</f>
        <v>0</v>
      </c>
      <c r="O22" s="120">
        <f t="shared" ref="O22" si="173">SUM(O23:O24)</f>
        <v>0</v>
      </c>
      <c r="P22" s="120">
        <f t="shared" ref="P22" si="174">SUM(P23:P24)</f>
        <v>0</v>
      </c>
      <c r="Q22" s="120">
        <f t="shared" ref="Q22" si="175">SUM(Q23:Q24)</f>
        <v>0</v>
      </c>
      <c r="R22" s="120">
        <f t="shared" ref="R22" si="176">SUM(R23:R24)</f>
        <v>0</v>
      </c>
      <c r="S22" s="120">
        <f t="shared" ref="S22" si="177">SUM(S23:S24)</f>
        <v>0</v>
      </c>
      <c r="T22" s="120">
        <f t="shared" ref="T22" si="178">SUM(T23:T24)</f>
        <v>0</v>
      </c>
      <c r="U22" s="120">
        <f t="shared" ref="U22" si="179">SUM(U23:U24)</f>
        <v>0</v>
      </c>
      <c r="V22" s="120">
        <f t="shared" ref="V22" si="180">SUM(V23:V24)</f>
        <v>0</v>
      </c>
      <c r="W22" s="120">
        <f t="shared" ref="W22" si="181">SUM(W23:W24)</f>
        <v>0</v>
      </c>
      <c r="X22" s="120">
        <f t="shared" ref="X22" si="182">SUM(X23:X24)</f>
        <v>0</v>
      </c>
      <c r="Y22" s="120">
        <f t="shared" ref="Y22" si="183">SUM(Y23:Y24)</f>
        <v>0</v>
      </c>
      <c r="Z22" s="120">
        <f t="shared" ref="Z22" si="184">SUM(Z23:Z24)</f>
        <v>0</v>
      </c>
      <c r="AA22" s="120">
        <f t="shared" ref="AA22" si="185">SUM(AA23:AA24)</f>
        <v>0</v>
      </c>
      <c r="AB22" s="120">
        <f t="shared" ref="AB22" si="186">SUM(AB23:AB24)</f>
        <v>0</v>
      </c>
    </row>
    <row r="23" spans="1:29">
      <c r="B23" s="71" t="s">
        <v>246</v>
      </c>
      <c r="C23" s="65"/>
      <c r="D23" s="65"/>
      <c r="E23" s="65"/>
      <c r="F23" s="65"/>
      <c r="G23" s="67"/>
      <c r="H23" s="55">
        <f>G22</f>
        <v>0</v>
      </c>
      <c r="I23" s="55">
        <f t="shared" ref="I23:X24" si="187">H22</f>
        <v>0</v>
      </c>
      <c r="J23" s="55">
        <f t="shared" si="187"/>
        <v>0</v>
      </c>
      <c r="K23" s="55">
        <f t="shared" si="187"/>
        <v>0</v>
      </c>
      <c r="L23" s="55">
        <f t="shared" si="187"/>
        <v>0</v>
      </c>
      <c r="M23" s="55">
        <f t="shared" si="187"/>
        <v>0</v>
      </c>
      <c r="N23" s="55">
        <f t="shared" si="187"/>
        <v>0</v>
      </c>
      <c r="O23" s="55">
        <f t="shared" si="187"/>
        <v>0</v>
      </c>
      <c r="P23" s="55">
        <f t="shared" si="187"/>
        <v>0</v>
      </c>
      <c r="Q23" s="55">
        <f t="shared" si="187"/>
        <v>0</v>
      </c>
      <c r="R23" s="55">
        <f t="shared" si="187"/>
        <v>0</v>
      </c>
      <c r="S23" s="55">
        <f t="shared" si="187"/>
        <v>0</v>
      </c>
      <c r="T23" s="55">
        <f t="shared" si="187"/>
        <v>0</v>
      </c>
      <c r="U23" s="55">
        <f t="shared" si="187"/>
        <v>0</v>
      </c>
      <c r="V23" s="55">
        <f t="shared" si="187"/>
        <v>0</v>
      </c>
      <c r="W23" s="55">
        <f t="shared" si="187"/>
        <v>0</v>
      </c>
      <c r="X23" s="55">
        <f t="shared" si="187"/>
        <v>0</v>
      </c>
      <c r="Y23" s="55">
        <f t="shared" ref="V23:AB24" si="188">X22</f>
        <v>0</v>
      </c>
      <c r="Z23" s="55">
        <f t="shared" si="188"/>
        <v>0</v>
      </c>
      <c r="AA23" s="55">
        <f t="shared" si="188"/>
        <v>0</v>
      </c>
      <c r="AB23" s="55">
        <f t="shared" si="188"/>
        <v>0</v>
      </c>
    </row>
    <row r="24" spans="1:29">
      <c r="B24" s="302" t="s">
        <v>3051</v>
      </c>
      <c r="C24" s="285"/>
      <c r="D24" s="285"/>
      <c r="E24" s="285"/>
      <c r="F24" s="285"/>
      <c r="G24" s="286"/>
      <c r="H24" s="303">
        <f>G23</f>
        <v>0</v>
      </c>
      <c r="I24" s="303">
        <f t="shared" si="187"/>
        <v>0</v>
      </c>
      <c r="J24" s="303">
        <f t="shared" si="187"/>
        <v>0</v>
      </c>
      <c r="K24" s="303">
        <f t="shared" si="187"/>
        <v>0</v>
      </c>
      <c r="L24" s="303">
        <f t="shared" si="187"/>
        <v>0</v>
      </c>
      <c r="M24" s="303">
        <f t="shared" si="187"/>
        <v>0</v>
      </c>
      <c r="N24" s="303">
        <f t="shared" si="187"/>
        <v>0</v>
      </c>
      <c r="O24" s="303">
        <f t="shared" si="187"/>
        <v>0</v>
      </c>
      <c r="P24" s="303">
        <f t="shared" si="187"/>
        <v>0</v>
      </c>
      <c r="Q24" s="303">
        <f t="shared" si="187"/>
        <v>0</v>
      </c>
      <c r="R24" s="303">
        <f t="shared" si="187"/>
        <v>0</v>
      </c>
      <c r="S24" s="303">
        <f t="shared" si="187"/>
        <v>0</v>
      </c>
      <c r="T24" s="303">
        <f t="shared" si="187"/>
        <v>0</v>
      </c>
      <c r="U24" s="303">
        <f t="shared" si="187"/>
        <v>0</v>
      </c>
      <c r="V24" s="303">
        <f t="shared" si="188"/>
        <v>0</v>
      </c>
      <c r="W24" s="303">
        <f t="shared" si="188"/>
        <v>0</v>
      </c>
      <c r="X24" s="303">
        <f t="shared" si="188"/>
        <v>0</v>
      </c>
      <c r="Y24" s="303">
        <f t="shared" si="188"/>
        <v>0</v>
      </c>
      <c r="Z24" s="303">
        <f t="shared" si="188"/>
        <v>0</v>
      </c>
      <c r="AA24" s="303">
        <f t="shared" si="188"/>
        <v>0</v>
      </c>
      <c r="AB24" s="303">
        <f t="shared" si="188"/>
        <v>0</v>
      </c>
      <c r="AC24" s="752"/>
    </row>
    <row r="25" spans="1:29">
      <c r="B25" s="289"/>
      <c r="C25" s="65"/>
      <c r="D25" s="65"/>
      <c r="E25" s="65"/>
      <c r="F25" s="65"/>
      <c r="G25" s="67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9" s="60" customFormat="1">
      <c r="A26" s="170"/>
      <c r="B26" s="743" t="s">
        <v>3055</v>
      </c>
      <c r="C26" s="744">
        <f>SUM(C27:C28)</f>
        <v>0</v>
      </c>
      <c r="D26" s="744">
        <f t="shared" ref="D26:G26" si="189">SUM(D27:D28)</f>
        <v>1617655.9599999972</v>
      </c>
      <c r="E26" s="744">
        <f t="shared" si="189"/>
        <v>9285285.4200000018</v>
      </c>
      <c r="F26" s="744">
        <f t="shared" si="189"/>
        <v>8191608.1199999973</v>
      </c>
      <c r="G26" s="745">
        <f t="shared" si="189"/>
        <v>3190555.2200000174</v>
      </c>
      <c r="H26" s="746">
        <f t="shared" ref="H26" si="190">SUM(H27:H28)</f>
        <v>12088799.396761756</v>
      </c>
      <c r="I26" s="746">
        <f t="shared" ref="I26" si="191">SUM(I27:I28)</f>
        <v>21952786.806290463</v>
      </c>
      <c r="J26" s="746">
        <f t="shared" ref="J26" si="192">SUM(J27:J28)</f>
        <v>21972843.227442503</v>
      </c>
      <c r="K26" s="746">
        <f t="shared" ref="K26" si="193">SUM(K27:K28)</f>
        <v>21997161.849629324</v>
      </c>
      <c r="L26" s="747">
        <f t="shared" ref="L26" si="194">SUM(L27:L28)</f>
        <v>22103908.898139615</v>
      </c>
      <c r="M26" s="747">
        <f t="shared" ref="M26:N26" si="195">SUM(M27:M28)</f>
        <v>21426410.338471353</v>
      </c>
      <c r="N26" s="747">
        <f t="shared" si="195"/>
        <v>20854860.05965719</v>
      </c>
      <c r="O26" s="747">
        <f>O32*'PL"0"'!P9</f>
        <v>9977355.0252890084</v>
      </c>
      <c r="P26" s="747">
        <f>P32*'PL"0"'!Q9</f>
        <v>9982906.9434822742</v>
      </c>
      <c r="Q26" s="747">
        <f>Q32*'PL"0"'!R9</f>
        <v>9983074.0302111004</v>
      </c>
      <c r="R26" s="747">
        <f>R32*'PL"0"'!S9</f>
        <v>9985694.2014149651</v>
      </c>
      <c r="S26" s="747">
        <f>S32*'PL"0"'!T9</f>
        <v>9984374.5838365499</v>
      </c>
      <c r="T26" s="747">
        <f>T32*'PL"0"'!U9</f>
        <v>9975593.8185183611</v>
      </c>
      <c r="U26" s="747">
        <f>U32*'PL"0"'!V9</f>
        <v>9960976.3857151251</v>
      </c>
      <c r="V26" s="747">
        <f>V32*'PL"0"'!W9</f>
        <v>9962093.8787889741</v>
      </c>
      <c r="W26" s="747">
        <f>W32*'PL"0"'!X9</f>
        <v>9963211.371862825</v>
      </c>
      <c r="X26" s="747">
        <f>X32*'PL"0"'!Y9</f>
        <v>9964328.8649366759</v>
      </c>
      <c r="Y26" s="747">
        <f>Y32*'PL"0"'!Z9</f>
        <v>9965446.3580105249</v>
      </c>
      <c r="Z26" s="747">
        <f>Z32*'PL"0"'!AA9</f>
        <v>9966563.8510843739</v>
      </c>
      <c r="AA26" s="747">
        <f>AA32*'PL"0"'!AB9</f>
        <v>9967681.3441582229</v>
      </c>
      <c r="AB26" s="747">
        <f>AB32*'PL"0"'!AC9</f>
        <v>9968798.8372320719</v>
      </c>
      <c r="AC26" s="743"/>
    </row>
    <row r="27" spans="1:29">
      <c r="B27" s="289" t="s">
        <v>3052</v>
      </c>
      <c r="C27" s="65"/>
      <c r="D27" s="65">
        <f>D4-C4+D14</f>
        <v>1484239.4299999969</v>
      </c>
      <c r="E27" s="65">
        <f>E4-D4+E14</f>
        <v>8096637.3500000043</v>
      </c>
      <c r="F27" s="65">
        <f t="shared" ref="F27:G27" si="196">F4-E4+F14</f>
        <v>7159435.5799999945</v>
      </c>
      <c r="G27" s="67">
        <f t="shared" si="196"/>
        <v>2074620.97000001</v>
      </c>
      <c r="H27" s="61">
        <f>Capex_model!D8</f>
        <v>6044399.6983808782</v>
      </c>
      <c r="I27" s="61">
        <f>Capex_model!E8</f>
        <v>10976393.403145231</v>
      </c>
      <c r="J27" s="61">
        <f>Capex_model!F8</f>
        <v>10986421.613721251</v>
      </c>
      <c r="K27" s="61">
        <f>Capex_model!G8</f>
        <v>10998580.924814662</v>
      </c>
      <c r="L27" s="61">
        <f>Capex_model!H8</f>
        <v>11051954.449069807</v>
      </c>
      <c r="M27" s="61">
        <f>Capex_model!I8</f>
        <v>10713205.169235677</v>
      </c>
      <c r="N27" s="61">
        <f>Capex_model!J8</f>
        <v>10427430.029828595</v>
      </c>
      <c r="O27" s="792">
        <f>N27*1.02</f>
        <v>10635978.630425166</v>
      </c>
      <c r="P27" s="792">
        <f t="shared" ref="P27:AB27" si="197">O27*1.02</f>
        <v>10848698.203033671</v>
      </c>
      <c r="Q27" s="792">
        <f t="shared" si="197"/>
        <v>11065672.167094344</v>
      </c>
      <c r="R27" s="792">
        <f t="shared" si="197"/>
        <v>11286985.610436231</v>
      </c>
      <c r="S27" s="792">
        <f t="shared" si="197"/>
        <v>11512725.322644956</v>
      </c>
      <c r="T27" s="792">
        <f t="shared" si="197"/>
        <v>11742979.829097856</v>
      </c>
      <c r="U27" s="792">
        <f t="shared" si="197"/>
        <v>11977839.425679814</v>
      </c>
      <c r="V27" s="792">
        <f t="shared" si="197"/>
        <v>12217396.214193411</v>
      </c>
      <c r="W27" s="792">
        <f t="shared" si="197"/>
        <v>12461744.138477279</v>
      </c>
      <c r="X27" s="792">
        <f t="shared" si="197"/>
        <v>12710979.021246824</v>
      </c>
      <c r="Y27" s="792">
        <f t="shared" si="197"/>
        <v>12965198.601671761</v>
      </c>
      <c r="Z27" s="792">
        <f t="shared" si="197"/>
        <v>13224502.573705196</v>
      </c>
      <c r="AA27" s="792">
        <f t="shared" si="197"/>
        <v>13488992.6251793</v>
      </c>
      <c r="AB27" s="792">
        <f t="shared" si="197"/>
        <v>13758772.477682887</v>
      </c>
      <c r="AC27" s="61">
        <v>6</v>
      </c>
    </row>
    <row r="28" spans="1:29">
      <c r="B28" s="289" t="s">
        <v>3053</v>
      </c>
      <c r="C28" s="65"/>
      <c r="D28" s="65">
        <f>D5-C5+D15</f>
        <v>133416.53000000026</v>
      </c>
      <c r="E28" s="65">
        <f>E5-D5+E15</f>
        <v>1188648.0699999984</v>
      </c>
      <c r="F28" s="65">
        <f t="shared" ref="F28:G28" si="198">F5-E5+F15</f>
        <v>1032172.5400000026</v>
      </c>
      <c r="G28" s="67">
        <f t="shared" si="198"/>
        <v>1115934.2500000072</v>
      </c>
      <c r="H28" s="61">
        <f>Capex_model!D7</f>
        <v>6044399.6983808782</v>
      </c>
      <c r="I28" s="61">
        <f>Capex_model!E7</f>
        <v>10976393.403145231</v>
      </c>
      <c r="J28" s="61">
        <f>Capex_model!F7</f>
        <v>10986421.613721251</v>
      </c>
      <c r="K28" s="61">
        <f>Capex_model!G7</f>
        <v>10998580.924814662</v>
      </c>
      <c r="L28" s="61">
        <f>Capex_model!H7</f>
        <v>11051954.449069807</v>
      </c>
      <c r="M28" s="61">
        <f>Capex_model!I7</f>
        <v>10713205.169235677</v>
      </c>
      <c r="N28" s="61">
        <f>Capex_model!J7</f>
        <v>10427430.029828595</v>
      </c>
      <c r="O28" s="792">
        <f>N28*1.02</f>
        <v>10635978.630425166</v>
      </c>
      <c r="P28" s="792">
        <f t="shared" ref="P28:AB28" si="199">O28*1.02</f>
        <v>10848698.203033671</v>
      </c>
      <c r="Q28" s="792">
        <f t="shared" si="199"/>
        <v>11065672.167094344</v>
      </c>
      <c r="R28" s="792">
        <f t="shared" si="199"/>
        <v>11286985.610436231</v>
      </c>
      <c r="S28" s="792">
        <f t="shared" si="199"/>
        <v>11512725.322644956</v>
      </c>
      <c r="T28" s="792">
        <f t="shared" si="199"/>
        <v>11742979.829097856</v>
      </c>
      <c r="U28" s="792">
        <f t="shared" si="199"/>
        <v>11977839.425679814</v>
      </c>
      <c r="V28" s="792">
        <f t="shared" si="199"/>
        <v>12217396.214193411</v>
      </c>
      <c r="W28" s="792">
        <f t="shared" si="199"/>
        <v>12461744.138477279</v>
      </c>
      <c r="X28" s="792">
        <f t="shared" si="199"/>
        <v>12710979.021246824</v>
      </c>
      <c r="Y28" s="792">
        <f t="shared" si="199"/>
        <v>12965198.601671761</v>
      </c>
      <c r="Z28" s="792">
        <f t="shared" si="199"/>
        <v>13224502.573705196</v>
      </c>
      <c r="AA28" s="792">
        <f t="shared" si="199"/>
        <v>13488992.6251793</v>
      </c>
      <c r="AB28" s="792">
        <f t="shared" si="199"/>
        <v>13758772.477682887</v>
      </c>
      <c r="AC28" s="61">
        <v>20</v>
      </c>
    </row>
    <row r="29" spans="1:29" s="60" customFormat="1">
      <c r="A29" s="170"/>
      <c r="B29" s="60" t="s">
        <v>3056</v>
      </c>
      <c r="C29" s="68">
        <f>SUM(C30:C31)</f>
        <v>0</v>
      </c>
      <c r="D29" s="68">
        <f t="shared" ref="D29" si="200">SUM(D30:D31)</f>
        <v>0</v>
      </c>
      <c r="E29" s="68">
        <f t="shared" ref="E29" si="201">SUM(E30:E31)</f>
        <v>0</v>
      </c>
      <c r="F29" s="68">
        <f t="shared" ref="F29" si="202">SUM(F30:F31)</f>
        <v>0</v>
      </c>
      <c r="G29" s="171">
        <f t="shared" ref="G29" si="203">SUM(G30:G31)</f>
        <v>0</v>
      </c>
      <c r="H29" s="739">
        <f t="shared" ref="H29" si="204">SUM(H30:H31)</f>
        <v>0</v>
      </c>
      <c r="I29" s="739">
        <f t="shared" ref="I29" si="205">SUM(I30:I31)</f>
        <v>0</v>
      </c>
      <c r="J29" s="739">
        <f t="shared" ref="J29" si="206">SUM(J30:J31)</f>
        <v>0</v>
      </c>
      <c r="K29" s="739">
        <f t="shared" ref="K29" si="207">SUM(K30:K31)</f>
        <v>0</v>
      </c>
      <c r="L29" s="740">
        <f t="shared" ref="L29" si="208">SUM(L30:L31)</f>
        <v>0</v>
      </c>
      <c r="M29" s="740">
        <f t="shared" ref="M29" si="209">SUM(M30:M31)</f>
        <v>0</v>
      </c>
      <c r="N29" s="740">
        <f t="shared" ref="N29" si="210">SUM(N30:N31)</f>
        <v>0</v>
      </c>
      <c r="O29" s="740">
        <f t="shared" ref="O29" si="211">SUM(O30:O31)</f>
        <v>0</v>
      </c>
      <c r="P29" s="740">
        <f t="shared" ref="P29" si="212">SUM(P30:P31)</f>
        <v>0</v>
      </c>
      <c r="Q29" s="740">
        <f t="shared" ref="Q29" si="213">SUM(Q30:Q31)</f>
        <v>0</v>
      </c>
      <c r="R29" s="740">
        <f t="shared" ref="R29" si="214">SUM(R30:R31)</f>
        <v>0</v>
      </c>
      <c r="S29" s="740">
        <f t="shared" ref="S29" si="215">SUM(S30:S31)</f>
        <v>0</v>
      </c>
      <c r="T29" s="740">
        <f t="shared" ref="T29" si="216">SUM(T30:T31)</f>
        <v>0</v>
      </c>
      <c r="U29" s="740">
        <f t="shared" ref="U29" si="217">SUM(U30:U31)</f>
        <v>0</v>
      </c>
      <c r="V29" s="740">
        <f t="shared" ref="V29" si="218">SUM(V30:V31)</f>
        <v>0</v>
      </c>
      <c r="W29" s="740">
        <f t="shared" ref="W29" si="219">SUM(W30:W31)</f>
        <v>0</v>
      </c>
      <c r="X29" s="740">
        <f t="shared" ref="X29" si="220">SUM(X30:X31)</f>
        <v>0</v>
      </c>
      <c r="Y29" s="740">
        <f t="shared" ref="Y29" si="221">SUM(Y30:Y31)</f>
        <v>0</v>
      </c>
      <c r="Z29" s="740">
        <f t="shared" ref="Z29" si="222">SUM(Z30:Z31)</f>
        <v>0</v>
      </c>
      <c r="AA29" s="740">
        <f t="shared" ref="AA29" si="223">SUM(AA30:AA31)</f>
        <v>0</v>
      </c>
      <c r="AB29" s="740">
        <f t="shared" ref="AB29" si="224">SUM(AB30:AB31)</f>
        <v>0</v>
      </c>
    </row>
    <row r="30" spans="1:29">
      <c r="B30" s="289" t="s">
        <v>3052</v>
      </c>
      <c r="C30" s="65"/>
      <c r="D30" s="65"/>
      <c r="E30" s="65"/>
      <c r="F30" s="65"/>
      <c r="G30" s="67"/>
      <c r="H30" s="61"/>
      <c r="I30" s="61"/>
      <c r="J30" s="61"/>
      <c r="K30" s="61"/>
      <c r="L30" s="61"/>
      <c r="M30" s="61"/>
      <c r="N30" s="61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61">
        <v>8</v>
      </c>
    </row>
    <row r="31" spans="1:29">
      <c r="B31" s="302" t="s">
        <v>3053</v>
      </c>
      <c r="C31" s="285"/>
      <c r="D31" s="285"/>
      <c r="E31" s="285"/>
      <c r="F31" s="285"/>
      <c r="G31" s="286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7">
        <v>40</v>
      </c>
    </row>
    <row r="32" spans="1:29" s="49" customFormat="1">
      <c r="A32" s="57"/>
      <c r="B32" s="58"/>
      <c r="C32" s="77"/>
      <c r="D32" s="77"/>
      <c r="E32" s="77"/>
      <c r="F32" s="77"/>
      <c r="G32" s="174"/>
      <c r="H32" s="59"/>
      <c r="I32" s="59"/>
      <c r="J32" s="59"/>
      <c r="K32" s="59"/>
      <c r="L32" s="59"/>
      <c r="M32" s="59"/>
      <c r="O32" s="1080">
        <v>0.08</v>
      </c>
      <c r="P32" s="59">
        <f>O32</f>
        <v>0.08</v>
      </c>
      <c r="Q32" s="59">
        <f t="shared" ref="Q32:AB32" si="225">P32</f>
        <v>0.08</v>
      </c>
      <c r="R32" s="59">
        <f t="shared" si="225"/>
        <v>0.08</v>
      </c>
      <c r="S32" s="59">
        <f t="shared" si="225"/>
        <v>0.08</v>
      </c>
      <c r="T32" s="59">
        <f t="shared" si="225"/>
        <v>0.08</v>
      </c>
      <c r="U32" s="59">
        <f t="shared" si="225"/>
        <v>0.08</v>
      </c>
      <c r="V32" s="59">
        <f t="shared" si="225"/>
        <v>0.08</v>
      </c>
      <c r="W32" s="59">
        <f t="shared" si="225"/>
        <v>0.08</v>
      </c>
      <c r="X32" s="59">
        <f t="shared" si="225"/>
        <v>0.08</v>
      </c>
      <c r="Y32" s="59">
        <f t="shared" si="225"/>
        <v>0.08</v>
      </c>
      <c r="Z32" s="59">
        <f t="shared" si="225"/>
        <v>0.08</v>
      </c>
      <c r="AA32" s="59">
        <f t="shared" si="225"/>
        <v>0.08</v>
      </c>
      <c r="AB32" s="59">
        <f t="shared" si="225"/>
        <v>0.08</v>
      </c>
    </row>
    <row r="33" spans="1:28" s="49" customFormat="1">
      <c r="A33" s="57"/>
      <c r="B33" s="58"/>
      <c r="C33" s="77"/>
      <c r="D33" s="77"/>
      <c r="E33" s="77"/>
      <c r="F33" s="77"/>
      <c r="G33" s="174"/>
      <c r="H33" s="59"/>
      <c r="I33" s="59"/>
      <c r="J33" s="59"/>
      <c r="K33" s="59"/>
      <c r="L33" s="59"/>
      <c r="M33" s="59"/>
      <c r="N33" s="59"/>
      <c r="O33" s="59" t="s">
        <v>3371</v>
      </c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</row>
    <row r="34" spans="1:28" s="49" customFormat="1">
      <c r="A34" s="57"/>
      <c r="B34" s="58"/>
      <c r="C34" s="77"/>
      <c r="D34" s="77"/>
      <c r="E34" s="77"/>
      <c r="F34" s="77"/>
      <c r="G34" s="174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</row>
    <row r="35" spans="1:28">
      <c r="B35" s="725" t="s">
        <v>248</v>
      </c>
      <c r="C35" s="65"/>
      <c r="D35" s="65"/>
      <c r="E35" s="65"/>
      <c r="F35" s="65"/>
      <c r="G35" s="67"/>
      <c r="H35" s="55"/>
      <c r="I35" s="55"/>
      <c r="J35" s="55"/>
      <c r="K35" s="55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</row>
    <row r="36" spans="1:28" s="206" customFormat="1">
      <c r="A36" s="175"/>
      <c r="B36" s="293" t="s">
        <v>249</v>
      </c>
      <c r="C36" s="203"/>
      <c r="D36" s="203"/>
      <c r="E36" s="203"/>
      <c r="F36" s="203"/>
      <c r="G36" s="204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</row>
    <row r="37" spans="1:28" s="206" customFormat="1">
      <c r="A37" s="175"/>
      <c r="B37" s="290" t="s">
        <v>209</v>
      </c>
      <c r="C37" s="203">
        <f>C42/'PL"0"'!D9*365</f>
        <v>61.084953822786645</v>
      </c>
      <c r="D37" s="203">
        <f>D42/'PL"0"'!E9*365</f>
        <v>60.647854009863892</v>
      </c>
      <c r="E37" s="203">
        <f>E42/'PL"0"'!F9*365</f>
        <v>51.209528511086205</v>
      </c>
      <c r="F37" s="203">
        <f>F42/'PL"0"'!G9*365</f>
        <v>49.760576246269167</v>
      </c>
      <c r="G37" s="204">
        <f>G42/'PL"0"'!H9*365</f>
        <v>63.208466926072973</v>
      </c>
      <c r="H37" s="291">
        <f>G37</f>
        <v>63.208466926072973</v>
      </c>
      <c r="I37" s="205">
        <f t="shared" ref="I37:R40" si="226">H37</f>
        <v>63.208466926072973</v>
      </c>
      <c r="J37" s="205">
        <f t="shared" si="226"/>
        <v>63.208466926072973</v>
      </c>
      <c r="K37" s="205">
        <f t="shared" si="226"/>
        <v>63.208466926072973</v>
      </c>
      <c r="L37" s="205">
        <f t="shared" si="226"/>
        <v>63.208466926072973</v>
      </c>
      <c r="M37" s="205">
        <f t="shared" si="226"/>
        <v>63.208466926072973</v>
      </c>
      <c r="N37" s="205">
        <f t="shared" si="226"/>
        <v>63.208466926072973</v>
      </c>
      <c r="O37" s="205">
        <f t="shared" si="226"/>
        <v>63.208466926072973</v>
      </c>
      <c r="P37" s="205">
        <f t="shared" si="226"/>
        <v>63.208466926072973</v>
      </c>
      <c r="Q37" s="205">
        <f t="shared" si="226"/>
        <v>63.208466926072973</v>
      </c>
      <c r="R37" s="205">
        <f t="shared" si="226"/>
        <v>63.208466926072973</v>
      </c>
      <c r="S37" s="205">
        <f t="shared" ref="S37:S40" si="227">R37</f>
        <v>63.208466926072973</v>
      </c>
      <c r="T37" s="205">
        <f t="shared" ref="T37:U40" si="228">S37</f>
        <v>63.208466926072973</v>
      </c>
      <c r="U37" s="205">
        <f t="shared" si="228"/>
        <v>63.208466926072973</v>
      </c>
      <c r="V37" s="205">
        <f t="shared" ref="V37:V40" si="229">U37</f>
        <v>63.208466926072973</v>
      </c>
      <c r="W37" s="205">
        <f t="shared" ref="W37:W40" si="230">V37</f>
        <v>63.208466926072973</v>
      </c>
      <c r="X37" s="205">
        <f t="shared" ref="X37:X40" si="231">W37</f>
        <v>63.208466926072973</v>
      </c>
      <c r="Y37" s="205">
        <f t="shared" ref="Y37:Y40" si="232">X37</f>
        <v>63.208466926072973</v>
      </c>
      <c r="Z37" s="205">
        <f t="shared" ref="Z37:Z40" si="233">Y37</f>
        <v>63.208466926072973</v>
      </c>
      <c r="AA37" s="205">
        <f t="shared" ref="AA37:AA40" si="234">Z37</f>
        <v>63.208466926072973</v>
      </c>
      <c r="AB37" s="205">
        <f t="shared" ref="AB37:AB40" si="235">AA37</f>
        <v>63.208466926072973</v>
      </c>
    </row>
    <row r="38" spans="1:28" s="206" customFormat="1">
      <c r="A38" s="175"/>
      <c r="B38" s="290" t="s">
        <v>212</v>
      </c>
      <c r="C38" s="203">
        <f>C43/'PL"0"'!D17*365</f>
        <v>119.13443452312713</v>
      </c>
      <c r="D38" s="203">
        <f>D43/'PL"0"'!E17*365</f>
        <v>163.4062407674476</v>
      </c>
      <c r="E38" s="203">
        <f>E43/'PL"0"'!F17*365</f>
        <v>214.85454161349023</v>
      </c>
      <c r="F38" s="203">
        <f>F43/'PL"0"'!G17*365</f>
        <v>159.08063595980423</v>
      </c>
      <c r="G38" s="204">
        <f>G43/'PL"0"'!H17*365</f>
        <v>180.78518768125534</v>
      </c>
      <c r="H38" s="724">
        <f>G38</f>
        <v>180.78518768125534</v>
      </c>
      <c r="I38" s="295">
        <f t="shared" si="226"/>
        <v>180.78518768125534</v>
      </c>
      <c r="J38" s="295">
        <f t="shared" si="226"/>
        <v>180.78518768125534</v>
      </c>
      <c r="K38" s="295">
        <f t="shared" si="226"/>
        <v>180.78518768125534</v>
      </c>
      <c r="L38" s="295">
        <f t="shared" si="226"/>
        <v>180.78518768125534</v>
      </c>
      <c r="M38" s="295">
        <f t="shared" si="226"/>
        <v>180.78518768125534</v>
      </c>
      <c r="N38" s="295">
        <f t="shared" si="226"/>
        <v>180.78518768125534</v>
      </c>
      <c r="O38" s="295">
        <f t="shared" si="226"/>
        <v>180.78518768125534</v>
      </c>
      <c r="P38" s="295">
        <f t="shared" si="226"/>
        <v>180.78518768125534</v>
      </c>
      <c r="Q38" s="295">
        <f t="shared" si="226"/>
        <v>180.78518768125534</v>
      </c>
      <c r="R38" s="295">
        <f t="shared" si="226"/>
        <v>180.78518768125534</v>
      </c>
      <c r="S38" s="295">
        <f t="shared" si="227"/>
        <v>180.78518768125534</v>
      </c>
      <c r="T38" s="295">
        <f t="shared" si="228"/>
        <v>180.78518768125534</v>
      </c>
      <c r="U38" s="295">
        <f t="shared" si="228"/>
        <v>180.78518768125534</v>
      </c>
      <c r="V38" s="295">
        <f t="shared" si="229"/>
        <v>180.78518768125534</v>
      </c>
      <c r="W38" s="295">
        <f t="shared" si="230"/>
        <v>180.78518768125534</v>
      </c>
      <c r="X38" s="295">
        <f t="shared" si="231"/>
        <v>180.78518768125534</v>
      </c>
      <c r="Y38" s="295">
        <f t="shared" si="232"/>
        <v>180.78518768125534</v>
      </c>
      <c r="Z38" s="295">
        <f t="shared" si="233"/>
        <v>180.78518768125534</v>
      </c>
      <c r="AA38" s="295">
        <f t="shared" si="234"/>
        <v>180.78518768125534</v>
      </c>
      <c r="AB38" s="295">
        <f t="shared" si="235"/>
        <v>180.78518768125534</v>
      </c>
    </row>
    <row r="39" spans="1:28" s="206" customFormat="1">
      <c r="A39" s="175"/>
      <c r="B39" s="290" t="s">
        <v>210</v>
      </c>
      <c r="C39" s="203">
        <f>C44/('PL"0"'!D13)*365</f>
        <v>773.43708904777895</v>
      </c>
      <c r="D39" s="203">
        <f>D44/('PL"0"'!E13)*365</f>
        <v>606.91977912873995</v>
      </c>
      <c r="E39" s="203">
        <f>E44/('PL"0"'!F13)*365</f>
        <v>314.37546636761277</v>
      </c>
      <c r="F39" s="203">
        <f>F44/('PL"0"'!G13)*365</f>
        <v>409.46886847181344</v>
      </c>
      <c r="G39" s="204">
        <f>G44/('PL"0"'!H13)*365</f>
        <v>386.24520243585317</v>
      </c>
      <c r="H39" s="294">
        <f>G39</f>
        <v>386.24520243585317</v>
      </c>
      <c r="I39" s="295">
        <f t="shared" si="226"/>
        <v>386.24520243585317</v>
      </c>
      <c r="J39" s="295">
        <f t="shared" si="226"/>
        <v>386.24520243585317</v>
      </c>
      <c r="K39" s="295">
        <f t="shared" si="226"/>
        <v>386.24520243585317</v>
      </c>
      <c r="L39" s="295">
        <f t="shared" si="226"/>
        <v>386.24520243585317</v>
      </c>
      <c r="M39" s="295">
        <f t="shared" si="226"/>
        <v>386.24520243585317</v>
      </c>
      <c r="N39" s="295">
        <f t="shared" si="226"/>
        <v>386.24520243585317</v>
      </c>
      <c r="O39" s="295">
        <f t="shared" si="226"/>
        <v>386.24520243585317</v>
      </c>
      <c r="P39" s="295">
        <f t="shared" si="226"/>
        <v>386.24520243585317</v>
      </c>
      <c r="Q39" s="295">
        <f t="shared" si="226"/>
        <v>386.24520243585317</v>
      </c>
      <c r="R39" s="295">
        <f t="shared" si="226"/>
        <v>386.24520243585317</v>
      </c>
      <c r="S39" s="295">
        <f t="shared" si="227"/>
        <v>386.24520243585317</v>
      </c>
      <c r="T39" s="295">
        <f t="shared" si="228"/>
        <v>386.24520243585317</v>
      </c>
      <c r="U39" s="295">
        <f t="shared" si="228"/>
        <v>386.24520243585317</v>
      </c>
      <c r="V39" s="295">
        <f t="shared" si="229"/>
        <v>386.24520243585317</v>
      </c>
      <c r="W39" s="295">
        <f t="shared" si="230"/>
        <v>386.24520243585317</v>
      </c>
      <c r="X39" s="295">
        <f t="shared" si="231"/>
        <v>386.24520243585317</v>
      </c>
      <c r="Y39" s="295">
        <f t="shared" si="232"/>
        <v>386.24520243585317</v>
      </c>
      <c r="Z39" s="295">
        <f t="shared" si="233"/>
        <v>386.24520243585317</v>
      </c>
      <c r="AA39" s="295">
        <f t="shared" si="234"/>
        <v>386.24520243585317</v>
      </c>
      <c r="AB39" s="295">
        <f t="shared" si="235"/>
        <v>386.24520243585317</v>
      </c>
    </row>
    <row r="40" spans="1:28" s="73" customFormat="1">
      <c r="A40" s="72"/>
      <c r="B40" s="292" t="s">
        <v>217</v>
      </c>
      <c r="C40" s="296">
        <f>C45/'PL"0"'!D9*365</f>
        <v>4.7951404595951006</v>
      </c>
      <c r="D40" s="296">
        <f>D45/'PL"0"'!E9*365</f>
        <v>5.5012837676082702</v>
      </c>
      <c r="E40" s="296">
        <f>E45/'PL"0"'!F9*365</f>
        <v>7.2390525948648543</v>
      </c>
      <c r="F40" s="296">
        <f>F45/'PL"0"'!G9*365</f>
        <v>13.116616620690897</v>
      </c>
      <c r="G40" s="297">
        <f>G45/'PL"0"'!H9*365</f>
        <v>18.15158596832574</v>
      </c>
      <c r="H40" s="298">
        <f>G40</f>
        <v>18.15158596832574</v>
      </c>
      <c r="I40" s="299">
        <f t="shared" si="226"/>
        <v>18.15158596832574</v>
      </c>
      <c r="J40" s="299">
        <f t="shared" si="226"/>
        <v>18.15158596832574</v>
      </c>
      <c r="K40" s="299">
        <f t="shared" si="226"/>
        <v>18.15158596832574</v>
      </c>
      <c r="L40" s="299">
        <f t="shared" si="226"/>
        <v>18.15158596832574</v>
      </c>
      <c r="M40" s="299">
        <f t="shared" si="226"/>
        <v>18.15158596832574</v>
      </c>
      <c r="N40" s="299">
        <f t="shared" si="226"/>
        <v>18.15158596832574</v>
      </c>
      <c r="O40" s="299">
        <f t="shared" si="226"/>
        <v>18.15158596832574</v>
      </c>
      <c r="P40" s="299">
        <f t="shared" si="226"/>
        <v>18.15158596832574</v>
      </c>
      <c r="Q40" s="299">
        <f t="shared" si="226"/>
        <v>18.15158596832574</v>
      </c>
      <c r="R40" s="299">
        <f t="shared" si="226"/>
        <v>18.15158596832574</v>
      </c>
      <c r="S40" s="299">
        <f t="shared" si="227"/>
        <v>18.15158596832574</v>
      </c>
      <c r="T40" s="299">
        <f t="shared" si="228"/>
        <v>18.15158596832574</v>
      </c>
      <c r="U40" s="299">
        <f t="shared" si="228"/>
        <v>18.15158596832574</v>
      </c>
      <c r="V40" s="299">
        <f t="shared" si="229"/>
        <v>18.15158596832574</v>
      </c>
      <c r="W40" s="299">
        <f t="shared" si="230"/>
        <v>18.15158596832574</v>
      </c>
      <c r="X40" s="299">
        <f t="shared" si="231"/>
        <v>18.15158596832574</v>
      </c>
      <c r="Y40" s="299">
        <f t="shared" si="232"/>
        <v>18.15158596832574</v>
      </c>
      <c r="Z40" s="299">
        <f t="shared" si="233"/>
        <v>18.15158596832574</v>
      </c>
      <c r="AA40" s="299">
        <f t="shared" si="234"/>
        <v>18.15158596832574</v>
      </c>
      <c r="AB40" s="299">
        <f t="shared" si="235"/>
        <v>18.15158596832574</v>
      </c>
    </row>
    <row r="41" spans="1:28" s="206" customFormat="1">
      <c r="A41" s="175"/>
      <c r="B41" s="172" t="s">
        <v>250</v>
      </c>
      <c r="C41" s="203"/>
      <c r="D41" s="203"/>
      <c r="E41" s="203"/>
      <c r="F41" s="203"/>
      <c r="G41" s="204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</row>
    <row r="42" spans="1:28">
      <c r="B42" s="289" t="s">
        <v>211</v>
      </c>
      <c r="C42" s="65">
        <f>'BS"0"'!D34</f>
        <v>15326629.039999999</v>
      </c>
      <c r="D42" s="65">
        <f>'BS"0"'!E34</f>
        <v>16084519.91</v>
      </c>
      <c r="E42" s="65">
        <f>'BS"0"'!F34</f>
        <v>14931860.189999999</v>
      </c>
      <c r="F42" s="65">
        <f>'BS"0"'!G34</f>
        <v>15184155.800000001</v>
      </c>
      <c r="G42" s="67">
        <f>'BS"0"'!H34</f>
        <v>22086269.469999999</v>
      </c>
      <c r="H42" s="55">
        <f>H37*'PL"0"'!I9/365</f>
        <v>23260714.668071426</v>
      </c>
      <c r="I42" s="55">
        <f>I37*'PL"0"'!J9/365</f>
        <v>23040298.858954616</v>
      </c>
      <c r="J42" s="55">
        <f>J37*'PL"0"'!K9/365</f>
        <v>23061348.848710433</v>
      </c>
      <c r="K42" s="55">
        <f>K37*'PL"0"'!L9/365</f>
        <v>23086872.183308747</v>
      </c>
      <c r="L42" s="55">
        <f>L37*'PL"0"'!M9/365</f>
        <v>23198907.339559782</v>
      </c>
      <c r="M42" s="55">
        <f>M37*'PL"0"'!N9/365</f>
        <v>22487846.396409038</v>
      </c>
      <c r="N42" s="55">
        <f>N37*'PL"0"'!O9/365</f>
        <v>21887982.271958847</v>
      </c>
      <c r="O42" s="55">
        <f>O37*'PL"0"'!P9/365</f>
        <v>21597716.271426994</v>
      </c>
      <c r="P42" s="55">
        <f>P37*'PL"0"'!Q9/365</f>
        <v>21609734.361752175</v>
      </c>
      <c r="Q42" s="55">
        <f>Q37*'PL"0"'!R9/365</f>
        <v>21610096.049970422</v>
      </c>
      <c r="R42" s="55">
        <f>R37*'PL"0"'!S9/365</f>
        <v>21615767.865206044</v>
      </c>
      <c r="S42" s="55">
        <f>S37*'PL"0"'!T9/365</f>
        <v>21612911.3239711</v>
      </c>
      <c r="T42" s="55">
        <f>T37*'PL"0"'!U9/365</f>
        <v>21593903.83375876</v>
      </c>
      <c r="U42" s="55">
        <f>U37*'PL"0"'!V9/365</f>
        <v>21562261.863968093</v>
      </c>
      <c r="V42" s="55">
        <f>V37*'PL"0"'!W9/365</f>
        <v>21564680.871639278</v>
      </c>
      <c r="W42" s="55">
        <f>W37*'PL"0"'!X9/365</f>
        <v>21567099.879310459</v>
      </c>
      <c r="X42" s="55">
        <f>X37*'PL"0"'!Y9/365</f>
        <v>21569518.886981644</v>
      </c>
      <c r="Y42" s="55">
        <f>Y37*'PL"0"'!Z9/365</f>
        <v>21571937.894652829</v>
      </c>
      <c r="Z42" s="55">
        <f>Z37*'PL"0"'!AA9/365</f>
        <v>21574356.90232401</v>
      </c>
      <c r="AA42" s="55">
        <f>AA37*'PL"0"'!AB9/365</f>
        <v>21576775.909995191</v>
      </c>
      <c r="AB42" s="55">
        <f>AB37*'PL"0"'!AC9/365</f>
        <v>21579194.917666376</v>
      </c>
    </row>
    <row r="43" spans="1:28">
      <c r="B43" s="289" t="s">
        <v>212</v>
      </c>
      <c r="C43" s="65">
        <f>SUM('BS"0"'!D75:D76)</f>
        <v>21826724.93</v>
      </c>
      <c r="D43" s="65">
        <f>SUM('BS"0"'!E75:E76)</f>
        <v>30594286.859999999</v>
      </c>
      <c r="E43" s="65">
        <f>SUM('BS"0"'!F75:F76)</f>
        <v>44560734.939999998</v>
      </c>
      <c r="F43" s="65">
        <f>SUM('BS"0"'!G75:G76)</f>
        <v>37953920.25</v>
      </c>
      <c r="G43" s="67">
        <f>SUM('BS"0"'!H75:H76)</f>
        <v>56500059.469999999</v>
      </c>
      <c r="H43" s="55">
        <f>'PL"0"'!I17/365*H38</f>
        <v>56500059.469999991</v>
      </c>
      <c r="I43" s="55">
        <f>'PL"0"'!J17/365*I38</f>
        <v>56064422.991100535</v>
      </c>
      <c r="J43" s="55">
        <f>'PL"0"'!K17/365*J38</f>
        <v>56095104.695738837</v>
      </c>
      <c r="K43" s="55">
        <f>'PL"0"'!L17/365*K38</f>
        <v>56543540.532716095</v>
      </c>
      <c r="L43" s="55">
        <f>'PL"0"'!M17/365*L38</f>
        <v>57170784.929915331</v>
      </c>
      <c r="M43" s="55">
        <f>'PL"0"'!N17/365*M38</f>
        <v>56175892.564098932</v>
      </c>
      <c r="N43" s="55">
        <f>'PL"0"'!O17/365*N38</f>
        <v>55384952.133604296</v>
      </c>
      <c r="O43" s="55">
        <f>'PL"0"'!P17/365*O38</f>
        <v>55205498.884521402</v>
      </c>
      <c r="P43" s="55">
        <f>'PL"0"'!Q17/365*P38</f>
        <v>55640601.191599533</v>
      </c>
      <c r="Q43" s="55">
        <f>'PL"0"'!R17/365*Q38</f>
        <v>56060479.922474034</v>
      </c>
      <c r="R43" s="55">
        <f>'PL"0"'!S17/365*R38</f>
        <v>56500059.469999991</v>
      </c>
      <c r="S43" s="55">
        <f>'PL"0"'!T17/365*S38</f>
        <v>56349177.18248906</v>
      </c>
      <c r="T43" s="55">
        <f>'PL"0"'!U17/365*T38</f>
        <v>56300971.530707203</v>
      </c>
      <c r="U43" s="55">
        <f>'PL"0"'!V17/365*U38</f>
        <v>56228572.472855069</v>
      </c>
      <c r="V43" s="55">
        <f>'PL"0"'!W17/365*V38</f>
        <v>56234550.168068781</v>
      </c>
      <c r="W43" s="55">
        <f>'PL"0"'!X17/365*W38</f>
        <v>56240527.863282487</v>
      </c>
      <c r="X43" s="55">
        <f>'PL"0"'!Y17/365*X38</f>
        <v>56246505.558496214</v>
      </c>
      <c r="Y43" s="55">
        <f>'PL"0"'!Z17/365*Y38</f>
        <v>56252483.253709935</v>
      </c>
      <c r="Z43" s="55">
        <f>'PL"0"'!AA17/365*Z38</f>
        <v>56258460.948923633</v>
      </c>
      <c r="AA43" s="55">
        <f>'PL"0"'!AB17/365*AA38</f>
        <v>56264438.644137345</v>
      </c>
      <c r="AB43" s="55">
        <f>'PL"0"'!AC17/365*AB38</f>
        <v>56270416.339351065</v>
      </c>
    </row>
    <row r="44" spans="1:28">
      <c r="B44" s="289" t="s">
        <v>213</v>
      </c>
      <c r="C44" s="65">
        <f>'BS"0"'!D72</f>
        <v>88478742.439999998</v>
      </c>
      <c r="D44" s="65">
        <f>'BS"0"'!E72</f>
        <v>74291543.040000007</v>
      </c>
      <c r="E44" s="65">
        <f>'BS"0"'!F72</f>
        <v>45280650.93</v>
      </c>
      <c r="F44" s="65">
        <f>'BS"0"'!G72</f>
        <v>62512564.100000001</v>
      </c>
      <c r="G44" s="67">
        <f>'BS"0"'!H72</f>
        <v>65614825.579999998</v>
      </c>
      <c r="H44" s="55">
        <f>H39*('PL"0"'!I13)/365</f>
        <v>69172984.826670229</v>
      </c>
      <c r="I44" s="55">
        <f>I39*('PL"0"'!J13)/365</f>
        <v>69166140.366767377</v>
      </c>
      <c r="J44" s="55">
        <f>J39*('PL"0"'!K13)/365</f>
        <v>69362801.567308918</v>
      </c>
      <c r="K44" s="55">
        <f>K39*('PL"0"'!L13)/365</f>
        <v>69559341.358367592</v>
      </c>
      <c r="L44" s="55">
        <f>L39*('PL"0"'!M13)/365</f>
        <v>69953278.4242156</v>
      </c>
      <c r="M44" s="55">
        <f>M39*('PL"0"'!N13)/365</f>
        <v>68504214.686365172</v>
      </c>
      <c r="N44" s="55">
        <f>N39*('PL"0"'!O13)/365</f>
        <v>67308699.20107764</v>
      </c>
      <c r="O44" s="55">
        <f>O39*('PL"0"'!P13)/365</f>
        <v>66811481.814757943</v>
      </c>
      <c r="P44" s="55">
        <f>P39*('PL"0"'!Q13)/365</f>
        <v>66995787.58228898</v>
      </c>
      <c r="Q44" s="55">
        <f>Q39*('PL"0"'!R13)/365</f>
        <v>67157669.120626032</v>
      </c>
      <c r="R44" s="55">
        <f>R39*('PL"0"'!S13)/365</f>
        <v>67335242.306984916</v>
      </c>
      <c r="S44" s="55">
        <f>S39*('PL"0"'!T13)/365</f>
        <v>67496883.291906148</v>
      </c>
      <c r="T44" s="55">
        <f>T39*('PL"0"'!U13)/365</f>
        <v>67626472.506899327</v>
      </c>
      <c r="U44" s="55">
        <f>U39*('PL"0"'!V13)/365</f>
        <v>67731835.342817307</v>
      </c>
      <c r="V44" s="55">
        <f>V39*('PL"0"'!W13)/365</f>
        <v>67929353.129792273</v>
      </c>
      <c r="W44" s="55">
        <f>W39*('PL"0"'!X13)/365</f>
        <v>68131089.357747674</v>
      </c>
      <c r="X44" s="55">
        <f>X39*('PL"0"'!Y13)/365</f>
        <v>68337138.327873766</v>
      </c>
      <c r="Y44" s="55">
        <f>Y39*('PL"0"'!Z13)/365</f>
        <v>68547596.475693911</v>
      </c>
      <c r="Z44" s="55">
        <f>Z39*('PL"0"'!AA13)/365</f>
        <v>68762562.41995886</v>
      </c>
      <c r="AA44" s="55">
        <f>AA39*('PL"0"'!AB13)/365</f>
        <v>68982137.012674361</v>
      </c>
      <c r="AB44" s="55">
        <f>AB39*('PL"0"'!AC13)/365</f>
        <v>69206423.390288204</v>
      </c>
    </row>
    <row r="45" spans="1:28">
      <c r="B45" s="302" t="s">
        <v>214</v>
      </c>
      <c r="C45" s="285">
        <f>'BS"0"'!D23</f>
        <v>1203133.25</v>
      </c>
      <c r="D45" s="285">
        <f>'BS"0"'!E23</f>
        <v>1459004.77</v>
      </c>
      <c r="E45" s="285">
        <f>'BS"0"'!F23</f>
        <v>2110789.23</v>
      </c>
      <c r="F45" s="285">
        <f>'BS"0"'!G23</f>
        <v>4002460.69</v>
      </c>
      <c r="G45" s="286">
        <f>'BS"0"'!H23</f>
        <v>6342517.6800000006</v>
      </c>
      <c r="H45" s="303">
        <f>H40*'PL"0"'!I9/365</f>
        <v>6679783.3030187329</v>
      </c>
      <c r="I45" s="303">
        <f>I40*'PL"0"'!J9/365</f>
        <v>6616486.4584260415</v>
      </c>
      <c r="J45" s="303">
        <f>J40*'PL"0"'!K9/365</f>
        <v>6622531.387488029</v>
      </c>
      <c r="K45" s="303">
        <f>K40*'PL"0"'!L9/365</f>
        <v>6629860.927733033</v>
      </c>
      <c r="L45" s="303">
        <f>L40*'PL"0"'!M9/365</f>
        <v>6662034.0822021002</v>
      </c>
      <c r="M45" s="303">
        <f>M40*'PL"0"'!N9/365</f>
        <v>6457838.5928001022</v>
      </c>
      <c r="N45" s="303">
        <f>N40*'PL"0"'!O9/365</f>
        <v>6285575.5123332562</v>
      </c>
      <c r="O45" s="303">
        <f>O40*'PL"0"'!P9/365</f>
        <v>6202219.7766452152</v>
      </c>
      <c r="P45" s="303">
        <f>P40*'PL"0"'!Q9/365</f>
        <v>6205671.0136443311</v>
      </c>
      <c r="Q45" s="303">
        <f>Q40*'PL"0"'!R9/365</f>
        <v>6205774.8797101686</v>
      </c>
      <c r="R45" s="303">
        <f>R40*'PL"0"'!S9/365</f>
        <v>6207403.6558354655</v>
      </c>
      <c r="S45" s="303">
        <f>S40*'PL"0"'!T9/365</f>
        <v>6206583.3424135493</v>
      </c>
      <c r="T45" s="303">
        <f>T40*'PL"0"'!U9/365</f>
        <v>6201124.9582854398</v>
      </c>
      <c r="U45" s="303">
        <f>U40*'PL"0"'!V9/365</f>
        <v>6192038.3285537912</v>
      </c>
      <c r="V45" s="303">
        <f>V40*'PL"0"'!W9/365</f>
        <v>6192732.995389373</v>
      </c>
      <c r="W45" s="303">
        <f>W40*'PL"0"'!X9/365</f>
        <v>6193427.6622249549</v>
      </c>
      <c r="X45" s="303">
        <f>X40*'PL"0"'!Y9/365</f>
        <v>6194122.3290605377</v>
      </c>
      <c r="Y45" s="303">
        <f>Y40*'PL"0"'!Z9/365</f>
        <v>6194816.9958961196</v>
      </c>
      <c r="Z45" s="303">
        <f>Z40*'PL"0"'!AA9/365</f>
        <v>6195511.6627317015</v>
      </c>
      <c r="AA45" s="303">
        <f>AA40*'PL"0"'!AB9/365</f>
        <v>6196206.3295672825</v>
      </c>
      <c r="AB45" s="303">
        <f>AB40*'PL"0"'!AC9/365</f>
        <v>6196900.9964028643</v>
      </c>
    </row>
    <row r="46" spans="1:28">
      <c r="B46" s="289"/>
      <c r="C46" s="65"/>
      <c r="D46" s="65"/>
      <c r="E46" s="65"/>
      <c r="F46" s="65"/>
      <c r="G46" s="6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B47" s="726" t="s">
        <v>215</v>
      </c>
      <c r="C47" s="65"/>
      <c r="D47" s="65"/>
      <c r="E47" s="65"/>
      <c r="F47" s="65"/>
      <c r="G47" s="6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B48" s="293" t="s">
        <v>252</v>
      </c>
      <c r="C48" s="65"/>
      <c r="D48" s="65"/>
      <c r="E48" s="65"/>
      <c r="F48" s="65"/>
      <c r="G48" s="67"/>
      <c r="H48" s="55"/>
      <c r="I48" s="55"/>
      <c r="J48" s="55"/>
      <c r="K48" s="55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</row>
    <row r="49" spans="1:28">
      <c r="B49" s="289" t="str">
        <f>'BS"0"'!B67</f>
        <v>Transfers - State</v>
      </c>
      <c r="C49" s="65">
        <f>'BS"0"'!D67</f>
        <v>31063760.27</v>
      </c>
      <c r="D49" s="65">
        <f>'BS"0"'!E67</f>
        <v>30281763.219999999</v>
      </c>
      <c r="E49" s="65">
        <f>'BS"0"'!F67</f>
        <v>39388919.100000001</v>
      </c>
      <c r="F49" s="65">
        <f>'BS"0"'!G67</f>
        <v>42897420.07</v>
      </c>
      <c r="G49" s="67">
        <f>'BS"0"'!H67</f>
        <v>50056147.979999997</v>
      </c>
      <c r="H49" s="55">
        <f>G49+H57</f>
        <v>50056147.979999997</v>
      </c>
      <c r="I49" s="55">
        <f t="shared" ref="I49:R49" si="236">H49+I57</f>
        <v>50056147.979999997</v>
      </c>
      <c r="J49" s="55">
        <f t="shared" si="236"/>
        <v>50056147.979999997</v>
      </c>
      <c r="K49" s="55">
        <f t="shared" si="236"/>
        <v>50056147.979999997</v>
      </c>
      <c r="L49" s="55">
        <f t="shared" si="236"/>
        <v>50056147.979999997</v>
      </c>
      <c r="M49" s="55">
        <f t="shared" si="236"/>
        <v>50056147.979999997</v>
      </c>
      <c r="N49" s="55">
        <f t="shared" si="236"/>
        <v>50056147.979999997</v>
      </c>
      <c r="O49" s="55">
        <f t="shared" si="236"/>
        <v>50056147.979999997</v>
      </c>
      <c r="P49" s="55">
        <f t="shared" si="236"/>
        <v>50056147.979999997</v>
      </c>
      <c r="Q49" s="55">
        <f t="shared" si="236"/>
        <v>50056147.979999997</v>
      </c>
      <c r="R49" s="55">
        <f t="shared" si="236"/>
        <v>50056147.979999997</v>
      </c>
      <c r="S49" s="55">
        <f t="shared" ref="S49" si="237">R49+S57</f>
        <v>50056147.979999997</v>
      </c>
      <c r="T49" s="55">
        <f t="shared" ref="T49:U49" si="238">S49+T57</f>
        <v>50056147.979999997</v>
      </c>
      <c r="U49" s="55">
        <f t="shared" si="238"/>
        <v>50056147.979999997</v>
      </c>
      <c r="V49" s="55">
        <f t="shared" ref="V49" si="239">U49+V57</f>
        <v>50056147.979999997</v>
      </c>
      <c r="W49" s="55">
        <f t="shared" ref="W49" si="240">V49+W57</f>
        <v>50056147.979999997</v>
      </c>
      <c r="X49" s="55">
        <f t="shared" ref="X49" si="241">W49+X57</f>
        <v>50056147.979999997</v>
      </c>
      <c r="Y49" s="55">
        <f t="shared" ref="Y49" si="242">X49+Y57</f>
        <v>50056147.979999997</v>
      </c>
      <c r="Z49" s="55">
        <f t="shared" ref="Z49" si="243">Y49+Z57</f>
        <v>50056147.979999997</v>
      </c>
      <c r="AA49" s="55">
        <f t="shared" ref="AA49" si="244">Z49+AA57</f>
        <v>50056147.979999997</v>
      </c>
      <c r="AB49" s="55">
        <f t="shared" ref="AB49" si="245">AA49+AB57</f>
        <v>50056147.979999997</v>
      </c>
    </row>
    <row r="50" spans="1:28">
      <c r="B50" s="289" t="str">
        <f>'BS"0"'!B81</f>
        <v>Navratne financne vypomoci</v>
      </c>
      <c r="C50" s="65">
        <f>'BS"0"'!D81</f>
        <v>608873.73</v>
      </c>
      <c r="D50" s="65">
        <f>'BS"0"'!E81</f>
        <v>608873.73</v>
      </c>
      <c r="E50" s="65">
        <f>'BS"0"'!F81</f>
        <v>608873.73</v>
      </c>
      <c r="F50" s="65">
        <f>'BS"0"'!G81</f>
        <v>608873.73</v>
      </c>
      <c r="G50" s="67">
        <f>'BS"0"'!H81</f>
        <v>608873.73</v>
      </c>
      <c r="H50" s="55">
        <f t="shared" ref="H50:H51" si="246">G50+H58</f>
        <v>608873.73</v>
      </c>
      <c r="I50" s="55">
        <f>H50+I58</f>
        <v>608873.73</v>
      </c>
      <c r="J50" s="55">
        <f t="shared" ref="J50:R51" si="247">I50+J58</f>
        <v>608873.73</v>
      </c>
      <c r="K50" s="55">
        <f t="shared" si="247"/>
        <v>608873.73</v>
      </c>
      <c r="L50" s="55">
        <f t="shared" si="247"/>
        <v>608873.73</v>
      </c>
      <c r="M50" s="55">
        <f t="shared" si="247"/>
        <v>608873.73</v>
      </c>
      <c r="N50" s="55">
        <f t="shared" si="247"/>
        <v>608873.73</v>
      </c>
      <c r="O50" s="55">
        <f t="shared" si="247"/>
        <v>608873.73</v>
      </c>
      <c r="P50" s="55">
        <f t="shared" si="247"/>
        <v>608873.73</v>
      </c>
      <c r="Q50" s="55">
        <f t="shared" si="247"/>
        <v>608873.73</v>
      </c>
      <c r="R50" s="55">
        <f t="shared" si="247"/>
        <v>608873.73</v>
      </c>
      <c r="S50" s="55">
        <f t="shared" ref="S50:T50" si="248">R50+S58</f>
        <v>608873.73</v>
      </c>
      <c r="T50" s="55">
        <f t="shared" si="248"/>
        <v>608873.73</v>
      </c>
      <c r="U50" s="55">
        <f t="shared" ref="U50:AB50" si="249">T50+U58</f>
        <v>608873.73</v>
      </c>
      <c r="V50" s="55">
        <f t="shared" si="249"/>
        <v>608873.73</v>
      </c>
      <c r="W50" s="55">
        <f t="shared" si="249"/>
        <v>608873.73</v>
      </c>
      <c r="X50" s="55">
        <f t="shared" si="249"/>
        <v>608873.73</v>
      </c>
      <c r="Y50" s="55">
        <f t="shared" si="249"/>
        <v>608873.73</v>
      </c>
      <c r="Z50" s="55">
        <f t="shared" si="249"/>
        <v>608873.73</v>
      </c>
      <c r="AA50" s="55">
        <f t="shared" si="249"/>
        <v>608873.73</v>
      </c>
      <c r="AB50" s="55">
        <f t="shared" si="249"/>
        <v>608873.73</v>
      </c>
    </row>
    <row r="51" spans="1:28">
      <c r="B51" s="289" t="str">
        <f>'BS"0"'!B78</f>
        <v>Other payables</v>
      </c>
      <c r="C51" s="65">
        <f>'BS"0"'!D78</f>
        <v>1231904.6400000006</v>
      </c>
      <c r="D51" s="65">
        <f>'BS"0"'!E78</f>
        <v>3834157.4699999988</v>
      </c>
      <c r="E51" s="65">
        <f>'BS"0"'!F78</f>
        <v>21913017.329999998</v>
      </c>
      <c r="F51" s="65">
        <f>'BS"0"'!G78</f>
        <v>25362671.829999998</v>
      </c>
      <c r="G51" s="67">
        <f>'BS"0"'!H78</f>
        <v>31200938.980000004</v>
      </c>
      <c r="H51" s="55">
        <f t="shared" si="246"/>
        <v>31200938.980000004</v>
      </c>
      <c r="I51" s="55">
        <f t="shared" ref="I51" si="250">H51+I59</f>
        <v>31200938.980000004</v>
      </c>
      <c r="J51" s="55">
        <f t="shared" si="247"/>
        <v>31200938.980000004</v>
      </c>
      <c r="K51" s="55">
        <f t="shared" si="247"/>
        <v>31200938.980000004</v>
      </c>
      <c r="L51" s="55">
        <f t="shared" si="247"/>
        <v>31200938.980000004</v>
      </c>
      <c r="M51" s="55">
        <f t="shared" si="247"/>
        <v>31200938.980000004</v>
      </c>
      <c r="N51" s="55">
        <f t="shared" si="247"/>
        <v>31200938.980000004</v>
      </c>
      <c r="O51" s="55">
        <f t="shared" si="247"/>
        <v>31200938.980000004</v>
      </c>
      <c r="P51" s="55">
        <f t="shared" si="247"/>
        <v>31200938.980000004</v>
      </c>
      <c r="Q51" s="55">
        <f t="shared" si="247"/>
        <v>31200938.980000004</v>
      </c>
      <c r="R51" s="55">
        <f t="shared" si="247"/>
        <v>31200938.980000004</v>
      </c>
      <c r="S51" s="55">
        <f t="shared" ref="S51:T51" si="251">R51+S59</f>
        <v>31200938.980000004</v>
      </c>
      <c r="T51" s="55">
        <f t="shared" si="251"/>
        <v>31200938.980000004</v>
      </c>
      <c r="U51" s="55">
        <f t="shared" ref="U51:AB51" si="252">T51+U59</f>
        <v>31200938.980000004</v>
      </c>
      <c r="V51" s="55">
        <f t="shared" si="252"/>
        <v>31200938.980000004</v>
      </c>
      <c r="W51" s="55">
        <f t="shared" si="252"/>
        <v>31200938.980000004</v>
      </c>
      <c r="X51" s="55">
        <f t="shared" si="252"/>
        <v>31200938.980000004</v>
      </c>
      <c r="Y51" s="55">
        <f t="shared" si="252"/>
        <v>31200938.980000004</v>
      </c>
      <c r="Z51" s="55">
        <f t="shared" si="252"/>
        <v>31200938.980000004</v>
      </c>
      <c r="AA51" s="55">
        <f t="shared" si="252"/>
        <v>31200938.980000004</v>
      </c>
      <c r="AB51" s="55">
        <f t="shared" si="252"/>
        <v>31200938.980000004</v>
      </c>
    </row>
    <row r="52" spans="1:28">
      <c r="B52" s="293" t="s">
        <v>254</v>
      </c>
      <c r="C52" s="65"/>
      <c r="D52" s="65"/>
      <c r="E52" s="65"/>
      <c r="F52" s="65"/>
      <c r="G52" s="67"/>
      <c r="H52" s="55"/>
      <c r="I52" s="55"/>
      <c r="J52" s="55"/>
      <c r="K52" s="55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</row>
    <row r="53" spans="1:28">
      <c r="B53" s="289" t="str">
        <f>B49</f>
        <v>Transfers - State</v>
      </c>
      <c r="C53" s="65"/>
      <c r="D53" s="65"/>
      <c r="E53" s="65"/>
      <c r="F53" s="65"/>
      <c r="G53" s="67"/>
      <c r="H53" s="55">
        <f>H61*SUM(H49)</f>
        <v>0</v>
      </c>
      <c r="I53" s="55">
        <f t="shared" ref="I53:R53" si="253">I61*SUM(I49)</f>
        <v>0</v>
      </c>
      <c r="J53" s="55">
        <f t="shared" ref="J53" si="254">J61*SUM(J49)</f>
        <v>0</v>
      </c>
      <c r="K53" s="55">
        <f t="shared" si="253"/>
        <v>0</v>
      </c>
      <c r="L53" s="55">
        <f t="shared" si="253"/>
        <v>0</v>
      </c>
      <c r="M53" s="55">
        <f t="shared" si="253"/>
        <v>0</v>
      </c>
      <c r="N53" s="55">
        <f t="shared" si="253"/>
        <v>0</v>
      </c>
      <c r="O53" s="55">
        <f t="shared" si="253"/>
        <v>0</v>
      </c>
      <c r="P53" s="55">
        <f t="shared" si="253"/>
        <v>0</v>
      </c>
      <c r="Q53" s="55">
        <f t="shared" si="253"/>
        <v>0</v>
      </c>
      <c r="R53" s="55">
        <f t="shared" si="253"/>
        <v>0</v>
      </c>
      <c r="S53" s="55">
        <f t="shared" ref="S53:T53" si="255">S61*SUM(S49)</f>
        <v>0</v>
      </c>
      <c r="T53" s="55">
        <f t="shared" si="255"/>
        <v>0</v>
      </c>
      <c r="U53" s="55">
        <f t="shared" ref="U53:AB53" si="256">U61*SUM(U49)</f>
        <v>0</v>
      </c>
      <c r="V53" s="55">
        <f t="shared" si="256"/>
        <v>0</v>
      </c>
      <c r="W53" s="55">
        <f t="shared" si="256"/>
        <v>0</v>
      </c>
      <c r="X53" s="55">
        <f t="shared" si="256"/>
        <v>0</v>
      </c>
      <c r="Y53" s="55">
        <f t="shared" si="256"/>
        <v>0</v>
      </c>
      <c r="Z53" s="55">
        <f t="shared" si="256"/>
        <v>0</v>
      </c>
      <c r="AA53" s="55">
        <f t="shared" si="256"/>
        <v>0</v>
      </c>
      <c r="AB53" s="55">
        <f t="shared" si="256"/>
        <v>0</v>
      </c>
    </row>
    <row r="54" spans="1:28">
      <c r="B54" s="289" t="str">
        <f>B50</f>
        <v>Navratne financne vypomoci</v>
      </c>
      <c r="C54" s="65"/>
      <c r="D54" s="65"/>
      <c r="E54" s="65"/>
      <c r="F54" s="65"/>
      <c r="G54" s="67"/>
      <c r="H54" s="55">
        <f>H62*SUM(H50)</f>
        <v>0</v>
      </c>
      <c r="I54" s="55">
        <f t="shared" ref="I54:R54" si="257">I62*SUM(I50)</f>
        <v>0</v>
      </c>
      <c r="J54" s="55">
        <f t="shared" ref="J54" si="258">J62*SUM(J50)</f>
        <v>0</v>
      </c>
      <c r="K54" s="55">
        <f t="shared" si="257"/>
        <v>0</v>
      </c>
      <c r="L54" s="55">
        <f t="shared" si="257"/>
        <v>0</v>
      </c>
      <c r="M54" s="55">
        <f t="shared" si="257"/>
        <v>0</v>
      </c>
      <c r="N54" s="55">
        <f t="shared" si="257"/>
        <v>0</v>
      </c>
      <c r="O54" s="55">
        <f t="shared" si="257"/>
        <v>0</v>
      </c>
      <c r="P54" s="55">
        <f t="shared" si="257"/>
        <v>0</v>
      </c>
      <c r="Q54" s="55">
        <f t="shared" si="257"/>
        <v>0</v>
      </c>
      <c r="R54" s="55">
        <f t="shared" si="257"/>
        <v>0</v>
      </c>
      <c r="S54" s="55">
        <f t="shared" ref="S54:T54" si="259">S62*SUM(S50)</f>
        <v>0</v>
      </c>
      <c r="T54" s="55">
        <f t="shared" si="259"/>
        <v>0</v>
      </c>
      <c r="U54" s="55">
        <f t="shared" ref="U54:AB54" si="260">U62*SUM(U50)</f>
        <v>0</v>
      </c>
      <c r="V54" s="55">
        <f t="shared" si="260"/>
        <v>0</v>
      </c>
      <c r="W54" s="55">
        <f t="shared" si="260"/>
        <v>0</v>
      </c>
      <c r="X54" s="55">
        <f t="shared" si="260"/>
        <v>0</v>
      </c>
      <c r="Y54" s="55">
        <f t="shared" si="260"/>
        <v>0</v>
      </c>
      <c r="Z54" s="55">
        <f t="shared" si="260"/>
        <v>0</v>
      </c>
      <c r="AA54" s="55">
        <f t="shared" si="260"/>
        <v>0</v>
      </c>
      <c r="AB54" s="55">
        <f t="shared" si="260"/>
        <v>0</v>
      </c>
    </row>
    <row r="55" spans="1:28">
      <c r="B55" s="289" t="str">
        <f>B51</f>
        <v>Other payables</v>
      </c>
      <c r="C55" s="65"/>
      <c r="D55" s="65"/>
      <c r="E55" s="65"/>
      <c r="F55" s="65"/>
      <c r="G55" s="67"/>
      <c r="H55" s="55">
        <f>H63*H51</f>
        <v>0</v>
      </c>
      <c r="I55" s="55">
        <f t="shared" ref="I55:R55" si="261">I63*I51</f>
        <v>0</v>
      </c>
      <c r="J55" s="55">
        <f t="shared" ref="J55" si="262">J63*J51</f>
        <v>0</v>
      </c>
      <c r="K55" s="55">
        <f t="shared" si="261"/>
        <v>0</v>
      </c>
      <c r="L55" s="55">
        <f t="shared" si="261"/>
        <v>0</v>
      </c>
      <c r="M55" s="55">
        <f t="shared" si="261"/>
        <v>0</v>
      </c>
      <c r="N55" s="55">
        <f t="shared" si="261"/>
        <v>0</v>
      </c>
      <c r="O55" s="55">
        <f t="shared" si="261"/>
        <v>0</v>
      </c>
      <c r="P55" s="55">
        <f t="shared" si="261"/>
        <v>0</v>
      </c>
      <c r="Q55" s="55">
        <f t="shared" si="261"/>
        <v>0</v>
      </c>
      <c r="R55" s="55">
        <f t="shared" si="261"/>
        <v>0</v>
      </c>
      <c r="S55" s="55">
        <f t="shared" ref="S55:T55" si="263">S63*S51</f>
        <v>0</v>
      </c>
      <c r="T55" s="55">
        <f t="shared" si="263"/>
        <v>0</v>
      </c>
      <c r="U55" s="55">
        <f t="shared" ref="U55:AB55" si="264">U63*U51</f>
        <v>0</v>
      </c>
      <c r="V55" s="55">
        <f t="shared" si="264"/>
        <v>0</v>
      </c>
      <c r="W55" s="55">
        <f t="shared" si="264"/>
        <v>0</v>
      </c>
      <c r="X55" s="55">
        <f t="shared" si="264"/>
        <v>0</v>
      </c>
      <c r="Y55" s="55">
        <f t="shared" si="264"/>
        <v>0</v>
      </c>
      <c r="Z55" s="55">
        <f t="shared" si="264"/>
        <v>0</v>
      </c>
      <c r="AA55" s="55">
        <f t="shared" si="264"/>
        <v>0</v>
      </c>
      <c r="AB55" s="55">
        <f t="shared" si="264"/>
        <v>0</v>
      </c>
    </row>
    <row r="56" spans="1:28">
      <c r="B56" s="293" t="s">
        <v>253</v>
      </c>
      <c r="C56" s="65"/>
      <c r="D56" s="65"/>
      <c r="E56" s="65"/>
      <c r="F56" s="65"/>
      <c r="G56" s="67"/>
      <c r="H56" s="55"/>
      <c r="I56" s="55"/>
      <c r="J56" s="55"/>
      <c r="K56" s="55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</row>
    <row r="57" spans="1:28">
      <c r="B57" s="289" t="str">
        <f>B53</f>
        <v>Transfers - State</v>
      </c>
      <c r="C57" s="65"/>
      <c r="D57" s="65"/>
      <c r="E57" s="65"/>
      <c r="F57" s="65"/>
      <c r="G57" s="67"/>
      <c r="H57" s="56">
        <v>0</v>
      </c>
      <c r="I57" s="56">
        <v>0</v>
      </c>
      <c r="J57" s="55">
        <f>I57</f>
        <v>0</v>
      </c>
      <c r="K57" s="55">
        <f>J57</f>
        <v>0</v>
      </c>
      <c r="L57" s="55">
        <f t="shared" ref="L57:R58" si="265">K57</f>
        <v>0</v>
      </c>
      <c r="M57" s="55">
        <f t="shared" si="265"/>
        <v>0</v>
      </c>
      <c r="N57" s="55">
        <f t="shared" si="265"/>
        <v>0</v>
      </c>
      <c r="O57" s="55">
        <f t="shared" si="265"/>
        <v>0</v>
      </c>
      <c r="P57" s="55">
        <f t="shared" si="265"/>
        <v>0</v>
      </c>
      <c r="Q57" s="55">
        <f t="shared" si="265"/>
        <v>0</v>
      </c>
      <c r="R57" s="55">
        <f t="shared" si="265"/>
        <v>0</v>
      </c>
      <c r="S57" s="55">
        <f t="shared" ref="S57:S59" si="266">R57</f>
        <v>0</v>
      </c>
      <c r="T57" s="55">
        <f t="shared" ref="T57:U59" si="267">S57</f>
        <v>0</v>
      </c>
      <c r="U57" s="55">
        <f t="shared" si="267"/>
        <v>0</v>
      </c>
      <c r="V57" s="55">
        <f t="shared" ref="V57:V59" si="268">U57</f>
        <v>0</v>
      </c>
      <c r="W57" s="55">
        <f t="shared" ref="W57:W59" si="269">V57</f>
        <v>0</v>
      </c>
      <c r="X57" s="55">
        <f t="shared" ref="X57:X59" si="270">W57</f>
        <v>0</v>
      </c>
      <c r="Y57" s="55">
        <f t="shared" ref="Y57:Y59" si="271">X57</f>
        <v>0</v>
      </c>
      <c r="Z57" s="55">
        <f t="shared" ref="Z57:Z59" si="272">Y57</f>
        <v>0</v>
      </c>
      <c r="AA57" s="55">
        <f t="shared" ref="AA57:AA59" si="273">Z57</f>
        <v>0</v>
      </c>
      <c r="AB57" s="55">
        <f t="shared" ref="AB57:AB59" si="274">AA57</f>
        <v>0</v>
      </c>
    </row>
    <row r="58" spans="1:28">
      <c r="B58" s="289" t="str">
        <f>B54</f>
        <v>Navratne financne vypomoci</v>
      </c>
      <c r="C58" s="65"/>
      <c r="D58" s="65"/>
      <c r="E58" s="65"/>
      <c r="F58" s="65"/>
      <c r="G58" s="67"/>
      <c r="H58" s="56">
        <f>G58</f>
        <v>0</v>
      </c>
      <c r="I58" s="55">
        <f>H58</f>
        <v>0</v>
      </c>
      <c r="J58" s="55">
        <f t="shared" ref="J58" si="275">I58</f>
        <v>0</v>
      </c>
      <c r="K58" s="55">
        <f t="shared" ref="K58" si="276">J58</f>
        <v>0</v>
      </c>
      <c r="L58" s="55">
        <f t="shared" si="265"/>
        <v>0</v>
      </c>
      <c r="M58" s="55">
        <f t="shared" si="265"/>
        <v>0</v>
      </c>
      <c r="N58" s="55">
        <f t="shared" si="265"/>
        <v>0</v>
      </c>
      <c r="O58" s="55">
        <f t="shared" si="265"/>
        <v>0</v>
      </c>
      <c r="P58" s="55">
        <f t="shared" si="265"/>
        <v>0</v>
      </c>
      <c r="Q58" s="55">
        <f t="shared" si="265"/>
        <v>0</v>
      </c>
      <c r="R58" s="55">
        <f t="shared" si="265"/>
        <v>0</v>
      </c>
      <c r="S58" s="55">
        <f t="shared" si="266"/>
        <v>0</v>
      </c>
      <c r="T58" s="55">
        <f t="shared" si="267"/>
        <v>0</v>
      </c>
      <c r="U58" s="55">
        <f t="shared" si="267"/>
        <v>0</v>
      </c>
      <c r="V58" s="55">
        <f t="shared" si="268"/>
        <v>0</v>
      </c>
      <c r="W58" s="55">
        <f t="shared" si="269"/>
        <v>0</v>
      </c>
      <c r="X58" s="55">
        <f t="shared" si="270"/>
        <v>0</v>
      </c>
      <c r="Y58" s="55">
        <f t="shared" si="271"/>
        <v>0</v>
      </c>
      <c r="Z58" s="55">
        <f t="shared" si="272"/>
        <v>0</v>
      </c>
      <c r="AA58" s="55">
        <f t="shared" si="273"/>
        <v>0</v>
      </c>
      <c r="AB58" s="55">
        <f t="shared" si="274"/>
        <v>0</v>
      </c>
    </row>
    <row r="59" spans="1:28">
      <c r="B59" s="289" t="str">
        <f>B55</f>
        <v>Other payables</v>
      </c>
      <c r="C59" s="65"/>
      <c r="D59" s="65"/>
      <c r="E59" s="65"/>
      <c r="F59" s="65"/>
      <c r="G59" s="67"/>
      <c r="H59" s="56">
        <v>0</v>
      </c>
      <c r="I59" s="56">
        <v>0</v>
      </c>
      <c r="J59" s="55">
        <f>I59</f>
        <v>0</v>
      </c>
      <c r="K59" s="55">
        <f>J59</f>
        <v>0</v>
      </c>
      <c r="L59" s="55">
        <f t="shared" ref="L59:R59" si="277">K59</f>
        <v>0</v>
      </c>
      <c r="M59" s="55">
        <f t="shared" si="277"/>
        <v>0</v>
      </c>
      <c r="N59" s="55">
        <f t="shared" si="277"/>
        <v>0</v>
      </c>
      <c r="O59" s="55">
        <f t="shared" si="277"/>
        <v>0</v>
      </c>
      <c r="P59" s="55">
        <f t="shared" si="277"/>
        <v>0</v>
      </c>
      <c r="Q59" s="55">
        <f t="shared" si="277"/>
        <v>0</v>
      </c>
      <c r="R59" s="55">
        <f t="shared" si="277"/>
        <v>0</v>
      </c>
      <c r="S59" s="55">
        <f t="shared" si="266"/>
        <v>0</v>
      </c>
      <c r="T59" s="55">
        <f t="shared" si="267"/>
        <v>0</v>
      </c>
      <c r="U59" s="55">
        <f t="shared" si="267"/>
        <v>0</v>
      </c>
      <c r="V59" s="55">
        <f t="shared" si="268"/>
        <v>0</v>
      </c>
      <c r="W59" s="55">
        <f t="shared" si="269"/>
        <v>0</v>
      </c>
      <c r="X59" s="55">
        <f t="shared" si="270"/>
        <v>0</v>
      </c>
      <c r="Y59" s="55">
        <f t="shared" si="271"/>
        <v>0</v>
      </c>
      <c r="Z59" s="55">
        <f t="shared" si="272"/>
        <v>0</v>
      </c>
      <c r="AA59" s="55">
        <f t="shared" si="273"/>
        <v>0</v>
      </c>
      <c r="AB59" s="55">
        <f t="shared" si="274"/>
        <v>0</v>
      </c>
    </row>
    <row r="60" spans="1:28">
      <c r="B60" s="293" t="s">
        <v>255</v>
      </c>
      <c r="C60" s="65"/>
      <c r="D60" s="65"/>
      <c r="E60" s="65"/>
      <c r="F60" s="65"/>
      <c r="G60" s="67"/>
      <c r="H60" s="55"/>
      <c r="I60" s="55"/>
      <c r="J60" s="55"/>
      <c r="K60" s="55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</row>
    <row r="61" spans="1:28" s="307" customFormat="1">
      <c r="A61" s="304"/>
      <c r="B61" s="305" t="str">
        <f>B57</f>
        <v>Transfers - State</v>
      </c>
      <c r="C61" s="306"/>
      <c r="D61" s="732"/>
      <c r="E61" s="733"/>
      <c r="F61" s="733"/>
      <c r="G61" s="734">
        <v>0</v>
      </c>
      <c r="H61" s="312">
        <f>G61</f>
        <v>0</v>
      </c>
      <c r="I61" s="310">
        <f t="shared" ref="I61:R61" si="278">H61</f>
        <v>0</v>
      </c>
      <c r="J61" s="310">
        <f t="shared" ref="J61" si="279">I61</f>
        <v>0</v>
      </c>
      <c r="K61" s="310">
        <f t="shared" si="278"/>
        <v>0</v>
      </c>
      <c r="L61" s="310">
        <f t="shared" si="278"/>
        <v>0</v>
      </c>
      <c r="M61" s="310">
        <f t="shared" si="278"/>
        <v>0</v>
      </c>
      <c r="N61" s="310">
        <f t="shared" si="278"/>
        <v>0</v>
      </c>
      <c r="O61" s="310">
        <f t="shared" si="278"/>
        <v>0</v>
      </c>
      <c r="P61" s="310">
        <f t="shared" si="278"/>
        <v>0</v>
      </c>
      <c r="Q61" s="310">
        <f t="shared" si="278"/>
        <v>0</v>
      </c>
      <c r="R61" s="310">
        <f t="shared" si="278"/>
        <v>0</v>
      </c>
      <c r="S61" s="310">
        <f t="shared" ref="S61:T61" si="280">R61</f>
        <v>0</v>
      </c>
      <c r="T61" s="310">
        <f t="shared" si="280"/>
        <v>0</v>
      </c>
      <c r="U61" s="310">
        <f t="shared" ref="U61:AB61" si="281">T61</f>
        <v>0</v>
      </c>
      <c r="V61" s="310">
        <f t="shared" si="281"/>
        <v>0</v>
      </c>
      <c r="W61" s="310">
        <f t="shared" si="281"/>
        <v>0</v>
      </c>
      <c r="X61" s="310">
        <f t="shared" si="281"/>
        <v>0</v>
      </c>
      <c r="Y61" s="310">
        <f t="shared" si="281"/>
        <v>0</v>
      </c>
      <c r="Z61" s="310">
        <f t="shared" si="281"/>
        <v>0</v>
      </c>
      <c r="AA61" s="310">
        <f t="shared" si="281"/>
        <v>0</v>
      </c>
      <c r="AB61" s="310">
        <f t="shared" si="281"/>
        <v>0</v>
      </c>
    </row>
    <row r="62" spans="1:28" s="307" customFormat="1">
      <c r="A62" s="304"/>
      <c r="B62" s="305" t="str">
        <f>B58</f>
        <v>Navratne financne vypomoci</v>
      </c>
      <c r="C62" s="306"/>
      <c r="D62" s="732"/>
      <c r="E62" s="733"/>
      <c r="F62" s="733"/>
      <c r="G62" s="734">
        <v>0</v>
      </c>
      <c r="H62" s="312">
        <f>G62</f>
        <v>0</v>
      </c>
      <c r="I62" s="312">
        <f t="shared" ref="I62:R62" si="282">H62</f>
        <v>0</v>
      </c>
      <c r="J62" s="310">
        <f t="shared" ref="J62" si="283">I62</f>
        <v>0</v>
      </c>
      <c r="K62" s="310">
        <f t="shared" si="282"/>
        <v>0</v>
      </c>
      <c r="L62" s="310">
        <f t="shared" si="282"/>
        <v>0</v>
      </c>
      <c r="M62" s="310">
        <f t="shared" si="282"/>
        <v>0</v>
      </c>
      <c r="N62" s="310">
        <f t="shared" si="282"/>
        <v>0</v>
      </c>
      <c r="O62" s="310">
        <f t="shared" si="282"/>
        <v>0</v>
      </c>
      <c r="P62" s="310">
        <f t="shared" si="282"/>
        <v>0</v>
      </c>
      <c r="Q62" s="310">
        <f t="shared" si="282"/>
        <v>0</v>
      </c>
      <c r="R62" s="310">
        <f t="shared" si="282"/>
        <v>0</v>
      </c>
      <c r="S62" s="310">
        <f t="shared" ref="S62:T62" si="284">R62</f>
        <v>0</v>
      </c>
      <c r="T62" s="310">
        <f t="shared" si="284"/>
        <v>0</v>
      </c>
      <c r="U62" s="310">
        <f t="shared" ref="U62:AB62" si="285">T62</f>
        <v>0</v>
      </c>
      <c r="V62" s="310">
        <f t="shared" si="285"/>
        <v>0</v>
      </c>
      <c r="W62" s="310">
        <f t="shared" si="285"/>
        <v>0</v>
      </c>
      <c r="X62" s="310">
        <f t="shared" si="285"/>
        <v>0</v>
      </c>
      <c r="Y62" s="310">
        <f t="shared" si="285"/>
        <v>0</v>
      </c>
      <c r="Z62" s="310">
        <f t="shared" si="285"/>
        <v>0</v>
      </c>
      <c r="AA62" s="310">
        <f t="shared" si="285"/>
        <v>0</v>
      </c>
      <c r="AB62" s="310">
        <f t="shared" si="285"/>
        <v>0</v>
      </c>
    </row>
    <row r="63" spans="1:28" s="307" customFormat="1">
      <c r="A63" s="304"/>
      <c r="B63" s="308" t="str">
        <f>B59</f>
        <v>Other payables</v>
      </c>
      <c r="C63" s="309"/>
      <c r="D63" s="735"/>
      <c r="E63" s="736"/>
      <c r="F63" s="736"/>
      <c r="G63" s="737">
        <v>0</v>
      </c>
      <c r="H63" s="313">
        <f>G63</f>
        <v>0</v>
      </c>
      <c r="I63" s="313">
        <f t="shared" ref="I63:R63" si="286">H63</f>
        <v>0</v>
      </c>
      <c r="J63" s="311">
        <f t="shared" ref="J63" si="287">I63</f>
        <v>0</v>
      </c>
      <c r="K63" s="311">
        <f t="shared" si="286"/>
        <v>0</v>
      </c>
      <c r="L63" s="311">
        <f t="shared" si="286"/>
        <v>0</v>
      </c>
      <c r="M63" s="311">
        <f t="shared" si="286"/>
        <v>0</v>
      </c>
      <c r="N63" s="311">
        <f t="shared" si="286"/>
        <v>0</v>
      </c>
      <c r="O63" s="311">
        <f t="shared" si="286"/>
        <v>0</v>
      </c>
      <c r="P63" s="311">
        <f t="shared" si="286"/>
        <v>0</v>
      </c>
      <c r="Q63" s="311">
        <f t="shared" si="286"/>
        <v>0</v>
      </c>
      <c r="R63" s="311">
        <f t="shared" si="286"/>
        <v>0</v>
      </c>
      <c r="S63" s="311">
        <f t="shared" ref="S63:T63" si="288">R63</f>
        <v>0</v>
      </c>
      <c r="T63" s="311">
        <f t="shared" si="288"/>
        <v>0</v>
      </c>
      <c r="U63" s="311">
        <f t="shared" ref="U63:AB63" si="289">T63</f>
        <v>0</v>
      </c>
      <c r="V63" s="311">
        <f t="shared" si="289"/>
        <v>0</v>
      </c>
      <c r="W63" s="311">
        <f t="shared" si="289"/>
        <v>0</v>
      </c>
      <c r="X63" s="311">
        <f t="shared" si="289"/>
        <v>0</v>
      </c>
      <c r="Y63" s="311">
        <f t="shared" si="289"/>
        <v>0</v>
      </c>
      <c r="Z63" s="311">
        <f t="shared" si="289"/>
        <v>0</v>
      </c>
      <c r="AA63" s="311">
        <f t="shared" si="289"/>
        <v>0</v>
      </c>
      <c r="AB63" s="311">
        <f t="shared" si="289"/>
        <v>0</v>
      </c>
    </row>
    <row r="64" spans="1:28">
      <c r="B64" s="325"/>
      <c r="C64" s="324"/>
      <c r="D64" s="324"/>
      <c r="E64" s="326"/>
      <c r="F64" s="326"/>
      <c r="G64" s="327"/>
      <c r="H64" s="328"/>
      <c r="I64" s="330"/>
      <c r="J64" s="329"/>
      <c r="K64" s="32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  <c r="AA64" s="329"/>
      <c r="AB64" s="329"/>
    </row>
    <row r="65" spans="3:28">
      <c r="C65" s="65"/>
      <c r="D65" s="65"/>
      <c r="E65" s="65"/>
      <c r="F65" s="65"/>
      <c r="G65" s="6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3:28">
      <c r="C66" s="65"/>
      <c r="D66" s="65"/>
      <c r="E66" s="65"/>
      <c r="F66" s="65"/>
      <c r="G66" s="65"/>
      <c r="H66" s="65"/>
      <c r="I66" s="65"/>
      <c r="J66" s="6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3:28">
      <c r="C67" s="65"/>
      <c r="D67" s="65"/>
      <c r="E67" s="65"/>
      <c r="F67" s="65"/>
      <c r="G67" s="6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3:28">
      <c r="C68" s="65"/>
      <c r="D68" s="65"/>
      <c r="E68" s="65"/>
      <c r="F68" s="65"/>
      <c r="G68" s="6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78" spans="3:28">
      <c r="I78" s="55"/>
    </row>
  </sheetData>
  <pageMargins left="0.70866141732283472" right="0.70866141732283472" top="0.74803149606299213" bottom="0.74803149606299213" header="0.31496062992125984" footer="0.31496062992125984"/>
  <pageSetup paperSize="9" scale="39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24666-5746-4B7C-8C01-F9CEB7FED0A2}">
  <sheetPr>
    <tabColor theme="1"/>
  </sheetPr>
  <dimension ref="B3:B11"/>
  <sheetViews>
    <sheetView workbookViewId="0"/>
  </sheetViews>
  <sheetFormatPr baseColWidth="10" defaultColWidth="8.83203125" defaultRowHeight="15"/>
  <cols>
    <col min="1" max="1" width="7.1640625" style="63" customWidth="1"/>
    <col min="2" max="2" width="17.5" style="63" customWidth="1"/>
    <col min="3" max="16384" width="8.83203125" style="63"/>
  </cols>
  <sheetData>
    <row r="3" spans="2:2">
      <c r="B3" s="352" t="s">
        <v>3099</v>
      </c>
    </row>
    <row r="4" spans="2:2">
      <c r="B4" s="352" t="s">
        <v>3100</v>
      </c>
    </row>
    <row r="5" spans="2:2">
      <c r="B5" s="352" t="s">
        <v>3101</v>
      </c>
    </row>
    <row r="6" spans="2:2">
      <c r="B6" s="352" t="s">
        <v>3102</v>
      </c>
    </row>
    <row r="7" spans="2:2">
      <c r="B7" s="352" t="s">
        <v>3103</v>
      </c>
    </row>
    <row r="8" spans="2:2">
      <c r="B8" s="352" t="s">
        <v>3104</v>
      </c>
    </row>
    <row r="9" spans="2:2">
      <c r="B9" s="352" t="s">
        <v>3105</v>
      </c>
    </row>
    <row r="10" spans="2:2">
      <c r="B10" s="352" t="s">
        <v>3109</v>
      </c>
    </row>
    <row r="11" spans="2:2">
      <c r="B11" s="352" t="s">
        <v>3110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C0A81-E52F-421A-B880-261BB8020175}">
  <sheetPr>
    <tabColor theme="8" tint="0.39997558519241921"/>
  </sheetPr>
  <dimension ref="A2:U39"/>
  <sheetViews>
    <sheetView workbookViewId="0"/>
  </sheetViews>
  <sheetFormatPr baseColWidth="10" defaultColWidth="9.1640625" defaultRowHeight="12"/>
  <cols>
    <col min="1" max="1" width="3.5" style="147" customWidth="1"/>
    <col min="2" max="2" width="30.6640625" style="147" customWidth="1"/>
    <col min="3" max="15" width="13.1640625" style="147" customWidth="1"/>
    <col min="16" max="18" width="15" style="147" customWidth="1"/>
    <col min="19" max="16384" width="9.1640625" style="147"/>
  </cols>
  <sheetData>
    <row r="2" spans="1:21" s="207" customFormat="1" ht="15" thickBot="1">
      <c r="B2" s="81" t="s">
        <v>261</v>
      </c>
      <c r="C2" s="343" t="s">
        <v>0</v>
      </c>
      <c r="D2" s="344" t="s">
        <v>1</v>
      </c>
      <c r="E2" s="208"/>
      <c r="F2" s="208"/>
      <c r="G2" s="208"/>
      <c r="H2" s="208"/>
      <c r="I2" s="208"/>
      <c r="J2" s="208"/>
      <c r="K2" s="209"/>
      <c r="L2" s="209"/>
      <c r="M2" s="208"/>
      <c r="N2" s="208"/>
      <c r="O2" s="208"/>
      <c r="P2" s="208"/>
      <c r="Q2" s="208"/>
      <c r="R2" s="208"/>
    </row>
    <row r="4" spans="1:21">
      <c r="B4" s="349" t="s">
        <v>263</v>
      </c>
      <c r="C4" s="347">
        <f>'summary"0"'!C4</f>
        <v>44682</v>
      </c>
      <c r="E4" s="354"/>
    </row>
    <row r="5" spans="1:21">
      <c r="B5" s="62" t="s">
        <v>3</v>
      </c>
      <c r="C5" s="148">
        <f>'summary"0"'!C5</f>
        <v>49674</v>
      </c>
      <c r="D5" s="210"/>
    </row>
    <row r="6" spans="1:21">
      <c r="B6" s="348" t="s">
        <v>262</v>
      </c>
      <c r="C6" s="148" t="s">
        <v>4</v>
      </c>
    </row>
    <row r="7" spans="1:21" ht="12" customHeight="1">
      <c r="B7" s="345" t="s">
        <v>219</v>
      </c>
      <c r="C7" s="346">
        <f>'FCFs"A"'!C47</f>
        <v>0.05</v>
      </c>
    </row>
    <row r="8" spans="1:21">
      <c r="B8" s="333" t="str">
        <f>+"Fair Value for Owner: CoE  "&amp;TEXT($C$7,"#%")</f>
        <v>Fair Value for Owner: CoE  5%</v>
      </c>
      <c r="C8" s="334"/>
    </row>
    <row r="9" spans="1:21" s="150" customFormat="1" ht="14">
      <c r="B9" s="350" t="s">
        <v>5</v>
      </c>
      <c r="C9" s="351"/>
      <c r="D9" s="149"/>
      <c r="G9" s="147"/>
      <c r="H9" s="147"/>
      <c r="I9" s="147"/>
      <c r="P9" s="147"/>
      <c r="Q9" s="147"/>
      <c r="R9" s="147"/>
      <c r="S9" s="149"/>
      <c r="T9" s="149"/>
      <c r="U9" s="149"/>
    </row>
    <row r="10" spans="1:21">
      <c r="H10" s="119"/>
    </row>
    <row r="11" spans="1:21" s="211" customFormat="1">
      <c r="A11" s="147"/>
      <c r="B11" s="212" t="s">
        <v>260</v>
      </c>
      <c r="C11" s="213">
        <f>C24</f>
        <v>44196</v>
      </c>
      <c r="D11" s="229">
        <f t="shared" ref="D11:R11" si="0">D24</f>
        <v>44561</v>
      </c>
      <c r="E11" s="213">
        <f t="shared" si="0"/>
        <v>44926</v>
      </c>
      <c r="F11" s="213">
        <f t="shared" si="0"/>
        <v>45291</v>
      </c>
      <c r="G11" s="213">
        <f t="shared" si="0"/>
        <v>45657</v>
      </c>
      <c r="H11" s="213">
        <f t="shared" si="0"/>
        <v>46022</v>
      </c>
      <c r="I11" s="213">
        <f t="shared" si="0"/>
        <v>46387</v>
      </c>
      <c r="J11" s="213">
        <f t="shared" si="0"/>
        <v>46752</v>
      </c>
      <c r="K11" s="213">
        <f t="shared" si="0"/>
        <v>47118</v>
      </c>
      <c r="L11" s="213">
        <f t="shared" si="0"/>
        <v>47483</v>
      </c>
      <c r="M11" s="213">
        <f t="shared" si="0"/>
        <v>47848</v>
      </c>
      <c r="N11" s="213">
        <f t="shared" si="0"/>
        <v>48213</v>
      </c>
      <c r="O11" s="213">
        <f t="shared" si="0"/>
        <v>48579</v>
      </c>
      <c r="P11" s="213">
        <f t="shared" si="0"/>
        <v>48944</v>
      </c>
      <c r="Q11" s="213">
        <f t="shared" si="0"/>
        <v>49309</v>
      </c>
      <c r="R11" s="213">
        <f t="shared" si="0"/>
        <v>49674</v>
      </c>
    </row>
    <row r="12" spans="1:21">
      <c r="B12" s="337" t="str">
        <f>'FCFs"A"'!B17</f>
        <v>Net Income</v>
      </c>
      <c r="C12" s="215"/>
      <c r="D12" s="220"/>
      <c r="E12" s="215">
        <f>'FCFs"A"'!C17</f>
        <v>-49921769.758126236</v>
      </c>
      <c r="F12" s="215">
        <f>'FCFs"A"'!D17</f>
        <v>-50228211.327922381</v>
      </c>
      <c r="G12" s="215">
        <f>'FCFs"A"'!E17</f>
        <v>-53008400.073576719</v>
      </c>
      <c r="H12" s="215">
        <f>'FCFs"A"'!F17</f>
        <v>-54592611.667923182</v>
      </c>
      <c r="I12" s="215">
        <f>'FCFs"A"'!G17</f>
        <v>-60825075.920034438</v>
      </c>
      <c r="J12" s="215">
        <f>'FCFs"A"'!H17</f>
        <v>-59697361.780353814</v>
      </c>
      <c r="K12" s="215">
        <f>'FCFs"A"'!I17</f>
        <v>-59101780.144131541</v>
      </c>
      <c r="L12" s="215">
        <f>'FCFs"A"'!J17</f>
        <v>-65827743.589300014</v>
      </c>
      <c r="M12" s="215">
        <f>'FCFs"A"'!K17</f>
        <v>-59820833.800317883</v>
      </c>
      <c r="N12" s="215">
        <f>'FCFs"A"'!L17</f>
        <v>-57560394.498564228</v>
      </c>
      <c r="O12" s="215">
        <f>'FCFs"A"'!M17</f>
        <v>-56723734.063596085</v>
      </c>
      <c r="P12" s="215">
        <f>'FCFs"A"'!N17</f>
        <v>-48530282.694537245</v>
      </c>
      <c r="Q12" s="215">
        <f>'FCFs"A"'!O17</f>
        <v>-48240947.860013597</v>
      </c>
      <c r="R12" s="215">
        <f>'FCFs"A"'!P17</f>
        <v>-47962067.537017129</v>
      </c>
    </row>
    <row r="13" spans="1:21">
      <c r="B13" s="337" t="str">
        <f>'FCFs"A"'!B18</f>
        <v>Depreciation</v>
      </c>
      <c r="C13" s="215"/>
      <c r="D13" s="220"/>
      <c r="E13" s="215">
        <f>'FCFs"A"'!C18</f>
        <v>4576757.6347500011</v>
      </c>
      <c r="F13" s="215">
        <f>'FCFs"A"'!D18</f>
        <v>5219863.2021748722</v>
      </c>
      <c r="G13" s="215">
        <f>'FCFs"A"'!E18</f>
        <v>8549341.8620966394</v>
      </c>
      <c r="H13" s="215">
        <f>'FCFs"A"'!F18</f>
        <v>13243816.506763393</v>
      </c>
      <c r="I13" s="215">
        <f>'FCFs"A"'!G18</f>
        <v>22575420.307578012</v>
      </c>
      <c r="J13" s="215">
        <f>'FCFs"A"'!H18</f>
        <v>24581598.381007757</v>
      </c>
      <c r="K13" s="215">
        <f>'FCFs"A"'!I18</f>
        <v>29597043.564582117</v>
      </c>
      <c r="L13" s="215">
        <f>'FCFs"A"'!J18</f>
        <v>40596050.049678989</v>
      </c>
      <c r="M13" s="215">
        <f>'FCFs"A"'!K18</f>
        <v>39887899.066013843</v>
      </c>
      <c r="N13" s="215">
        <f>'FCFs"A"'!L18</f>
        <v>38166317.416075371</v>
      </c>
      <c r="O13" s="215">
        <f>'FCFs"A"'!M18</f>
        <v>37875768.395189077</v>
      </c>
      <c r="P13" s="215">
        <f>'FCFs"A"'!N18</f>
        <v>30226426.394690357</v>
      </c>
      <c r="Q13" s="215">
        <f>'FCFs"A"'!O18</f>
        <v>30474090.321889669</v>
      </c>
      <c r="R13" s="215">
        <f>'FCFs"A"'!P18</f>
        <v>30726707.527632959</v>
      </c>
    </row>
    <row r="14" spans="1:21">
      <c r="B14" s="337" t="str">
        <f>'FCFs"A"'!B19</f>
        <v>Net increase of WC</v>
      </c>
      <c r="C14" s="215"/>
      <c r="D14" s="220"/>
      <c r="E14" s="215">
        <f>'FCFs"A"'!C19</f>
        <v>1552228.0418738723</v>
      </c>
      <c r="F14" s="215">
        <f>'FCFs"A"'!D19</f>
        <v>-583716.46308112144</v>
      </c>
      <c r="G14" s="215">
        <f>'FCFs"A"'!E19</f>
        <v>1925673.2371888161</v>
      </c>
      <c r="H14" s="215">
        <f>'FCFs"A"'!F19</f>
        <v>2636282.805344969</v>
      </c>
      <c r="I14" s="215">
        <f>'FCFs"A"'!G19</f>
        <v>1524096.8958552778</v>
      </c>
      <c r="J14" s="215">
        <f>'FCFs"A"'!H19</f>
        <v>-850125.090629071</v>
      </c>
      <c r="K14" s="215">
        <f>'FCFs"A"'!I19</f>
        <v>-88712.018197774887</v>
      </c>
      <c r="L14" s="215">
        <f>'FCFs"A"'!J19</f>
        <v>1672269.1788435876</v>
      </c>
      <c r="M14" s="215">
        <f>'FCFs"A"'!K19</f>
        <v>-2357623.4333641827</v>
      </c>
      <c r="N14" s="215">
        <f>'FCFs"A"'!L19</f>
        <v>40984.960383564234</v>
      </c>
      <c r="O14" s="215">
        <f>'FCFs"A"'!M19</f>
        <v>56880.537469536066</v>
      </c>
      <c r="P14" s="215">
        <f>'FCFs"A"'!N19</f>
        <v>32273.609154731035</v>
      </c>
      <c r="Q14" s="215">
        <f>'FCFs"A"'!O19</f>
        <v>-16193.784423857927</v>
      </c>
      <c r="R14" s="215">
        <f>'FCFs"A"'!P19</f>
        <v>-53274.055312693119</v>
      </c>
    </row>
    <row r="15" spans="1:21">
      <c r="B15" s="337" t="str">
        <f>'FCFs"A"'!B20</f>
        <v>CAPEX</v>
      </c>
      <c r="C15" s="215"/>
      <c r="D15" s="220"/>
      <c r="E15" s="215">
        <f>'FCFs"A"'!C20</f>
        <v>-25724222.696994841</v>
      </c>
      <c r="F15" s="215">
        <f>'FCFs"A"'!D20</f>
        <v>-133179146.39687067</v>
      </c>
      <c r="G15" s="215">
        <f>'FCFs"A"'!E20</f>
        <v>-171921110.10819799</v>
      </c>
      <c r="H15" s="215">
        <f>'FCFs"A"'!F20</f>
        <v>-136499658.86470258</v>
      </c>
      <c r="I15" s="215">
        <f>'FCFs"A"'!G20</f>
        <v>-80247122.937189743</v>
      </c>
      <c r="J15" s="215">
        <f>'FCFs"A"'!H20</f>
        <v>-200617807.34297451</v>
      </c>
      <c r="K15" s="215">
        <f>'FCFs"A"'!I20</f>
        <v>-120370684.40578461</v>
      </c>
      <c r="L15" s="215">
        <f>'FCFs"A"'!J20</f>
        <v>-4576063.7266969159</v>
      </c>
      <c r="M15" s="215">
        <f>'FCFs"A"'!K20</f>
        <v>-4667585.0012308657</v>
      </c>
      <c r="N15" s="215">
        <f>'FCFs"A"'!L20</f>
        <v>-4760936.7012555823</v>
      </c>
      <c r="O15" s="215">
        <f>'FCFs"A"'!M20</f>
        <v>-4856155.4352805912</v>
      </c>
      <c r="P15" s="215">
        <f>'FCFs"A"'!N20</f>
        <v>-4953278.543986164</v>
      </c>
      <c r="Q15" s="215">
        <f>'FCFs"A"'!O20</f>
        <v>-5052344.1148658097</v>
      </c>
      <c r="R15" s="215">
        <f>'FCFs"A"'!P20</f>
        <v>-5153390.997163184</v>
      </c>
    </row>
    <row r="16" spans="1:21">
      <c r="B16" s="337" t="str">
        <f>'FCFs"A"'!B21</f>
        <v>Change in LT receivables and payables</v>
      </c>
      <c r="C16" s="215"/>
      <c r="D16" s="220"/>
      <c r="E16" s="215">
        <f>'FCFs"A"'!C21</f>
        <v>0</v>
      </c>
      <c r="F16" s="215">
        <f>'FCFs"A"'!D21</f>
        <v>0</v>
      </c>
      <c r="G16" s="215">
        <f>'FCFs"A"'!E21</f>
        <v>0</v>
      </c>
      <c r="H16" s="215">
        <f>'FCFs"A"'!F21</f>
        <v>0</v>
      </c>
      <c r="I16" s="215">
        <f>'FCFs"A"'!G21</f>
        <v>0</v>
      </c>
      <c r="J16" s="215">
        <f>'FCFs"A"'!H21</f>
        <v>0</v>
      </c>
      <c r="K16" s="215">
        <f>'FCFs"A"'!I21</f>
        <v>0</v>
      </c>
      <c r="L16" s="215">
        <f>'FCFs"A"'!J21</f>
        <v>0</v>
      </c>
      <c r="M16" s="215">
        <f>'FCFs"A"'!K21</f>
        <v>0</v>
      </c>
      <c r="N16" s="215">
        <f>'FCFs"A"'!L21</f>
        <v>0</v>
      </c>
      <c r="O16" s="215">
        <f>'FCFs"A"'!M21</f>
        <v>0</v>
      </c>
      <c r="P16" s="215">
        <f>'FCFs"A"'!N21</f>
        <v>0</v>
      </c>
      <c r="Q16" s="215">
        <f>'FCFs"A"'!O21</f>
        <v>0</v>
      </c>
      <c r="R16" s="215">
        <f>'FCFs"A"'!P21</f>
        <v>0</v>
      </c>
    </row>
    <row r="17" spans="1:18">
      <c r="B17" s="337" t="str">
        <f>'FCFs"A"'!B23</f>
        <v>Interests (net of Tax shield)</v>
      </c>
      <c r="C17" s="215"/>
      <c r="D17" s="214"/>
      <c r="E17" s="215">
        <f>'FCFs"A"'!C23</f>
        <v>0</v>
      </c>
      <c r="F17" s="215">
        <f>'FCFs"A"'!D23</f>
        <v>0</v>
      </c>
      <c r="G17" s="215">
        <f>'FCFs"A"'!E23</f>
        <v>0</v>
      </c>
      <c r="H17" s="215">
        <f>'FCFs"A"'!F23</f>
        <v>0</v>
      </c>
      <c r="I17" s="215">
        <f>'FCFs"A"'!G23</f>
        <v>0</v>
      </c>
      <c r="J17" s="215">
        <f>'FCFs"A"'!H23</f>
        <v>0</v>
      </c>
      <c r="K17" s="215">
        <f>'FCFs"A"'!I23</f>
        <v>0</v>
      </c>
      <c r="L17" s="215">
        <f>'FCFs"A"'!J23</f>
        <v>0</v>
      </c>
      <c r="M17" s="215">
        <f>'FCFs"A"'!K23</f>
        <v>0</v>
      </c>
      <c r="N17" s="215">
        <f>'FCFs"A"'!L23</f>
        <v>0</v>
      </c>
      <c r="O17" s="215">
        <f>'FCFs"A"'!M23</f>
        <v>0</v>
      </c>
      <c r="P17" s="215">
        <f>'FCFs"A"'!N23</f>
        <v>0</v>
      </c>
      <c r="Q17" s="215">
        <f>'FCFs"A"'!O23</f>
        <v>0</v>
      </c>
      <c r="R17" s="215">
        <f>'FCFs"A"'!P23</f>
        <v>0</v>
      </c>
    </row>
    <row r="18" spans="1:18">
      <c r="B18" s="338" t="str">
        <f>'FCFs"A"'!B24</f>
        <v>FCFF</v>
      </c>
      <c r="C18" s="336"/>
      <c r="D18" s="335"/>
      <c r="E18" s="336">
        <f>'FCFs"A"'!C24</f>
        <v>-69517006.778497204</v>
      </c>
      <c r="F18" s="336">
        <f>'FCFs"A"'!D24</f>
        <v>-178747211.8208636</v>
      </c>
      <c r="G18" s="336">
        <f>'FCFs"A"'!E24</f>
        <v>-214810704.3558327</v>
      </c>
      <c r="H18" s="336">
        <f>'FCFs"A"'!F24</f>
        <v>-176352812.98156509</v>
      </c>
      <c r="I18" s="336">
        <f>'FCFs"A"'!G24</f>
        <v>-118675480.59012736</v>
      </c>
      <c r="J18" s="336">
        <f>'FCFs"A"'!H24</f>
        <v>-238840758.54974726</v>
      </c>
      <c r="K18" s="336">
        <f>'FCFs"A"'!I24</f>
        <v>-153615106.28793368</v>
      </c>
      <c r="L18" s="336">
        <f>'FCFs"A"'!J24</f>
        <v>-33234193.734424174</v>
      </c>
      <c r="M18" s="336">
        <f>'FCFs"A"'!K24</f>
        <v>-33436141.366736382</v>
      </c>
      <c r="N18" s="336">
        <f>'FCFs"A"'!L24</f>
        <v>-30720751.816460289</v>
      </c>
      <c r="O18" s="336">
        <f>'FCFs"A"'!M24</f>
        <v>-30384826.62670783</v>
      </c>
      <c r="P18" s="336">
        <f>'FCFs"A"'!N24</f>
        <v>-30093084.190730106</v>
      </c>
      <c r="Q18" s="336">
        <f>'FCFs"A"'!O24</f>
        <v>-29833701.609278124</v>
      </c>
      <c r="R18" s="336">
        <f>'FCFs"A"'!P24</f>
        <v>-29570141.452424578</v>
      </c>
    </row>
    <row r="19" spans="1:18">
      <c r="B19" s="337" t="str">
        <f>'FCFs"A"'!B25</f>
        <v>Interests (net of Tax shield)</v>
      </c>
      <c r="C19" s="215"/>
      <c r="D19" s="220"/>
      <c r="E19" s="215">
        <f>'FCFs"A"'!C25</f>
        <v>0</v>
      </c>
      <c r="F19" s="215">
        <f>'FCFs"A"'!D25</f>
        <v>0</v>
      </c>
      <c r="G19" s="215">
        <f>'FCFs"A"'!E25</f>
        <v>0</v>
      </c>
      <c r="H19" s="215">
        <f>'FCFs"A"'!F25</f>
        <v>0</v>
      </c>
      <c r="I19" s="215">
        <f>'FCFs"A"'!G25</f>
        <v>0</v>
      </c>
      <c r="J19" s="215">
        <f>'FCFs"A"'!H25</f>
        <v>0</v>
      </c>
      <c r="K19" s="215">
        <f>'FCFs"A"'!I25</f>
        <v>0</v>
      </c>
      <c r="L19" s="215">
        <f>'FCFs"A"'!J25</f>
        <v>0</v>
      </c>
      <c r="M19" s="215">
        <f>'FCFs"A"'!K25</f>
        <v>0</v>
      </c>
      <c r="N19" s="215">
        <f>'FCFs"A"'!L25</f>
        <v>0</v>
      </c>
      <c r="O19" s="215">
        <f>'FCFs"A"'!M25</f>
        <v>0</v>
      </c>
      <c r="P19" s="215">
        <f>'FCFs"A"'!N25</f>
        <v>0</v>
      </c>
      <c r="Q19" s="215">
        <f>'FCFs"A"'!O25</f>
        <v>0</v>
      </c>
      <c r="R19" s="215">
        <f>'FCFs"A"'!P25</f>
        <v>0</v>
      </c>
    </row>
    <row r="20" spans="1:18">
      <c r="B20" s="337" t="str">
        <f>'FCFs"A"'!B26</f>
        <v>Change in debt</v>
      </c>
      <c r="C20" s="215"/>
      <c r="D20" s="214"/>
      <c r="E20" s="215">
        <f>'FCFs"A"'!C26</f>
        <v>0</v>
      </c>
      <c r="F20" s="215">
        <f>'FCFs"A"'!D26</f>
        <v>0</v>
      </c>
      <c r="G20" s="215">
        <f>'FCFs"A"'!E26</f>
        <v>0</v>
      </c>
      <c r="H20" s="215">
        <f>'FCFs"A"'!F26</f>
        <v>0</v>
      </c>
      <c r="I20" s="215">
        <f>'FCFs"A"'!G26</f>
        <v>0</v>
      </c>
      <c r="J20" s="215">
        <f>'FCFs"A"'!H26</f>
        <v>0</v>
      </c>
      <c r="K20" s="215">
        <f>'FCFs"A"'!I26</f>
        <v>0</v>
      </c>
      <c r="L20" s="215">
        <f>'FCFs"A"'!J26</f>
        <v>0</v>
      </c>
      <c r="M20" s="215">
        <f>'FCFs"A"'!K26</f>
        <v>0</v>
      </c>
      <c r="N20" s="215">
        <f>'FCFs"A"'!L26</f>
        <v>0</v>
      </c>
      <c r="O20" s="215">
        <f>'FCFs"A"'!M26</f>
        <v>0</v>
      </c>
      <c r="P20" s="215">
        <f>'FCFs"A"'!N26</f>
        <v>0</v>
      </c>
      <c r="Q20" s="215">
        <f>'FCFs"A"'!O26</f>
        <v>0</v>
      </c>
      <c r="R20" s="215">
        <f>'FCFs"A"'!P26</f>
        <v>0</v>
      </c>
    </row>
    <row r="21" spans="1:18">
      <c r="B21" s="338" t="s">
        <v>33</v>
      </c>
      <c r="C21" s="336"/>
      <c r="D21" s="335"/>
      <c r="E21" s="336">
        <f>'FCFs"A"'!C27</f>
        <v>-69517006.778497204</v>
      </c>
      <c r="F21" s="336">
        <f>'FCFs"A"'!D27</f>
        <v>-178747211.8208636</v>
      </c>
      <c r="G21" s="336">
        <f>'FCFs"A"'!E27</f>
        <v>-214810704.3558327</v>
      </c>
      <c r="H21" s="336">
        <f>'FCFs"A"'!F27</f>
        <v>-176352812.98156509</v>
      </c>
      <c r="I21" s="336">
        <f>'FCFs"A"'!G27</f>
        <v>-118675480.59012736</v>
      </c>
      <c r="J21" s="336">
        <f>'FCFs"A"'!H27</f>
        <v>-238840758.54974726</v>
      </c>
      <c r="K21" s="336">
        <f>'FCFs"A"'!I27</f>
        <v>-153615106.28793368</v>
      </c>
      <c r="L21" s="336">
        <f>'FCFs"A"'!J27</f>
        <v>-33234193.734424174</v>
      </c>
      <c r="M21" s="336">
        <f>'FCFs"A"'!K27</f>
        <v>-33436141.366736382</v>
      </c>
      <c r="N21" s="336">
        <f>'FCFs"A"'!L27</f>
        <v>-30720751.816460289</v>
      </c>
      <c r="O21" s="336">
        <f>'FCFs"A"'!M27</f>
        <v>-30384826.62670783</v>
      </c>
      <c r="P21" s="336">
        <f>'FCFs"A"'!N27</f>
        <v>-30093084.190730106</v>
      </c>
      <c r="Q21" s="336">
        <f>'FCFs"A"'!O27</f>
        <v>-29833701.609278124</v>
      </c>
      <c r="R21" s="336">
        <f>'FCFs"A"'!P27</f>
        <v>-29570141.452424578</v>
      </c>
    </row>
    <row r="22" spans="1:18">
      <c r="A22" s="211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</row>
    <row r="23" spans="1:18">
      <c r="A23" s="211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</row>
    <row r="24" spans="1:18" s="211" customFormat="1">
      <c r="A24" s="147"/>
      <c r="B24" s="212" t="s">
        <v>6</v>
      </c>
      <c r="C24" s="323">
        <f>'PL"A"'!G5</f>
        <v>44196</v>
      </c>
      <c r="D24" s="229">
        <f>'PL"A"'!H5</f>
        <v>44561</v>
      </c>
      <c r="E24" s="213">
        <f>'PL"A"'!I5</f>
        <v>44926</v>
      </c>
      <c r="F24" s="213">
        <f>'PL"A"'!J5</f>
        <v>45291</v>
      </c>
      <c r="G24" s="213">
        <f>'PL"A"'!K5</f>
        <v>45657</v>
      </c>
      <c r="H24" s="213">
        <f>'PL"A"'!L5</f>
        <v>46022</v>
      </c>
      <c r="I24" s="213">
        <f>'PL"A"'!M5</f>
        <v>46387</v>
      </c>
      <c r="J24" s="213">
        <f>'PL"A"'!N5</f>
        <v>46752</v>
      </c>
      <c r="K24" s="213">
        <f>'PL"A"'!O5</f>
        <v>47118</v>
      </c>
      <c r="L24" s="213">
        <f>'PL"A"'!P5</f>
        <v>47483</v>
      </c>
      <c r="M24" s="213">
        <f>'PL"A"'!Q5</f>
        <v>47848</v>
      </c>
      <c r="N24" s="213">
        <f>'PL"A"'!R5</f>
        <v>48213</v>
      </c>
      <c r="O24" s="213">
        <f>'PL"A"'!S5</f>
        <v>48579</v>
      </c>
      <c r="P24" s="213">
        <f>'PL"A"'!T5</f>
        <v>48944</v>
      </c>
      <c r="Q24" s="213">
        <f>'PL"A"'!U5</f>
        <v>49309</v>
      </c>
      <c r="R24" s="213">
        <f>'PL"A"'!V5</f>
        <v>49674</v>
      </c>
    </row>
    <row r="25" spans="1:18" s="211" customFormat="1">
      <c r="A25" s="342"/>
      <c r="B25" s="219" t="s">
        <v>7</v>
      </c>
      <c r="C25" s="221">
        <f>+('PL"A"'!G6+'PL"A"'!G10)</f>
        <v>113754441.91</v>
      </c>
      <c r="D25" s="220">
        <f>+('PL"A"'!H6+'PL"A"'!H10)</f>
        <v>130654218.07000001</v>
      </c>
      <c r="E25" s="221">
        <f>+('PL"A"'!I6+'PL"A"'!I10)</f>
        <v>137361298.54177752</v>
      </c>
      <c r="F25" s="221">
        <f>+('PL"A"'!J6+'PL"A"'!J10)</f>
        <v>136697454.16007519</v>
      </c>
      <c r="G25" s="221">
        <f>+('PL"A"'!K6+'PL"A"'!K10)</f>
        <v>141204490.87048358</v>
      </c>
      <c r="H25" s="221">
        <f>+('PL"A"'!L6+'PL"A"'!L10)</f>
        <v>149536321.63545948</v>
      </c>
      <c r="I25" s="221">
        <f>+('PL"A"'!M6+'PL"A"'!M10)</f>
        <v>155728162.52462456</v>
      </c>
      <c r="J25" s="221">
        <f>+('PL"A"'!N6+'PL"A"'!N10)</f>
        <v>156874753.80285296</v>
      </c>
      <c r="K25" s="221">
        <f>+('PL"A"'!O6+'PL"A"'!O10)</f>
        <v>161410128.64262372</v>
      </c>
      <c r="L25" s="221">
        <f>+('PL"A"'!P6+'PL"A"'!P10)</f>
        <v>168276801.4662354</v>
      </c>
      <c r="M25" s="221">
        <f>+('PL"A"'!Q6+'PL"A"'!Q10)</f>
        <v>169141439.60152408</v>
      </c>
      <c r="N25" s="221">
        <f>+('PL"A"'!R6+'PL"A"'!R10)</f>
        <v>169924130.06538355</v>
      </c>
      <c r="O25" s="221">
        <f>+('PL"A"'!S6+'PL"A"'!S10)</f>
        <v>170749398.01662865</v>
      </c>
      <c r="P25" s="221">
        <f>+('PL"A"'!T6+'PL"A"'!T10)</f>
        <v>171521625.58592641</v>
      </c>
      <c r="Q25" s="221">
        <f>+('PL"A"'!U6+'PL"A"'!U10)</f>
        <v>172183257.84167805</v>
      </c>
      <c r="R25" s="221">
        <f>+('PL"A"'!V6+'PL"A"'!V10)</f>
        <v>172760153.9838419</v>
      </c>
    </row>
    <row r="26" spans="1:18">
      <c r="B26" s="216" t="s">
        <v>8</v>
      </c>
      <c r="C26" s="218"/>
      <c r="D26" s="217">
        <f t="shared" ref="D26:O26" si="1">+D25/C25-1</f>
        <v>0.14856365937227078</v>
      </c>
      <c r="E26" s="218">
        <f t="shared" si="1"/>
        <v>5.1334588127756264E-2</v>
      </c>
      <c r="F26" s="218">
        <f t="shared" si="1"/>
        <v>-4.8328342025715232E-3</v>
      </c>
      <c r="G26" s="218">
        <f t="shared" si="1"/>
        <v>3.2970889897704803E-2</v>
      </c>
      <c r="H26" s="218">
        <f t="shared" si="1"/>
        <v>5.9005423365876331E-2</v>
      </c>
      <c r="I26" s="218">
        <f t="shared" si="1"/>
        <v>4.14069359299849E-2</v>
      </c>
      <c r="J26" s="218">
        <f t="shared" si="1"/>
        <v>7.3627740778556827E-3</v>
      </c>
      <c r="K26" s="218">
        <f t="shared" si="1"/>
        <v>2.8910801322884927E-2</v>
      </c>
      <c r="L26" s="218">
        <f t="shared" si="1"/>
        <v>4.2541771581231513E-2</v>
      </c>
      <c r="M26" s="218">
        <f t="shared" si="1"/>
        <v>5.1381897430595735E-3</v>
      </c>
      <c r="N26" s="218">
        <f t="shared" si="1"/>
        <v>4.627431726390574E-3</v>
      </c>
      <c r="O26" s="218">
        <f t="shared" si="1"/>
        <v>4.856684868285388E-3</v>
      </c>
      <c r="P26" s="218">
        <f t="shared" ref="P26:R26" si="2">+P25/O25-1</f>
        <v>4.5225785757825321E-3</v>
      </c>
      <c r="Q26" s="218">
        <f t="shared" si="2"/>
        <v>3.8574276187708367E-3</v>
      </c>
      <c r="R26" s="218">
        <f t="shared" si="2"/>
        <v>3.3504775632384742E-3</v>
      </c>
    </row>
    <row r="27" spans="1:18">
      <c r="B27" s="62" t="s">
        <v>9</v>
      </c>
      <c r="C27" s="215">
        <f>+'PL"A"'!G16</f>
        <v>55924988.559999995</v>
      </c>
      <c r="D27" s="214">
        <f>+'PL"A"'!H16</f>
        <v>65819233.030000016</v>
      </c>
      <c r="E27" s="215">
        <f>+'PL"A"'!I16</f>
        <v>69767577.371053457</v>
      </c>
      <c r="F27" s="215">
        <f>+'PL"A"'!J16</f>
        <v>69396645.725712165</v>
      </c>
      <c r="G27" s="215">
        <f>+'PL"A"'!K16</f>
        <v>72235272.60055843</v>
      </c>
      <c r="H27" s="215">
        <f>+'PL"A"'!L16</f>
        <v>77453093.513569549</v>
      </c>
      <c r="I27" s="215">
        <f>+'PL"A"'!M16</f>
        <v>81345647.687376097</v>
      </c>
      <c r="J27" s="215">
        <f>+'PL"A"'!N16</f>
        <v>82104519.743638933</v>
      </c>
      <c r="K27" s="215">
        <f>+'PL"A"'!O16</f>
        <v>84972421.289773718</v>
      </c>
      <c r="L27" s="215">
        <f>+'PL"A"'!P16</f>
        <v>89292695.827915445</v>
      </c>
      <c r="M27" s="215">
        <f>+'PL"A"'!Q16</f>
        <v>91173838.519081935</v>
      </c>
      <c r="N27" s="215">
        <f>+'PL"A"'!R16</f>
        <v>91707946.191359475</v>
      </c>
      <c r="O27" s="215">
        <f>+'PL"A"'!S16</f>
        <v>92268684.812968135</v>
      </c>
      <c r="P27" s="215">
        <f>+'PL"A"'!T16</f>
        <v>92796105.43583402</v>
      </c>
      <c r="Q27" s="215">
        <f>+'PL"A"'!U16</f>
        <v>93254045.417173028</v>
      </c>
      <c r="R27" s="215">
        <f>+'PL"A"'!V16</f>
        <v>93658648.196939841</v>
      </c>
    </row>
    <row r="28" spans="1:18">
      <c r="A28" s="211"/>
      <c r="B28" s="62" t="s">
        <v>220</v>
      </c>
      <c r="C28" s="215">
        <f>'PL"A"'!G17</f>
        <v>87082760.310000002</v>
      </c>
      <c r="D28" s="214">
        <f>'PL"A"'!H17</f>
        <v>114071965.58000001</v>
      </c>
      <c r="E28" s="215">
        <f>'PL"A"'!I17</f>
        <v>114071965.57999998</v>
      </c>
      <c r="F28" s="215">
        <f>'PL"A"'!J17</f>
        <v>113363519.14414176</v>
      </c>
      <c r="G28" s="215">
        <f>'PL"A"'!K17</f>
        <v>116046224.67903517</v>
      </c>
      <c r="H28" s="215">
        <f>'PL"A"'!L17</f>
        <v>118953621.60879713</v>
      </c>
      <c r="I28" s="215">
        <f>'PL"A"'!M17</f>
        <v>120330652.35780305</v>
      </c>
      <c r="J28" s="215">
        <f>'PL"A"'!N17</f>
        <v>118539539.46802299</v>
      </c>
      <c r="K28" s="215">
        <f>'PL"A"'!O17</f>
        <v>117221656.35203762</v>
      </c>
      <c r="L28" s="215">
        <f>'PL"A"'!P17</f>
        <v>118742185.98261723</v>
      </c>
      <c r="M28" s="215">
        <f>'PL"A"'!Q17</f>
        <v>116789417.24827206</v>
      </c>
      <c r="N28" s="215">
        <f>'PL"A"'!R17</f>
        <v>116937766.73922463</v>
      </c>
      <c r="O28" s="215">
        <f>'PL"A"'!S17</f>
        <v>117107579.35042515</v>
      </c>
      <c r="P28" s="215">
        <f>'PL"A"'!T17</f>
        <v>117245828.8957276</v>
      </c>
      <c r="Q28" s="215">
        <f>'PL"A"'!U17</f>
        <v>117321107.9986808</v>
      </c>
      <c r="R28" s="215">
        <f>'PL"A"'!V17</f>
        <v>117348183.05671896</v>
      </c>
    </row>
    <row r="29" spans="1:18" s="211" customFormat="1">
      <c r="A29" s="147"/>
      <c r="B29" s="219" t="s">
        <v>11</v>
      </c>
      <c r="C29" s="221">
        <f>+'PL"A"'!G62</f>
        <v>-21025499.590000004</v>
      </c>
      <c r="D29" s="220">
        <f>+'PL"A"'!H62</f>
        <v>-14794588.939999998</v>
      </c>
      <c r="E29" s="221">
        <f>+'PL"A"'!I62</f>
        <v>-45227883.766676232</v>
      </c>
      <c r="F29" s="221">
        <f>+'PL"A"'!J62</f>
        <v>-44891219.769047506</v>
      </c>
      <c r="G29" s="221">
        <f>+'PL"A"'!K62</f>
        <v>-44341929.854780078</v>
      </c>
      <c r="H29" s="221">
        <f>+'PL"A"'!L62</f>
        <v>-41231666.804459788</v>
      </c>
      <c r="I29" s="221">
        <f>+'PL"A"'!M62</f>
        <v>-38132527.255756423</v>
      </c>
      <c r="J29" s="221">
        <f>+'PL"A"'!N62</f>
        <v>-34998635.04264605</v>
      </c>
      <c r="K29" s="221">
        <f>+'PL"A"'!O62</f>
        <v>-29387608.222849421</v>
      </c>
      <c r="L29" s="221">
        <f>+'PL"A"'!P62</f>
        <v>-25114565.182921022</v>
      </c>
      <c r="M29" s="221">
        <f>+'PL"A"'!Q62</f>
        <v>-19815806.377604038</v>
      </c>
      <c r="N29" s="221">
        <f>+'PL"A"'!R62</f>
        <v>-19276948.725788854</v>
      </c>
      <c r="O29" s="221">
        <f>+'PL"A"'!S62</f>
        <v>-18730837.311707005</v>
      </c>
      <c r="P29" s="221">
        <f>+'PL"A"'!T62</f>
        <v>-18186727.943146884</v>
      </c>
      <c r="Q29" s="221">
        <f>+'PL"A"'!U62</f>
        <v>-17649729.181423925</v>
      </c>
      <c r="R29" s="221">
        <f>+'PL"A"'!V62</f>
        <v>-17118231.652684167</v>
      </c>
    </row>
    <row r="30" spans="1:18">
      <c r="B30" s="216" t="s">
        <v>10</v>
      </c>
      <c r="C30" s="223">
        <f t="shared" ref="C30:O30" si="3">+C29/C25</f>
        <v>-0.18483233917700476</v>
      </c>
      <c r="D30" s="222">
        <f t="shared" si="3"/>
        <v>-0.11323468280276698</v>
      </c>
      <c r="E30" s="223">
        <f t="shared" si="3"/>
        <v>-0.32926220301361286</v>
      </c>
      <c r="F30" s="223">
        <f t="shared" si="3"/>
        <v>-0.32839836004903994</v>
      </c>
      <c r="G30" s="223">
        <f t="shared" si="3"/>
        <v>-0.3140263427984854</v>
      </c>
      <c r="H30" s="223">
        <f t="shared" si="3"/>
        <v>-0.27573011261420877</v>
      </c>
      <c r="I30" s="223">
        <f t="shared" si="3"/>
        <v>-0.24486596796341642</v>
      </c>
      <c r="J30" s="223">
        <f t="shared" si="3"/>
        <v>-0.22309921892613391</v>
      </c>
      <c r="K30" s="223">
        <f t="shared" si="3"/>
        <v>-0.18206793136207816</v>
      </c>
      <c r="L30" s="223">
        <f t="shared" si="3"/>
        <v>-0.14924555829497532</v>
      </c>
      <c r="M30" s="223">
        <f t="shared" si="3"/>
        <v>-0.11715524252535381</v>
      </c>
      <c r="N30" s="223">
        <f t="shared" si="3"/>
        <v>-0.11344444557916203</v>
      </c>
      <c r="O30" s="223">
        <f t="shared" si="3"/>
        <v>-0.10969782341418784</v>
      </c>
      <c r="P30" s="223">
        <f t="shared" ref="P30:R30" si="4">+P29/P25</f>
        <v>-0.10603169064553881</v>
      </c>
      <c r="Q30" s="223">
        <f t="shared" si="4"/>
        <v>-0.10250548980582533</v>
      </c>
      <c r="R30" s="223">
        <f t="shared" si="4"/>
        <v>-9.9086689019073346E-2</v>
      </c>
    </row>
    <row r="31" spans="1:18">
      <c r="B31" s="62" t="s">
        <v>12</v>
      </c>
      <c r="C31" s="215">
        <f>-'CF"A"'!F24</f>
        <v>8168920.8399999961</v>
      </c>
      <c r="D31" s="214">
        <f>-'CF"A"'!G24</f>
        <v>3317821.060000021</v>
      </c>
      <c r="E31" s="215">
        <f>-'CF"A"'!H24</f>
        <v>25724222.696994841</v>
      </c>
      <c r="F31" s="215">
        <f>-'CF"A"'!I24</f>
        <v>133179146.39687067</v>
      </c>
      <c r="G31" s="215">
        <f>-'CF"A"'!J24</f>
        <v>171921110.10819799</v>
      </c>
      <c r="H31" s="215">
        <f>-'CF"A"'!K24</f>
        <v>136499658.86470258</v>
      </c>
      <c r="I31" s="215">
        <f>-'CF"A"'!L24</f>
        <v>80247122.937189743</v>
      </c>
      <c r="J31" s="215">
        <f>-'CF"A"'!M24</f>
        <v>200617807.34297451</v>
      </c>
      <c r="K31" s="215">
        <f>-'CF"A"'!N24</f>
        <v>120370684.40578461</v>
      </c>
      <c r="L31" s="215">
        <f>-'CF"A"'!O24</f>
        <v>4576063.7266969159</v>
      </c>
      <c r="M31" s="215">
        <f>-'CF"A"'!P24</f>
        <v>4667585.0012308657</v>
      </c>
      <c r="N31" s="215">
        <f>-'CF"A"'!Q24</f>
        <v>4760936.7012555823</v>
      </c>
      <c r="O31" s="215">
        <f>-'CF"A"'!R24</f>
        <v>4856155.4352805912</v>
      </c>
      <c r="P31" s="215">
        <f>-'CF"A"'!S24</f>
        <v>4953278.543986164</v>
      </c>
      <c r="Q31" s="215">
        <f>-'CF"A"'!T24</f>
        <v>5052344.1148658097</v>
      </c>
      <c r="R31" s="215">
        <f>-'CF"A"'!U24</f>
        <v>5153390.997163184</v>
      </c>
    </row>
    <row r="32" spans="1:18">
      <c r="B32" s="62" t="s">
        <v>13</v>
      </c>
      <c r="C32" s="215">
        <f>+('BS"A"'!G33+'BS"A"'!G23-'BS"A"'!G71)</f>
        <v>-106995428.8</v>
      </c>
      <c r="D32" s="214">
        <f>+('BS"A"'!H33+'BS"A"'!H23-'BS"A"'!H71)</f>
        <v>-125949229.95999999</v>
      </c>
      <c r="E32" s="215">
        <f>+('BS"A"'!I33+'BS"A"'!I23-'BS"A"'!I71)</f>
        <v>-127501458.00187388</v>
      </c>
      <c r="F32" s="215">
        <f>+('BS"A"'!J33+'BS"A"'!J23-'BS"A"'!J71)</f>
        <v>-126917741.53879274</v>
      </c>
      <c r="G32" s="215">
        <f>+('BS"A"'!K33+'BS"A"'!K23-'BS"A"'!K71)</f>
        <v>-128843414.77598155</v>
      </c>
      <c r="H32" s="215">
        <f>+('BS"A"'!L33+'BS"A"'!L23-'BS"A"'!L71)</f>
        <v>-131479697.58132651</v>
      </c>
      <c r="I32" s="215">
        <f>+('BS"A"'!M33+'BS"A"'!M23-'BS"A"'!M71)</f>
        <v>-133003794.47718179</v>
      </c>
      <c r="J32" s="215">
        <f>+('BS"A"'!N33+'BS"A"'!N23-'BS"A"'!N71)</f>
        <v>-132153669.38655274</v>
      </c>
      <c r="K32" s="215">
        <f>+('BS"A"'!O33+'BS"A"'!O23-'BS"A"'!O71)</f>
        <v>-132064957.36835496</v>
      </c>
      <c r="L32" s="215">
        <f>+('BS"A"'!P33+'BS"A"'!P23-'BS"A"'!P71)</f>
        <v>-133737226.54719855</v>
      </c>
      <c r="M32" s="215">
        <f>+('BS"A"'!Q33+'BS"A"'!Q23-'BS"A"'!Q71)</f>
        <v>-131379603.11383437</v>
      </c>
      <c r="N32" s="215">
        <f>+('BS"A"'!R33+'BS"A"'!R23-'BS"A"'!R71)</f>
        <v>-131420588.07421792</v>
      </c>
      <c r="O32" s="215">
        <f>+('BS"A"'!S33+'BS"A"'!S23-'BS"A"'!S71)</f>
        <v>-131477468.61168747</v>
      </c>
      <c r="P32" s="215">
        <f>+('BS"A"'!T33+'BS"A"'!T23-'BS"A"'!T71)</f>
        <v>-131509742.2208422</v>
      </c>
      <c r="Q32" s="215">
        <f>+('BS"A"'!U33+'BS"A"'!U23-'BS"A"'!U71)</f>
        <v>-131493548.43641834</v>
      </c>
      <c r="R32" s="215">
        <f>+('BS"A"'!V33+'BS"A"'!V23-'BS"A"'!V71)</f>
        <v>-131440274.38110565</v>
      </c>
    </row>
    <row r="33" spans="2:18">
      <c r="B33" s="62" t="s">
        <v>14</v>
      </c>
      <c r="C33" s="215">
        <f t="shared" ref="C33:R33" si="5">+C34-C36</f>
        <v>-10408678.65</v>
      </c>
      <c r="D33" s="214">
        <f t="shared" si="5"/>
        <v>-27851088.379999999</v>
      </c>
      <c r="E33" s="215">
        <f t="shared" si="5"/>
        <v>-27851088.379999999</v>
      </c>
      <c r="F33" s="215">
        <f t="shared" si="5"/>
        <v>-27827089.215164308</v>
      </c>
      <c r="G33" s="215">
        <f t="shared" si="5"/>
        <v>-28183298.488507722</v>
      </c>
      <c r="H33" s="215">
        <f t="shared" si="5"/>
        <v>-29323940.249555442</v>
      </c>
      <c r="I33" s="215">
        <f t="shared" si="5"/>
        <v>-31026739.185891915</v>
      </c>
      <c r="J33" s="215">
        <f t="shared" si="5"/>
        <v>-33283801.902689476</v>
      </c>
      <c r="K33" s="215">
        <f t="shared" si="5"/>
        <v>-36934775.187091313</v>
      </c>
      <c r="L33" s="215">
        <f t="shared" si="5"/>
        <v>-42033480.834041052</v>
      </c>
      <c r="M33" s="215">
        <f t="shared" si="5"/>
        <v>-48511479.031878367</v>
      </c>
      <c r="N33" s="215">
        <f t="shared" si="5"/>
        <v>-55118202.024977908</v>
      </c>
      <c r="O33" s="215">
        <f t="shared" si="5"/>
        <v>-61855788.085467614</v>
      </c>
      <c r="P33" s="215">
        <f t="shared" si="5"/>
        <v>-68724011.041519299</v>
      </c>
      <c r="Q33" s="215">
        <f t="shared" si="5"/>
        <v>-75722317.213383928</v>
      </c>
      <c r="R33" s="215">
        <f t="shared" si="5"/>
        <v>-82850433.603948399</v>
      </c>
    </row>
    <row r="34" spans="2:18">
      <c r="B34" s="224" t="s">
        <v>15</v>
      </c>
      <c r="C34" s="215">
        <f>+('BS"A"'!G79)</f>
        <v>608873.73</v>
      </c>
      <c r="D34" s="214">
        <f>+('BS"A"'!H79)</f>
        <v>608873.73</v>
      </c>
      <c r="E34" s="215">
        <f>+('BS"A"'!I79)</f>
        <v>608873.73</v>
      </c>
      <c r="F34" s="215">
        <f>+('BS"A"'!J79)</f>
        <v>608873.73</v>
      </c>
      <c r="G34" s="215">
        <f>+('BS"A"'!K79)</f>
        <v>608873.73</v>
      </c>
      <c r="H34" s="215">
        <f>+('BS"A"'!L79)</f>
        <v>608873.73</v>
      </c>
      <c r="I34" s="215">
        <f>+('BS"A"'!M79)</f>
        <v>608873.73</v>
      </c>
      <c r="J34" s="215">
        <f>+('BS"A"'!N79)</f>
        <v>608873.73</v>
      </c>
      <c r="K34" s="215">
        <f>+('BS"A"'!O79)</f>
        <v>608873.73</v>
      </c>
      <c r="L34" s="215">
        <f>+('BS"A"'!P79)</f>
        <v>608873.73</v>
      </c>
      <c r="M34" s="215">
        <f>+('BS"A"'!Q79)</f>
        <v>608873.73</v>
      </c>
      <c r="N34" s="215">
        <f>+('BS"A"'!R79)</f>
        <v>608873.73</v>
      </c>
      <c r="O34" s="215">
        <f>+('BS"A"'!S79)</f>
        <v>608873.73</v>
      </c>
      <c r="P34" s="215">
        <f>+('BS"A"'!T79)</f>
        <v>608873.73</v>
      </c>
      <c r="Q34" s="215">
        <f>+('BS"A"'!U79)</f>
        <v>608873.73</v>
      </c>
      <c r="R34" s="215">
        <f>+('BS"A"'!V79)</f>
        <v>608873.73</v>
      </c>
    </row>
    <row r="35" spans="2:18">
      <c r="B35" s="225" t="s">
        <v>16</v>
      </c>
      <c r="C35" s="227">
        <f t="shared" ref="C35:R35" si="6">+C34/C29</f>
        <v>-2.8958823422659031E-2</v>
      </c>
      <c r="D35" s="226">
        <f t="shared" si="6"/>
        <v>-4.1155163720283806E-2</v>
      </c>
      <c r="E35" s="227">
        <f t="shared" si="6"/>
        <v>-1.3462352851640966E-2</v>
      </c>
      <c r="F35" s="227">
        <f t="shared" si="6"/>
        <v>-1.3563314455086791E-2</v>
      </c>
      <c r="G35" s="227">
        <f t="shared" si="6"/>
        <v>-1.3731331315395221E-2</v>
      </c>
      <c r="H35" s="227">
        <f t="shared" si="6"/>
        <v>-1.4767138396018996E-2</v>
      </c>
      <c r="I35" s="227">
        <f t="shared" si="6"/>
        <v>-1.5967305967324402E-2</v>
      </c>
      <c r="J35" s="227">
        <f t="shared" si="6"/>
        <v>-1.7397070750275936E-2</v>
      </c>
      <c r="K35" s="227">
        <f t="shared" si="6"/>
        <v>-2.0718723530776795E-2</v>
      </c>
      <c r="L35" s="227">
        <f t="shared" si="6"/>
        <v>-2.42438491594535E-2</v>
      </c>
      <c r="M35" s="227">
        <f t="shared" si="6"/>
        <v>-3.0726669326369343E-2</v>
      </c>
      <c r="N35" s="227">
        <f t="shared" si="6"/>
        <v>-3.1585586425586322E-2</v>
      </c>
      <c r="O35" s="227">
        <f t="shared" si="6"/>
        <v>-3.2506487556722648E-2</v>
      </c>
      <c r="P35" s="227">
        <f t="shared" si="6"/>
        <v>-3.3479014581588633E-2</v>
      </c>
      <c r="Q35" s="227">
        <f t="shared" si="6"/>
        <v>-3.4497624509776073E-2</v>
      </c>
      <c r="R35" s="227">
        <f t="shared" si="6"/>
        <v>-3.5568728263151383E-2</v>
      </c>
    </row>
    <row r="36" spans="2:18">
      <c r="B36" s="339" t="s">
        <v>17</v>
      </c>
      <c r="C36" s="340">
        <f>+'BS"A"'!G41</f>
        <v>11017552.380000001</v>
      </c>
      <c r="D36" s="341">
        <f>+'BS"A"'!H41</f>
        <v>28459962.109999999</v>
      </c>
      <c r="E36" s="340">
        <f>+'BS"A"'!I41</f>
        <v>28459962.109999999</v>
      </c>
      <c r="F36" s="340">
        <f>+'BS"A"'!J41</f>
        <v>28435962.945164308</v>
      </c>
      <c r="G36" s="340">
        <f>+'BS"A"'!K41</f>
        <v>28792172.218507722</v>
      </c>
      <c r="H36" s="340">
        <f>+'BS"A"'!L41</f>
        <v>29932813.979555443</v>
      </c>
      <c r="I36" s="340">
        <f>+'BS"A"'!M41</f>
        <v>31635612.915891916</v>
      </c>
      <c r="J36" s="340">
        <f>+'BS"A"'!N41</f>
        <v>33892675.632689476</v>
      </c>
      <c r="K36" s="340">
        <f>+'BS"A"'!O41</f>
        <v>37543648.91709131</v>
      </c>
      <c r="L36" s="340">
        <f>+'BS"A"'!P41</f>
        <v>42642354.564041048</v>
      </c>
      <c r="M36" s="340">
        <f>+'BS"A"'!Q41</f>
        <v>49120352.761878364</v>
      </c>
      <c r="N36" s="340">
        <f>+'BS"A"'!R41</f>
        <v>55727075.754977904</v>
      </c>
      <c r="O36" s="340">
        <f>+'BS"A"'!S41</f>
        <v>62464661.815467611</v>
      </c>
      <c r="P36" s="340">
        <f>+'BS"A"'!T41</f>
        <v>69332884.771519303</v>
      </c>
      <c r="Q36" s="340">
        <f>+'BS"A"'!U41</f>
        <v>76331190.943383932</v>
      </c>
      <c r="R36" s="340">
        <f>+'BS"A"'!V41</f>
        <v>83459307.333948404</v>
      </c>
    </row>
    <row r="38" spans="2:18">
      <c r="D38" s="215"/>
    </row>
    <row r="39" spans="2:18">
      <c r="D39" s="215"/>
    </row>
  </sheetData>
  <dataValidations count="1">
    <dataValidation type="list" allowBlank="1" showInputMessage="1" showErrorMessage="1" sqref="C5" xr:uid="{69E3A5AD-2DD6-41D3-BE56-9A381AF312DA}">
      <formula1>$H$11:$R$11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070DA37-04C7-40D5-8009-C3A3BD596682}">
          <x14:formula1>
            <xm:f>'FCFs"0"'!#REF!</xm:f>
          </x14:formula1>
          <xm:sqref>C6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7A979-0918-4E8F-9F25-70E62BF77322}">
  <sheetPr>
    <tabColor rgb="FFC5E4ED"/>
  </sheetPr>
  <dimension ref="A1:AD84"/>
  <sheetViews>
    <sheetView topLeftCell="A56" workbookViewId="0"/>
  </sheetViews>
  <sheetFormatPr baseColWidth="10" defaultColWidth="9.1640625" defaultRowHeight="12"/>
  <cols>
    <col min="1" max="1" width="2.5" style="5" customWidth="1"/>
    <col min="2" max="2" width="48.6640625" style="108" customWidth="1"/>
    <col min="3" max="6" width="11.83203125" style="109" customWidth="1"/>
    <col min="7" max="7" width="13" style="109" customWidth="1"/>
    <col min="8" max="29" width="11.83203125" style="4" customWidth="1"/>
    <col min="30" max="30" width="13.1640625" style="4" customWidth="1"/>
    <col min="31" max="16384" width="9.1640625" style="4"/>
  </cols>
  <sheetData>
    <row r="1" spans="1:30" ht="12.75" customHeight="1">
      <c r="A1" s="78"/>
      <c r="B1" s="78"/>
      <c r="C1" s="78"/>
      <c r="D1" s="78"/>
      <c r="E1" s="78"/>
      <c r="F1" s="78"/>
      <c r="G1" s="78"/>
      <c r="H1" s="79"/>
      <c r="I1" s="79"/>
      <c r="J1" s="79"/>
    </row>
    <row r="2" spans="1:30" ht="12.75" customHeight="1">
      <c r="B2" s="80" t="s">
        <v>1</v>
      </c>
      <c r="C2" s="78"/>
      <c r="D2" s="78"/>
      <c r="E2" s="78"/>
      <c r="F2" s="78"/>
      <c r="G2" s="78"/>
      <c r="H2" s="79"/>
      <c r="I2" s="79"/>
      <c r="J2" s="79"/>
    </row>
    <row r="3" spans="1:30" ht="15" thickBot="1">
      <c r="B3" s="81" t="s">
        <v>133</v>
      </c>
      <c r="C3" s="82"/>
      <c r="D3" s="82"/>
      <c r="E3" s="82"/>
      <c r="F3" s="82"/>
      <c r="G3" s="8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30" ht="12.75" customHeight="1">
      <c r="B4" s="84"/>
      <c r="C4" s="78"/>
      <c r="D4" s="78"/>
      <c r="E4" s="78"/>
      <c r="F4" s="78"/>
      <c r="G4" s="78"/>
      <c r="H4" s="79"/>
      <c r="I4" s="79"/>
      <c r="J4" s="79"/>
    </row>
    <row r="5" spans="1:30" ht="14.25" customHeight="1" thickBot="1">
      <c r="B5" s="85" t="s">
        <v>134</v>
      </c>
      <c r="C5" s="86">
        <f>+'BS"A"'!C5</f>
        <v>42735</v>
      </c>
      <c r="D5" s="86">
        <f>+'BS"A"'!D5</f>
        <v>43100</v>
      </c>
      <c r="E5" s="86">
        <f>+'BS"A"'!E5</f>
        <v>43465</v>
      </c>
      <c r="F5" s="86">
        <f>+'BS"A"'!F5</f>
        <v>43830</v>
      </c>
      <c r="G5" s="86">
        <f>+'BS"A"'!G5</f>
        <v>44196</v>
      </c>
      <c r="H5" s="165">
        <f>+'BS"A"'!H5</f>
        <v>44561</v>
      </c>
      <c r="I5" s="87">
        <f>+'BS"A"'!I5</f>
        <v>44926</v>
      </c>
      <c r="J5" s="87">
        <f>+'BS"A"'!J5</f>
        <v>45291</v>
      </c>
      <c r="K5" s="87">
        <f>+'BS"A"'!K5</f>
        <v>45657</v>
      </c>
      <c r="L5" s="87">
        <f>+'BS"A"'!L5</f>
        <v>46022</v>
      </c>
      <c r="M5" s="87">
        <f>+'BS"A"'!M5</f>
        <v>46387</v>
      </c>
      <c r="N5" s="87">
        <f>+'BS"A"'!N5</f>
        <v>46752</v>
      </c>
      <c r="O5" s="87">
        <f>+'BS"A"'!O5</f>
        <v>47118</v>
      </c>
      <c r="P5" s="87">
        <f>+'BS"A"'!P5</f>
        <v>47483</v>
      </c>
      <c r="Q5" s="87">
        <f>+'BS"A"'!Q5</f>
        <v>47848</v>
      </c>
      <c r="R5" s="87">
        <f>+'BS"A"'!R5</f>
        <v>48213</v>
      </c>
      <c r="S5" s="87">
        <f>+'BS"A"'!S5</f>
        <v>48579</v>
      </c>
      <c r="T5" s="87">
        <f>+'BS"A"'!T5</f>
        <v>48944</v>
      </c>
      <c r="U5" s="87">
        <f>+'BS"A"'!U5</f>
        <v>49309</v>
      </c>
      <c r="V5" s="87">
        <f>+'BS"A"'!V5</f>
        <v>49674</v>
      </c>
      <c r="W5" s="87">
        <f>+'BS"A"'!W5</f>
        <v>50040</v>
      </c>
      <c r="X5" s="87">
        <f>+'BS"A"'!X5</f>
        <v>50405</v>
      </c>
      <c r="Y5" s="87">
        <f>+'BS"A"'!Y5</f>
        <v>50770</v>
      </c>
      <c r="Z5" s="87">
        <f>+'BS"A"'!Z5</f>
        <v>51135</v>
      </c>
      <c r="AA5" s="87">
        <f>+'BS"A"'!AA5</f>
        <v>51501</v>
      </c>
      <c r="AB5" s="87">
        <f>+'BS"A"'!AB5</f>
        <v>51866</v>
      </c>
      <c r="AC5" s="87">
        <f>+'BS"A"'!AC5</f>
        <v>52231</v>
      </c>
    </row>
    <row r="6" spans="1:30" ht="13.5" customHeight="1">
      <c r="B6" s="88" t="s">
        <v>135</v>
      </c>
      <c r="C6" s="89">
        <f>PL_data!E72</f>
        <v>0</v>
      </c>
      <c r="D6" s="89">
        <f>PL_data!F72</f>
        <v>0</v>
      </c>
      <c r="E6" s="89">
        <f>PL_data!G72</f>
        <v>0</v>
      </c>
      <c r="F6" s="89">
        <f>PL_data!H72</f>
        <v>187717.1</v>
      </c>
      <c r="G6" s="89">
        <f>PL_data!I72</f>
        <v>2409124.59</v>
      </c>
      <c r="H6" s="89">
        <f>PL_data!J72</f>
        <v>3162118.92</v>
      </c>
      <c r="I6" s="90">
        <f>'Revenues"A"'!H27</f>
        <v>3162118.92</v>
      </c>
      <c r="J6" s="90">
        <f>'Revenues"A"'!I27</f>
        <v>3260336.6299347607</v>
      </c>
      <c r="K6" s="90">
        <f>'Revenues"A"'!J27</f>
        <v>3490488.3920656797</v>
      </c>
      <c r="L6" s="90">
        <f>'Revenues"A"'!K27</f>
        <v>3830722.7071846714</v>
      </c>
      <c r="M6" s="90">
        <f>'Revenues"A"'!L27</f>
        <v>4126929.963016381</v>
      </c>
      <c r="N6" s="90">
        <f>'Revenues"A"'!M27</f>
        <v>4291173.3664965937</v>
      </c>
      <c r="O6" s="90">
        <f>'Revenues"A"'!N27</f>
        <v>4556932.3778305547</v>
      </c>
      <c r="P6" s="90">
        <f>'Revenues"A"'!O27</f>
        <v>4900714.066897898</v>
      </c>
      <c r="Q6" s="90">
        <f>'Revenues"A"'!P27</f>
        <v>5070838.5124182664</v>
      </c>
      <c r="R6" s="90">
        <f>'Revenues"A"'!Q27</f>
        <v>5239623.918934417</v>
      </c>
      <c r="S6" s="90">
        <f>'Revenues"A"'!R27</f>
        <v>5411377.5847005649</v>
      </c>
      <c r="T6" s="90">
        <f>'Revenues"A"'!S27</f>
        <v>5583004.8858081438</v>
      </c>
      <c r="U6" s="90">
        <f>'Revenues"A"'!T27</f>
        <v>5752387.2641225168</v>
      </c>
      <c r="V6" s="90">
        <f>'Revenues"A"'!U27</f>
        <v>5920154.1052454989</v>
      </c>
      <c r="W6" s="90">
        <f>'Revenues"A"'!V27</f>
        <v>5920154.1052454989</v>
      </c>
      <c r="X6" s="90">
        <f>'Revenues"A"'!W27</f>
        <v>5920154.1052454989</v>
      </c>
      <c r="Y6" s="90">
        <f>'Revenues"A"'!X27</f>
        <v>5920154.1052454989</v>
      </c>
      <c r="Z6" s="90">
        <f>'Revenues"A"'!Y27</f>
        <v>5920154.1052454989</v>
      </c>
      <c r="AA6" s="90">
        <f>'Revenues"A"'!Z27</f>
        <v>5920154.1052454989</v>
      </c>
      <c r="AB6" s="90">
        <f>'Revenues"A"'!AA27</f>
        <v>5920154.1052454989</v>
      </c>
      <c r="AC6" s="90">
        <f>'Revenues"A"'!AB27</f>
        <v>5920154.1052454989</v>
      </c>
      <c r="AD6" s="92"/>
    </row>
    <row r="7" spans="1:30" ht="13.5" customHeight="1">
      <c r="B7" s="88" t="s">
        <v>136</v>
      </c>
      <c r="C7" s="91">
        <f>PL_data!E8</f>
        <v>0</v>
      </c>
      <c r="D7" s="91">
        <f>PL_data!F8</f>
        <v>0</v>
      </c>
      <c r="E7" s="91">
        <f>PL_data!G8</f>
        <v>0</v>
      </c>
      <c r="F7" s="91">
        <f>PL_data!H8</f>
        <v>162991.97</v>
      </c>
      <c r="G7" s="91">
        <f>PL_data!I8</f>
        <v>2138186.7799999998</v>
      </c>
      <c r="H7" s="91">
        <f>PL_data!J8</f>
        <v>2875276.47</v>
      </c>
      <c r="I7" s="92">
        <f>'Costs"A"'!H35</f>
        <v>2809131.4463573173</v>
      </c>
      <c r="J7" s="92">
        <f>'Costs"A"'!I35</f>
        <v>2896385.1090269485</v>
      </c>
      <c r="K7" s="92">
        <f>'Costs"A"'!J35</f>
        <v>3100845.0198631017</v>
      </c>
      <c r="L7" s="92">
        <f>'Costs"A"'!K35</f>
        <v>3403098.963472093</v>
      </c>
      <c r="M7" s="92">
        <f>'Costs"A"'!L35</f>
        <v>3666240.5903518507</v>
      </c>
      <c r="N7" s="92">
        <f>'Costs"A"'!M35</f>
        <v>3812149.4955023937</v>
      </c>
      <c r="O7" s="92">
        <f>'Costs"A"'!N35</f>
        <v>4048241.8167523048</v>
      </c>
      <c r="P7" s="92">
        <f>'Costs"A"'!O35</f>
        <v>4353647.1408003028</v>
      </c>
      <c r="Q7" s="92">
        <f>'Costs"A"'!P35</f>
        <v>4504780.5870102793</v>
      </c>
      <c r="R7" s="92">
        <f>'Costs"A"'!Q35</f>
        <v>4654724.471198773</v>
      </c>
      <c r="S7" s="92">
        <f>'Costs"A"'!R35</f>
        <v>4807305.2677270798</v>
      </c>
      <c r="T7" s="92">
        <f>'Costs"A"'!S35</f>
        <v>4959773.8056891924</v>
      </c>
      <c r="U7" s="92">
        <f>'Costs"A"'!T35</f>
        <v>5110248.0216879062</v>
      </c>
      <c r="V7" s="92">
        <f>'Costs"A"'!U35</f>
        <v>5259287.0429827161</v>
      </c>
      <c r="W7" s="92">
        <f>'Costs"A"'!V35</f>
        <v>5259287.0429827161</v>
      </c>
      <c r="X7" s="92">
        <f>'Costs"A"'!W35</f>
        <v>5259287.0429827161</v>
      </c>
      <c r="Y7" s="92">
        <f>'Costs"A"'!X35</f>
        <v>5259287.0429827161</v>
      </c>
      <c r="Z7" s="92">
        <f>'Costs"A"'!Y35</f>
        <v>5259287.0429827161</v>
      </c>
      <c r="AA7" s="92">
        <f>'Costs"A"'!Z35</f>
        <v>5259287.0429827161</v>
      </c>
      <c r="AB7" s="92">
        <f>'Costs"A"'!AA35</f>
        <v>5259287.0429827161</v>
      </c>
      <c r="AC7" s="92">
        <f>'Costs"A"'!AB35</f>
        <v>5259287.0429827161</v>
      </c>
      <c r="AD7" s="92"/>
    </row>
    <row r="8" spans="1:30" ht="13.5" customHeight="1">
      <c r="B8" s="93" t="s">
        <v>137</v>
      </c>
      <c r="C8" s="94">
        <f t="shared" ref="C8:U8" si="0">C6-C7</f>
        <v>0</v>
      </c>
      <c r="D8" s="94">
        <f t="shared" si="0"/>
        <v>0</v>
      </c>
      <c r="E8" s="94">
        <f t="shared" si="0"/>
        <v>0</v>
      </c>
      <c r="F8" s="94">
        <f t="shared" si="0"/>
        <v>24725.130000000005</v>
      </c>
      <c r="G8" s="94">
        <f t="shared" si="0"/>
        <v>270937.81000000006</v>
      </c>
      <c r="H8" s="94">
        <f t="shared" si="0"/>
        <v>286842.44999999972</v>
      </c>
      <c r="I8" s="95">
        <f t="shared" si="0"/>
        <v>352987.47364268266</v>
      </c>
      <c r="J8" s="95">
        <f t="shared" si="0"/>
        <v>363951.52090781229</v>
      </c>
      <c r="K8" s="95">
        <f t="shared" si="0"/>
        <v>389643.372202578</v>
      </c>
      <c r="L8" s="95">
        <f t="shared" si="0"/>
        <v>427623.74371257843</v>
      </c>
      <c r="M8" s="95">
        <f t="shared" si="0"/>
        <v>460689.3726645303</v>
      </c>
      <c r="N8" s="95">
        <f t="shared" si="0"/>
        <v>479023.8709942</v>
      </c>
      <c r="O8" s="95">
        <f t="shared" si="0"/>
        <v>508690.56107824994</v>
      </c>
      <c r="P8" s="95">
        <f t="shared" si="0"/>
        <v>547066.92609759513</v>
      </c>
      <c r="Q8" s="95">
        <f t="shared" si="0"/>
        <v>566057.92540798709</v>
      </c>
      <c r="R8" s="95">
        <f t="shared" si="0"/>
        <v>584899.44773564395</v>
      </c>
      <c r="S8" s="95">
        <f t="shared" si="0"/>
        <v>604072.31697348505</v>
      </c>
      <c r="T8" s="95">
        <f t="shared" si="0"/>
        <v>623231.08011895139</v>
      </c>
      <c r="U8" s="95">
        <f t="shared" si="0"/>
        <v>642139.24243461061</v>
      </c>
      <c r="V8" s="95">
        <f t="shared" ref="V8:AC8" si="1">V6-V7</f>
        <v>660867.06226278283</v>
      </c>
      <c r="W8" s="95">
        <f t="shared" si="1"/>
        <v>660867.06226278283</v>
      </c>
      <c r="X8" s="95">
        <f t="shared" si="1"/>
        <v>660867.06226278283</v>
      </c>
      <c r="Y8" s="95">
        <f t="shared" si="1"/>
        <v>660867.06226278283</v>
      </c>
      <c r="Z8" s="95">
        <f t="shared" si="1"/>
        <v>660867.06226278283</v>
      </c>
      <c r="AA8" s="95">
        <f t="shared" si="1"/>
        <v>660867.06226278283</v>
      </c>
      <c r="AB8" s="95">
        <f t="shared" si="1"/>
        <v>660867.06226278283</v>
      </c>
      <c r="AC8" s="95">
        <f t="shared" si="1"/>
        <v>660867.06226278283</v>
      </c>
      <c r="AD8" s="92"/>
    </row>
    <row r="9" spans="1:30" ht="13.5" customHeight="1">
      <c r="B9" s="93" t="s">
        <v>138</v>
      </c>
      <c r="C9" s="96">
        <f t="shared" ref="C9:U9" si="2">SUM(C10:C12)</f>
        <v>92013925.840000004</v>
      </c>
      <c r="D9" s="96">
        <f t="shared" si="2"/>
        <v>91580974.519999996</v>
      </c>
      <c r="E9" s="96">
        <f t="shared" si="2"/>
        <v>96802267.170000002</v>
      </c>
      <c r="F9" s="96">
        <f t="shared" si="2"/>
        <v>106428024.78</v>
      </c>
      <c r="G9" s="151">
        <f t="shared" si="2"/>
        <v>111377666.52</v>
      </c>
      <c r="H9" s="94">
        <f t="shared" si="2"/>
        <v>127538109.19000001</v>
      </c>
      <c r="I9" s="95">
        <f t="shared" si="2"/>
        <v>134245201.79063711</v>
      </c>
      <c r="J9" s="95">
        <f t="shared" si="2"/>
        <v>133482667.87711041</v>
      </c>
      <c r="K9" s="95">
        <f t="shared" si="2"/>
        <v>137760868.92274007</v>
      </c>
      <c r="L9" s="95">
        <f t="shared" si="2"/>
        <v>145755084.07734257</v>
      </c>
      <c r="M9" s="95">
        <f t="shared" si="2"/>
        <v>151652575.44940767</v>
      </c>
      <c r="N9" s="95">
        <f t="shared" si="2"/>
        <v>152635044.09795725</v>
      </c>
      <c r="O9" s="95">
        <f t="shared" si="2"/>
        <v>156905925.96385789</v>
      </c>
      <c r="P9" s="95">
        <f t="shared" si="2"/>
        <v>163430847.38203123</v>
      </c>
      <c r="Q9" s="95">
        <f t="shared" si="2"/>
        <v>164125358.95947096</v>
      </c>
      <c r="R9" s="95">
        <f t="shared" si="2"/>
        <v>164739226.83284217</v>
      </c>
      <c r="S9" s="95">
        <f t="shared" si="2"/>
        <v>165392715.41812187</v>
      </c>
      <c r="T9" s="95">
        <f t="shared" si="2"/>
        <v>165993269.76627767</v>
      </c>
      <c r="U9" s="95">
        <f t="shared" si="2"/>
        <v>166485434.95034641</v>
      </c>
      <c r="V9" s="95">
        <f t="shared" ref="V9:AC9" si="3">SUM(V10:V12)</f>
        <v>166894449.79598889</v>
      </c>
      <c r="W9" s="95">
        <f t="shared" si="3"/>
        <v>164748296.22981644</v>
      </c>
      <c r="X9" s="95">
        <f t="shared" si="3"/>
        <v>164748296.22981644</v>
      </c>
      <c r="Y9" s="95">
        <f t="shared" si="3"/>
        <v>164748296.22981644</v>
      </c>
      <c r="Z9" s="95">
        <f t="shared" si="3"/>
        <v>164748296.22981644</v>
      </c>
      <c r="AA9" s="95">
        <f t="shared" si="3"/>
        <v>164748296.22981644</v>
      </c>
      <c r="AB9" s="95">
        <f t="shared" si="3"/>
        <v>164748296.22981644</v>
      </c>
      <c r="AC9" s="95">
        <f t="shared" si="3"/>
        <v>164748296.22981644</v>
      </c>
      <c r="AD9" s="92"/>
    </row>
    <row r="10" spans="1:30" ht="13.5" customHeight="1">
      <c r="B10" s="97" t="s">
        <v>139</v>
      </c>
      <c r="C10" s="98">
        <f>PL_data!E71</f>
        <v>91969966.840000004</v>
      </c>
      <c r="D10" s="98">
        <f>PL_data!F71</f>
        <v>91537466.319999993</v>
      </c>
      <c r="E10" s="98">
        <f>PL_data!G71</f>
        <v>96758427.370000005</v>
      </c>
      <c r="F10" s="98">
        <f>PL_data!H71</f>
        <v>106384314.98</v>
      </c>
      <c r="G10" s="91">
        <f>PL_data!I71</f>
        <v>111345317.31999999</v>
      </c>
      <c r="H10" s="91">
        <f>PL_data!J71</f>
        <v>127492099.15000001</v>
      </c>
      <c r="I10" s="92">
        <f>'Revenues"A"'!H3+'Revenues"A"'!H18</f>
        <v>134199179.62177753</v>
      </c>
      <c r="J10" s="92">
        <f>'Revenues"A"'!I3+'Revenues"A"'!I18</f>
        <v>133437117.53014041</v>
      </c>
      <c r="K10" s="92">
        <f>'Revenues"A"'!J3+'Revenues"A"'!J18</f>
        <v>137714002.4784179</v>
      </c>
      <c r="L10" s="92">
        <f>'Revenues"A"'!K3+'Revenues"A"'!K18</f>
        <v>145705598.92827481</v>
      </c>
      <c r="M10" s="92">
        <f>'Revenues"A"'!L3+'Revenues"A"'!L18</f>
        <v>151601232.56160817</v>
      </c>
      <c r="N10" s="92">
        <f>'Revenues"A"'!M3+'Revenues"A"'!M18</f>
        <v>152583580.43635637</v>
      </c>
      <c r="O10" s="92">
        <f>'Revenues"A"'!N3+'Revenues"A"'!N18</f>
        <v>156853196.26479316</v>
      </c>
      <c r="P10" s="92">
        <f>'Revenues"A"'!O3+'Revenues"A"'!O18</f>
        <v>163376087.3993375</v>
      </c>
      <c r="Q10" s="92">
        <f>'Revenues"A"'!P3+'Revenues"A"'!P18</f>
        <v>164070601.08910581</v>
      </c>
      <c r="R10" s="92">
        <f>'Revenues"A"'!Q3+'Revenues"A"'!Q18</f>
        <v>164684506.14644915</v>
      </c>
      <c r="S10" s="92">
        <f>'Revenues"A"'!R3+'Revenues"A"'!R18</f>
        <v>165338020.4319281</v>
      </c>
      <c r="T10" s="92">
        <f>'Revenues"A"'!S3+'Revenues"A"'!S18</f>
        <v>165938620.70011827</v>
      </c>
      <c r="U10" s="92">
        <f>'Revenues"A"'!T3+'Revenues"A"'!T18</f>
        <v>166430870.57755554</v>
      </c>
      <c r="V10" s="92">
        <f>'Revenues"A"'!U3+'Revenues"A"'!U18</f>
        <v>166839999.8785964</v>
      </c>
      <c r="W10" s="92">
        <f>'Revenues"A"'!V3+'Revenues"A"'!V18</f>
        <v>164693846.31242394</v>
      </c>
      <c r="X10" s="92">
        <f>'Revenues"A"'!W3+'Revenues"A"'!W18</f>
        <v>164693846.31242394</v>
      </c>
      <c r="Y10" s="92">
        <f>'Revenues"A"'!X3+'Revenues"A"'!X18</f>
        <v>164693846.31242394</v>
      </c>
      <c r="Z10" s="92">
        <f>'Revenues"A"'!Y3+'Revenues"A"'!Y18</f>
        <v>164693846.31242394</v>
      </c>
      <c r="AA10" s="92">
        <f>'Revenues"A"'!Z3+'Revenues"A"'!Z18</f>
        <v>164693846.31242394</v>
      </c>
      <c r="AB10" s="92">
        <f>'Revenues"A"'!AA3+'Revenues"A"'!AA18</f>
        <v>164693846.31242394</v>
      </c>
      <c r="AC10" s="92">
        <f>'Revenues"A"'!AB3+'Revenues"A"'!AB18</f>
        <v>164693846.31242394</v>
      </c>
      <c r="AD10" s="92"/>
    </row>
    <row r="11" spans="1:30" ht="13.5" customHeight="1">
      <c r="B11" s="97" t="s">
        <v>140</v>
      </c>
      <c r="C11" s="91"/>
      <c r="D11" s="91"/>
      <c r="E11" s="91"/>
      <c r="F11" s="91"/>
      <c r="G11" s="91"/>
      <c r="H11" s="91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</row>
    <row r="12" spans="1:30" ht="13.5" customHeight="1">
      <c r="B12" s="99" t="s">
        <v>216</v>
      </c>
      <c r="C12" s="91">
        <f>PL_data!E78</f>
        <v>43959</v>
      </c>
      <c r="D12" s="91">
        <f>PL_data!F78</f>
        <v>43508.2</v>
      </c>
      <c r="E12" s="91">
        <f>PL_data!G78</f>
        <v>43839.8</v>
      </c>
      <c r="F12" s="91">
        <f>PL_data!H78</f>
        <v>43709.8</v>
      </c>
      <c r="G12" s="91">
        <f>PL_data!I78</f>
        <v>32349.200000000001</v>
      </c>
      <c r="H12" s="91">
        <f>PL_data!J78</f>
        <v>46010.04</v>
      </c>
      <c r="I12" s="92">
        <f>'Revenues"A"'!H35</f>
        <v>46022.168859563928</v>
      </c>
      <c r="J12" s="92">
        <f>'Revenues"A"'!I35</f>
        <v>45550.346969988859</v>
      </c>
      <c r="K12" s="92">
        <f>'Revenues"A"'!J35</f>
        <v>46866.444322181167</v>
      </c>
      <c r="L12" s="92">
        <f>'Revenues"A"'!K35</f>
        <v>49485.149067749517</v>
      </c>
      <c r="M12" s="92">
        <f>'Revenues"A"'!L35</f>
        <v>51342.887799510863</v>
      </c>
      <c r="N12" s="92">
        <f>'Revenues"A"'!M35</f>
        <v>51463.661600880041</v>
      </c>
      <c r="O12" s="92">
        <f>'Revenues"A"'!N35</f>
        <v>52729.699064725151</v>
      </c>
      <c r="P12" s="92">
        <f>'Revenues"A"'!O35</f>
        <v>54759.982693736369</v>
      </c>
      <c r="Q12" s="92">
        <f>'Revenues"A"'!P35</f>
        <v>54757.87036515143</v>
      </c>
      <c r="R12" s="92">
        <f>'Revenues"A"'!Q35</f>
        <v>54720.686393016345</v>
      </c>
      <c r="S12" s="92">
        <f>'Revenues"A"'!R35</f>
        <v>54694.986193774639</v>
      </c>
      <c r="T12" s="92">
        <f>'Revenues"A"'!S35</f>
        <v>54649.066159382899</v>
      </c>
      <c r="U12" s="92">
        <f>'Revenues"A"'!T35</f>
        <v>54564.37279086755</v>
      </c>
      <c r="V12" s="92">
        <f>'Revenues"A"'!U35</f>
        <v>54449.917392506497</v>
      </c>
      <c r="W12" s="92">
        <f>'Revenues"A"'!V35</f>
        <v>54449.917392506497</v>
      </c>
      <c r="X12" s="92">
        <f>'Revenues"A"'!W35</f>
        <v>54449.917392506497</v>
      </c>
      <c r="Y12" s="92">
        <f>'Revenues"A"'!X35</f>
        <v>54449.917392506497</v>
      </c>
      <c r="Z12" s="92">
        <f>'Revenues"A"'!Y35</f>
        <v>54449.917392506497</v>
      </c>
      <c r="AA12" s="92">
        <f>'Revenues"A"'!Z35</f>
        <v>54449.917392506497</v>
      </c>
      <c r="AB12" s="92">
        <f>'Revenues"A"'!AA35</f>
        <v>54449.917392506497</v>
      </c>
      <c r="AC12" s="92">
        <f>'Revenues"A"'!AB35</f>
        <v>54449.917392506497</v>
      </c>
      <c r="AD12" s="92"/>
    </row>
    <row r="13" spans="1:30" ht="13.5" customHeight="1">
      <c r="B13" s="93" t="s">
        <v>141</v>
      </c>
      <c r="C13" s="96">
        <f t="shared" ref="C13" si="4">SUM(C14:C15)</f>
        <v>41997490.840000004</v>
      </c>
      <c r="D13" s="96">
        <f t="shared" ref="D13:U13" si="5">SUM(D14:D15)</f>
        <v>41754838.82</v>
      </c>
      <c r="E13" s="96">
        <f t="shared" si="5"/>
        <v>44678743.620000005</v>
      </c>
      <c r="F13" s="96">
        <f t="shared" si="5"/>
        <v>52572288.100000001</v>
      </c>
      <c r="G13" s="151">
        <f t="shared" si="5"/>
        <v>55723615.770000003</v>
      </c>
      <c r="H13" s="94">
        <f t="shared" si="5"/>
        <v>62005718.609999999</v>
      </c>
      <c r="I13" s="95">
        <f t="shared" si="5"/>
        <v>64830611.893226318</v>
      </c>
      <c r="J13" s="95">
        <f t="shared" si="5"/>
        <v>64449973.672306061</v>
      </c>
      <c r="K13" s="95">
        <f t="shared" si="5"/>
        <v>65915239.69438421</v>
      </c>
      <c r="L13" s="95">
        <f t="shared" si="5"/>
        <v>68729614.307485595</v>
      </c>
      <c r="M13" s="95">
        <f t="shared" si="5"/>
        <v>70767617.134696096</v>
      </c>
      <c r="N13" s="95">
        <f t="shared" si="5"/>
        <v>71009548.225312516</v>
      </c>
      <c r="O13" s="95">
        <f t="shared" si="5"/>
        <v>72442195.235162422</v>
      </c>
      <c r="P13" s="95">
        <f t="shared" si="5"/>
        <v>74685218.480213389</v>
      </c>
      <c r="Q13" s="95">
        <f t="shared" si="5"/>
        <v>73517578.365797013</v>
      </c>
      <c r="R13" s="95">
        <f t="shared" si="5"/>
        <v>73616180.089218333</v>
      </c>
      <c r="S13" s="95">
        <f t="shared" si="5"/>
        <v>73728102.922127217</v>
      </c>
      <c r="T13" s="95">
        <f t="shared" si="5"/>
        <v>73820395.410562605</v>
      </c>
      <c r="U13" s="95">
        <f t="shared" si="5"/>
        <v>73873528.775607988</v>
      </c>
      <c r="V13" s="95">
        <f t="shared" ref="V13:AC13" si="6">SUM(V14:V15)</f>
        <v>73896668.661311835</v>
      </c>
      <c r="W13" s="95">
        <f t="shared" si="6"/>
        <v>73896668.661311835</v>
      </c>
      <c r="X13" s="95">
        <f t="shared" si="6"/>
        <v>73896668.661311835</v>
      </c>
      <c r="Y13" s="95">
        <f t="shared" si="6"/>
        <v>73896668.661311835</v>
      </c>
      <c r="Z13" s="95">
        <f t="shared" si="6"/>
        <v>73896668.661311835</v>
      </c>
      <c r="AA13" s="95">
        <f t="shared" si="6"/>
        <v>73896668.661311835</v>
      </c>
      <c r="AB13" s="95">
        <f t="shared" si="6"/>
        <v>73896668.661311835</v>
      </c>
      <c r="AC13" s="95">
        <f t="shared" si="6"/>
        <v>73896668.661311835</v>
      </c>
      <c r="AD13" s="92"/>
    </row>
    <row r="14" spans="1:30" ht="13.5" customHeight="1">
      <c r="B14" s="97" t="s">
        <v>142</v>
      </c>
      <c r="C14" s="91">
        <f>PL_data!E4-PL_data!E8</f>
        <v>37272809.100000001</v>
      </c>
      <c r="D14" s="91">
        <f>PL_data!F4-PL_data!F8</f>
        <v>37200873.170000002</v>
      </c>
      <c r="E14" s="91">
        <f>PL_data!G4-PL_data!G8</f>
        <v>39837612.020000003</v>
      </c>
      <c r="F14" s="91">
        <f>PL_data!H4-PL_data!H8</f>
        <v>47111293.770000003</v>
      </c>
      <c r="G14" s="91">
        <f>PL_data!I4-PL_data!I8</f>
        <v>49705294.82</v>
      </c>
      <c r="H14" s="91">
        <f>PL_data!J4-PL_data!J8</f>
        <v>56365612.130000003</v>
      </c>
      <c r="I14" s="92">
        <f>'Costs"A"'!H3</f>
        <v>60204843.414226316</v>
      </c>
      <c r="J14" s="92">
        <f>'Costs"A"'!I3</f>
        <v>59824205.193306059</v>
      </c>
      <c r="K14" s="92">
        <f>'Costs"A"'!J3</f>
        <v>61289471.215384208</v>
      </c>
      <c r="L14" s="92">
        <f>'Costs"A"'!K3</f>
        <v>64103845.828485601</v>
      </c>
      <c r="M14" s="92">
        <f>'Costs"A"'!L3</f>
        <v>66141848.655696101</v>
      </c>
      <c r="N14" s="92">
        <f>'Costs"A"'!M3</f>
        <v>66383779.746312521</v>
      </c>
      <c r="O14" s="92">
        <f>'Costs"A"'!N3</f>
        <v>67816426.75616242</v>
      </c>
      <c r="P14" s="92">
        <f>'Costs"A"'!O3</f>
        <v>70059450.001213387</v>
      </c>
      <c r="Q14" s="92">
        <f>'Costs"A"'!P3</f>
        <v>69218633.684047014</v>
      </c>
      <c r="R14" s="92">
        <f>'Costs"A"'!Q3</f>
        <v>69317235.407468334</v>
      </c>
      <c r="S14" s="92">
        <f>'Costs"A"'!R3</f>
        <v>69429158.240377218</v>
      </c>
      <c r="T14" s="92">
        <f>'Costs"A"'!S3</f>
        <v>69521450.728812605</v>
      </c>
      <c r="U14" s="92">
        <f>'Costs"A"'!T3</f>
        <v>69574584.093857989</v>
      </c>
      <c r="V14" s="92">
        <f>'Costs"A"'!U3</f>
        <v>69597723.979561836</v>
      </c>
      <c r="W14" s="92">
        <f>'Costs"A"'!V3</f>
        <v>69597723.979561836</v>
      </c>
      <c r="X14" s="92">
        <f>'Costs"A"'!W3</f>
        <v>69597723.979561836</v>
      </c>
      <c r="Y14" s="92">
        <f>'Costs"A"'!X3</f>
        <v>69597723.979561836</v>
      </c>
      <c r="Z14" s="92">
        <f>'Costs"A"'!Y3</f>
        <v>69597723.979561836</v>
      </c>
      <c r="AA14" s="92">
        <f>'Costs"A"'!Z3</f>
        <v>69597723.979561836</v>
      </c>
      <c r="AB14" s="92">
        <f>'Costs"A"'!AA3</f>
        <v>69597723.979561836</v>
      </c>
      <c r="AC14" s="92">
        <f>'Costs"A"'!AB3</f>
        <v>69597723.979561836</v>
      </c>
      <c r="AD14" s="92"/>
    </row>
    <row r="15" spans="1:30" ht="13.5" customHeight="1">
      <c r="B15" s="97" t="s">
        <v>143</v>
      </c>
      <c r="C15" s="91">
        <f>PL_data!E9</f>
        <v>4724681.74</v>
      </c>
      <c r="D15" s="91">
        <f>PL_data!F9</f>
        <v>4553965.6500000004</v>
      </c>
      <c r="E15" s="91">
        <f>PL_data!G9</f>
        <v>4841131.5999999996</v>
      </c>
      <c r="F15" s="91">
        <f>PL_data!H9</f>
        <v>5460994.3300000001</v>
      </c>
      <c r="G15" s="91">
        <f>PL_data!I9</f>
        <v>6018320.9500000002</v>
      </c>
      <c r="H15" s="91">
        <f>PL_data!J9</f>
        <v>5640106.4799999995</v>
      </c>
      <c r="I15" s="92">
        <f>'Costs"A"'!H4</f>
        <v>4625768.4790000003</v>
      </c>
      <c r="J15" s="92">
        <f>'Costs"A"'!I4</f>
        <v>4625768.4790000003</v>
      </c>
      <c r="K15" s="92">
        <f>'Costs"A"'!J4</f>
        <v>4625768.4790000003</v>
      </c>
      <c r="L15" s="92">
        <f>'Costs"A"'!K4</f>
        <v>4625768.4790000003</v>
      </c>
      <c r="M15" s="92">
        <f>'Costs"A"'!L4</f>
        <v>4625768.4790000003</v>
      </c>
      <c r="N15" s="92">
        <f>'Costs"A"'!M4</f>
        <v>4625768.4790000003</v>
      </c>
      <c r="O15" s="92">
        <f>'Costs"A"'!N4</f>
        <v>4625768.4790000003</v>
      </c>
      <c r="P15" s="92">
        <f>'Costs"A"'!O4</f>
        <v>4625768.4790000003</v>
      </c>
      <c r="Q15" s="92">
        <f>'Costs"A"'!P4</f>
        <v>4298944.6817500005</v>
      </c>
      <c r="R15" s="92">
        <f>'Costs"A"'!Q4</f>
        <v>4298944.6817500005</v>
      </c>
      <c r="S15" s="92">
        <f>'Costs"A"'!R4</f>
        <v>4298944.6817500005</v>
      </c>
      <c r="T15" s="92">
        <f>'Costs"A"'!S4</f>
        <v>4298944.6817500005</v>
      </c>
      <c r="U15" s="92">
        <f>'Costs"A"'!T4</f>
        <v>4298944.6817500005</v>
      </c>
      <c r="V15" s="92">
        <f>'Costs"A"'!U4</f>
        <v>4298944.6817500005</v>
      </c>
      <c r="W15" s="92">
        <f>'Costs"A"'!V4</f>
        <v>4298944.6817500005</v>
      </c>
      <c r="X15" s="92">
        <f>'Costs"A"'!W4</f>
        <v>4298944.6817500005</v>
      </c>
      <c r="Y15" s="92">
        <f>'Costs"A"'!X4</f>
        <v>4298944.6817500005</v>
      </c>
      <c r="Z15" s="92">
        <f>'Costs"A"'!Y4</f>
        <v>4298944.6817500005</v>
      </c>
      <c r="AA15" s="92">
        <f>'Costs"A"'!Z4</f>
        <v>4298944.6817500005</v>
      </c>
      <c r="AB15" s="92">
        <f>'Costs"A"'!AA4</f>
        <v>4298944.6817500005</v>
      </c>
      <c r="AC15" s="92">
        <f>'Costs"A"'!AB4</f>
        <v>4298944.6817500005</v>
      </c>
      <c r="AD15" s="92"/>
    </row>
    <row r="16" spans="1:30" ht="13.5" customHeight="1">
      <c r="B16" s="100" t="s">
        <v>144</v>
      </c>
      <c r="C16" s="101">
        <f t="shared" ref="C16:U16" si="7">SUM(C8,C9-C13)</f>
        <v>50016435</v>
      </c>
      <c r="D16" s="101">
        <f t="shared" si="7"/>
        <v>49826135.699999996</v>
      </c>
      <c r="E16" s="495">
        <f t="shared" si="7"/>
        <v>52123523.549999997</v>
      </c>
      <c r="F16" s="495">
        <f t="shared" si="7"/>
        <v>53880461.810000002</v>
      </c>
      <c r="G16" s="496">
        <f t="shared" si="7"/>
        <v>55924988.559999995</v>
      </c>
      <c r="H16" s="491">
        <f t="shared" si="7"/>
        <v>65819233.030000016</v>
      </c>
      <c r="I16" s="102">
        <f t="shared" si="7"/>
        <v>69767577.371053457</v>
      </c>
      <c r="J16" s="102">
        <f t="shared" si="7"/>
        <v>69396645.725712165</v>
      </c>
      <c r="K16" s="102">
        <f t="shared" si="7"/>
        <v>72235272.60055843</v>
      </c>
      <c r="L16" s="102">
        <f t="shared" si="7"/>
        <v>77453093.513569549</v>
      </c>
      <c r="M16" s="102">
        <f t="shared" si="7"/>
        <v>81345647.687376097</v>
      </c>
      <c r="N16" s="102">
        <f t="shared" si="7"/>
        <v>82104519.743638933</v>
      </c>
      <c r="O16" s="102">
        <f t="shared" si="7"/>
        <v>84972421.289773718</v>
      </c>
      <c r="P16" s="102">
        <f t="shared" si="7"/>
        <v>89292695.827915445</v>
      </c>
      <c r="Q16" s="102">
        <f t="shared" si="7"/>
        <v>91173838.519081935</v>
      </c>
      <c r="R16" s="102">
        <f t="shared" si="7"/>
        <v>91707946.191359475</v>
      </c>
      <c r="S16" s="102">
        <f t="shared" si="7"/>
        <v>92268684.812968135</v>
      </c>
      <c r="T16" s="102">
        <f t="shared" si="7"/>
        <v>92796105.43583402</v>
      </c>
      <c r="U16" s="102">
        <f t="shared" si="7"/>
        <v>93254045.417173028</v>
      </c>
      <c r="V16" s="102">
        <f t="shared" ref="V16:AC16" si="8">SUM(V8,V9-V13)</f>
        <v>93658648.196939841</v>
      </c>
      <c r="W16" s="102">
        <f t="shared" si="8"/>
        <v>91512494.63076739</v>
      </c>
      <c r="X16" s="102">
        <f t="shared" si="8"/>
        <v>91512494.63076739</v>
      </c>
      <c r="Y16" s="102">
        <f t="shared" si="8"/>
        <v>91512494.63076739</v>
      </c>
      <c r="Z16" s="102">
        <f t="shared" si="8"/>
        <v>91512494.63076739</v>
      </c>
      <c r="AA16" s="102">
        <f t="shared" si="8"/>
        <v>91512494.63076739</v>
      </c>
      <c r="AB16" s="102">
        <f t="shared" si="8"/>
        <v>91512494.63076739</v>
      </c>
      <c r="AC16" s="102">
        <f t="shared" si="8"/>
        <v>91512494.63076739</v>
      </c>
      <c r="AD16" s="92"/>
    </row>
    <row r="17" spans="2:30" ht="13.5" customHeight="1">
      <c r="B17" s="103" t="s">
        <v>145</v>
      </c>
      <c r="C17" s="104">
        <f t="shared" ref="C17" si="9">SUM(C18:C21)</f>
        <v>63880621.670000002</v>
      </c>
      <c r="D17" s="104">
        <f t="shared" ref="D17:U17" si="10">SUM(D18:D21)</f>
        <v>66871972.25</v>
      </c>
      <c r="E17" s="492">
        <f t="shared" si="10"/>
        <v>68338361.200000003</v>
      </c>
      <c r="F17" s="492">
        <f t="shared" si="10"/>
        <v>75700835.229999989</v>
      </c>
      <c r="G17" s="492">
        <f t="shared" si="10"/>
        <v>87082760.310000002</v>
      </c>
      <c r="H17" s="492">
        <f t="shared" si="10"/>
        <v>114071965.58000001</v>
      </c>
      <c r="I17" s="95">
        <f t="shared" si="10"/>
        <v>114071965.57999998</v>
      </c>
      <c r="J17" s="95">
        <f t="shared" si="10"/>
        <v>113363519.14414176</v>
      </c>
      <c r="K17" s="95">
        <f t="shared" si="10"/>
        <v>116046224.67903517</v>
      </c>
      <c r="L17" s="95">
        <f t="shared" si="10"/>
        <v>118953621.60879713</v>
      </c>
      <c r="M17" s="95">
        <f t="shared" si="10"/>
        <v>120330652.35780305</v>
      </c>
      <c r="N17" s="95">
        <f t="shared" si="10"/>
        <v>118539539.46802299</v>
      </c>
      <c r="O17" s="95">
        <f t="shared" si="10"/>
        <v>117221656.35203762</v>
      </c>
      <c r="P17" s="95">
        <f t="shared" si="10"/>
        <v>118742185.98261723</v>
      </c>
      <c r="Q17" s="95">
        <f t="shared" si="10"/>
        <v>116789417.24827206</v>
      </c>
      <c r="R17" s="95">
        <f t="shared" si="10"/>
        <v>116937766.73922463</v>
      </c>
      <c r="S17" s="95">
        <f t="shared" si="10"/>
        <v>117107579.35042515</v>
      </c>
      <c r="T17" s="95">
        <f t="shared" si="10"/>
        <v>117245828.8957276</v>
      </c>
      <c r="U17" s="95">
        <f t="shared" si="10"/>
        <v>117321107.9986808</v>
      </c>
      <c r="V17" s="95">
        <f t="shared" ref="V17:AC17" si="11">SUM(V18:V21)</f>
        <v>117348183.05671896</v>
      </c>
      <c r="W17" s="95">
        <f t="shared" si="11"/>
        <v>117348183.05671896</v>
      </c>
      <c r="X17" s="95">
        <f t="shared" si="11"/>
        <v>117348183.05671896</v>
      </c>
      <c r="Y17" s="95">
        <f t="shared" si="11"/>
        <v>117348183.05671896</v>
      </c>
      <c r="Z17" s="95">
        <f t="shared" si="11"/>
        <v>117348183.05671896</v>
      </c>
      <c r="AA17" s="95">
        <f t="shared" si="11"/>
        <v>117348183.05671896</v>
      </c>
      <c r="AB17" s="95">
        <f t="shared" si="11"/>
        <v>117348183.05671896</v>
      </c>
      <c r="AC17" s="95">
        <f t="shared" si="11"/>
        <v>117348183.05671896</v>
      </c>
      <c r="AD17" s="92"/>
    </row>
    <row r="18" spans="2:30" ht="13.5" customHeight="1">
      <c r="B18" s="97" t="s">
        <v>146</v>
      </c>
      <c r="C18" s="91">
        <f>PL_data!E15</f>
        <v>46180023.969999999</v>
      </c>
      <c r="D18" s="91">
        <f>PL_data!F15</f>
        <v>48277298.420000002</v>
      </c>
      <c r="E18" s="91">
        <f>PL_data!G15</f>
        <v>49311142.090000004</v>
      </c>
      <c r="F18" s="91">
        <f>PL_data!H15</f>
        <v>54574089.229999997</v>
      </c>
      <c r="G18" s="91">
        <f>PL_data!I15</f>
        <v>60552707.590000004</v>
      </c>
      <c r="H18" s="91">
        <f>PL_data!J15</f>
        <v>79419661.150000006</v>
      </c>
      <c r="I18" s="92">
        <f>'FTE"A"'!I24</f>
        <v>79419661.149999991</v>
      </c>
      <c r="J18" s="92">
        <f>'FTE"A"'!J24</f>
        <v>78926423.60830684</v>
      </c>
      <c r="K18" s="92">
        <f>'FTE"A"'!K24</f>
        <v>80794188.080174759</v>
      </c>
      <c r="L18" s="92">
        <f>'FTE"A"'!L24</f>
        <v>82818388.135080531</v>
      </c>
      <c r="M18" s="92">
        <f>'FTE"A"'!M24</f>
        <v>83777110.244611308</v>
      </c>
      <c r="N18" s="92">
        <f>'FTE"A"'!N24</f>
        <v>82530094.134522736</v>
      </c>
      <c r="O18" s="92">
        <f>'FTE"A"'!O24</f>
        <v>81612552.03752555</v>
      </c>
      <c r="P18" s="92">
        <f>'FTE"A"'!P24</f>
        <v>82671181.538780853</v>
      </c>
      <c r="Q18" s="92">
        <f>'FTE"A"'!Q24</f>
        <v>81311616.720225647</v>
      </c>
      <c r="R18" s="92">
        <f>'FTE"A"'!R24</f>
        <v>81414901.223506734</v>
      </c>
      <c r="S18" s="92">
        <f>'FTE"A"'!S24</f>
        <v>81533128.870167956</v>
      </c>
      <c r="T18" s="92">
        <f>'FTE"A"'!T24</f>
        <v>81629381.547030628</v>
      </c>
      <c r="U18" s="92">
        <f>'FTE"A"'!U24</f>
        <v>81681792.67905435</v>
      </c>
      <c r="V18" s="92">
        <f>'FTE"A"'!V24</f>
        <v>81700642.989242956</v>
      </c>
      <c r="W18" s="92">
        <f>'FTE"A"'!W24</f>
        <v>81700642.989242956</v>
      </c>
      <c r="X18" s="92">
        <f>'FTE"A"'!X24</f>
        <v>81700642.989242956</v>
      </c>
      <c r="Y18" s="92">
        <f>'FTE"A"'!Y24</f>
        <v>81700642.989242956</v>
      </c>
      <c r="Z18" s="92">
        <f>'FTE"A"'!Z24</f>
        <v>81700642.989242956</v>
      </c>
      <c r="AA18" s="92">
        <f>'FTE"A"'!AA24</f>
        <v>81700642.989242956</v>
      </c>
      <c r="AB18" s="92">
        <f>'FTE"A"'!AB24</f>
        <v>81700642.989242956</v>
      </c>
      <c r="AC18" s="92">
        <f>'FTE"A"'!AC24</f>
        <v>81700642.989242956</v>
      </c>
      <c r="AD18" s="92"/>
    </row>
    <row r="19" spans="2:30" ht="13.5" customHeight="1">
      <c r="B19" s="97" t="s">
        <v>147</v>
      </c>
      <c r="C19" s="91"/>
      <c r="D19" s="91"/>
      <c r="E19" s="91"/>
      <c r="F19" s="91"/>
      <c r="G19" s="91"/>
      <c r="H19" s="91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</row>
    <row r="20" spans="2:30" ht="13.5" customHeight="1">
      <c r="B20" s="97" t="s">
        <v>148</v>
      </c>
      <c r="C20" s="91">
        <f>SUM(PL_data!E16:E19)</f>
        <v>17700597.699999999</v>
      </c>
      <c r="D20" s="91">
        <f>SUM(PL_data!F16:F19)</f>
        <v>18594673.830000002</v>
      </c>
      <c r="E20" s="91">
        <f>SUM(PL_data!G16:G19)</f>
        <v>19027219.109999999</v>
      </c>
      <c r="F20" s="91">
        <f>SUM(PL_data!H16:H19)</f>
        <v>21126746</v>
      </c>
      <c r="G20" s="91">
        <f>SUM(PL_data!I16:I19)</f>
        <v>26530052.719999999</v>
      </c>
      <c r="H20" s="91">
        <f>SUM(PL_data!J16:J19)</f>
        <v>34652304.43</v>
      </c>
      <c r="I20" s="92">
        <f>'FTE"A"'!I27-'FTE"A"'!I24-'FTE"A"'!I59*'FTE"A"'!$I$60</f>
        <v>34652304.429999992</v>
      </c>
      <c r="J20" s="92">
        <f>'FTE"A"'!J27-'FTE"A"'!J24-'FTE"A"'!J59*'FTE"A"'!$I$60</f>
        <v>34437095.535834923</v>
      </c>
      <c r="K20" s="92">
        <f>'FTE"A"'!K27-'FTE"A"'!K24-'FTE"A"'!K59*'FTE"A"'!$I$60</f>
        <v>35252036.598860413</v>
      </c>
      <c r="L20" s="92">
        <f>'FTE"A"'!L27-'FTE"A"'!L24-'FTE"A"'!L59*'FTE"A"'!$I$60</f>
        <v>36135233.473716602</v>
      </c>
      <c r="M20" s="92">
        <f>'FTE"A"'!M27-'FTE"A"'!M24-'FTE"A"'!M59*'FTE"A"'!$I$60</f>
        <v>36553542.113191739</v>
      </c>
      <c r="N20" s="92">
        <f>'FTE"A"'!N27-'FTE"A"'!N24-'FTE"A"'!N59*'FTE"A"'!$I$60</f>
        <v>36009445.333500251</v>
      </c>
      <c r="O20" s="92">
        <f>'FTE"A"'!O27-'FTE"A"'!O24-'FTE"A"'!O59*'FTE"A"'!$I$60</f>
        <v>35609104.314512074</v>
      </c>
      <c r="P20" s="92">
        <f>'FTE"A"'!P27-'FTE"A"'!P24-'FTE"A"'!P59*'FTE"A"'!$I$60</f>
        <v>36071004.443836376</v>
      </c>
      <c r="Q20" s="92">
        <f>'FTE"A"'!Q27-'FTE"A"'!Q24-'FTE"A"'!Q59*'FTE"A"'!$I$60</f>
        <v>35477800.528046414</v>
      </c>
      <c r="R20" s="92">
        <f>'FTE"A"'!R27-'FTE"A"'!R24-'FTE"A"'!R59*'FTE"A"'!$I$60</f>
        <v>35522865.515717894</v>
      </c>
      <c r="S20" s="92">
        <f>'FTE"A"'!S27-'FTE"A"'!S24-'FTE"A"'!S59*'FTE"A"'!$I$60</f>
        <v>35574450.480257198</v>
      </c>
      <c r="T20" s="92">
        <f>'FTE"A"'!T27-'FTE"A"'!T24-'FTE"A"'!T59*'FTE"A"'!$I$60</f>
        <v>35616447.348696977</v>
      </c>
      <c r="U20" s="92">
        <f>'FTE"A"'!U27-'FTE"A"'!U24-'FTE"A"'!U59*'FTE"A"'!$I$60</f>
        <v>35639315.319626451</v>
      </c>
      <c r="V20" s="92">
        <f>'FTE"A"'!V27-'FTE"A"'!V24-'FTE"A"'!V59*'FTE"A"'!$I$60</f>
        <v>35647540.067476004</v>
      </c>
      <c r="W20" s="92">
        <f>'FTE"A"'!W27-'FTE"A"'!W24-'FTE"A"'!W59*'FTE"A"'!$I$60</f>
        <v>35647540.067476004</v>
      </c>
      <c r="X20" s="92">
        <f>'FTE"A"'!X27-'FTE"A"'!X24-'FTE"A"'!X59*'FTE"A"'!$I$60</f>
        <v>35647540.067476004</v>
      </c>
      <c r="Y20" s="92">
        <f>'FTE"A"'!Y27-'FTE"A"'!Y24-'FTE"A"'!Y59*'FTE"A"'!$I$60</f>
        <v>35647540.067476004</v>
      </c>
      <c r="Z20" s="92">
        <f>'FTE"A"'!Z27-'FTE"A"'!Z24-'FTE"A"'!Z59*'FTE"A"'!$I$60</f>
        <v>35647540.067476004</v>
      </c>
      <c r="AA20" s="92">
        <f>'FTE"A"'!AA27-'FTE"A"'!AA24-'FTE"A"'!AA59*'FTE"A"'!$I$60</f>
        <v>35647540.067476004</v>
      </c>
      <c r="AB20" s="92">
        <f>'FTE"A"'!AB27-'FTE"A"'!AB24-'FTE"A"'!AB59*'FTE"A"'!$I$60</f>
        <v>35647540.067476004</v>
      </c>
      <c r="AC20" s="92">
        <f>'FTE"A"'!AC27-'FTE"A"'!AC24-'FTE"A"'!AC59*'FTE"A"'!$I$60</f>
        <v>35647540.067476004</v>
      </c>
      <c r="AD20" s="92"/>
    </row>
    <row r="21" spans="2:30" ht="13.5" customHeight="1">
      <c r="B21" s="99" t="s">
        <v>218</v>
      </c>
      <c r="C21" s="91"/>
      <c r="D21" s="91"/>
      <c r="E21" s="91"/>
      <c r="F21" s="91"/>
      <c r="G21" s="91"/>
      <c r="H21" s="91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</row>
    <row r="22" spans="2:30" ht="13.5" customHeight="1">
      <c r="B22" s="93" t="s">
        <v>149</v>
      </c>
      <c r="C22" s="94">
        <f>PL_data!E20</f>
        <v>209755.82</v>
      </c>
      <c r="D22" s="94">
        <f>PL_data!F20</f>
        <v>197310.22</v>
      </c>
      <c r="E22" s="94">
        <f>PL_data!G20</f>
        <v>196038.3</v>
      </c>
      <c r="F22" s="94">
        <f>PL_data!H20</f>
        <v>268723.15999999997</v>
      </c>
      <c r="G22" s="94">
        <f>PL_data!I20</f>
        <v>350685.5</v>
      </c>
      <c r="H22" s="94">
        <f>PL_data!J20</f>
        <v>295644.62999999995</v>
      </c>
      <c r="I22" s="95">
        <f>'Costs"A"'!H45</f>
        <v>295644.63</v>
      </c>
      <c r="J22" s="95">
        <f>'Costs"A"'!I45</f>
        <v>295644.63</v>
      </c>
      <c r="K22" s="95">
        <f>'Costs"A"'!J45</f>
        <v>295644.63</v>
      </c>
      <c r="L22" s="95">
        <f>'Costs"A"'!K45</f>
        <v>295644.63</v>
      </c>
      <c r="M22" s="95">
        <f>'Costs"A"'!L45</f>
        <v>295644.63</v>
      </c>
      <c r="N22" s="95">
        <f>'Costs"A"'!M45</f>
        <v>295644.63</v>
      </c>
      <c r="O22" s="95">
        <f>'Costs"A"'!N45</f>
        <v>295644.63</v>
      </c>
      <c r="P22" s="95">
        <f>'Costs"A"'!O45</f>
        <v>295644.63</v>
      </c>
      <c r="Q22" s="95">
        <f>'Costs"A"'!P45</f>
        <v>295644.63</v>
      </c>
      <c r="R22" s="95">
        <f>'Costs"A"'!Q45</f>
        <v>295644.63</v>
      </c>
      <c r="S22" s="95">
        <f>'Costs"A"'!R45</f>
        <v>295644.63</v>
      </c>
      <c r="T22" s="95">
        <f>'Costs"A"'!S45</f>
        <v>295644.63</v>
      </c>
      <c r="U22" s="95">
        <f>'Costs"A"'!T45</f>
        <v>295644.63</v>
      </c>
      <c r="V22" s="95">
        <f>'Costs"A"'!U45</f>
        <v>295644.63</v>
      </c>
      <c r="W22" s="95">
        <f>'Costs"A"'!V45</f>
        <v>295644.63</v>
      </c>
      <c r="X22" s="95">
        <f>'Costs"A"'!W45</f>
        <v>295644.63</v>
      </c>
      <c r="Y22" s="95">
        <f>'Costs"A"'!X45</f>
        <v>295644.63</v>
      </c>
      <c r="Z22" s="95">
        <f>'Costs"A"'!Y45</f>
        <v>295644.63</v>
      </c>
      <c r="AA22" s="95">
        <f>'Costs"A"'!Z45</f>
        <v>295644.63</v>
      </c>
      <c r="AB22" s="95">
        <f>'Costs"A"'!AA45</f>
        <v>295644.63</v>
      </c>
      <c r="AC22" s="95">
        <f>'Costs"A"'!AB45</f>
        <v>295644.63</v>
      </c>
      <c r="AD22" s="92"/>
    </row>
    <row r="23" spans="2:30" ht="13.5" customHeight="1">
      <c r="B23" s="93" t="s">
        <v>150</v>
      </c>
      <c r="C23" s="94">
        <f>PL_data!E33</f>
        <v>6129480.5199999996</v>
      </c>
      <c r="D23" s="94">
        <f>PL_data!F33</f>
        <v>3137294.2</v>
      </c>
      <c r="E23" s="94">
        <f>PL_data!G33</f>
        <v>3230372.16</v>
      </c>
      <c r="F23" s="94">
        <f>PL_data!H33</f>
        <v>3423404.12</v>
      </c>
      <c r="G23" s="94">
        <f>PL_data!I33</f>
        <v>3970695.57</v>
      </c>
      <c r="H23" s="94">
        <f>PL_data!J33</f>
        <v>4445128.2300000004</v>
      </c>
      <c r="I23" s="712">
        <f>'Costs"A"'!H55+'Costs"A"'!H56</f>
        <v>4576757.6347500011</v>
      </c>
      <c r="J23" s="712">
        <f>'Costs"A"'!I55+'Costs"A"'!I56</f>
        <v>5219863.2021748722</v>
      </c>
      <c r="K23" s="712">
        <f>'Costs"A"'!J55+'Costs"A"'!J56</f>
        <v>8549341.8620966394</v>
      </c>
      <c r="L23" s="712">
        <f>'Costs"A"'!K55+'Costs"A"'!K56</f>
        <v>13243816.506763393</v>
      </c>
      <c r="M23" s="712">
        <f>'Costs"A"'!L55+'Costs"A"'!L56</f>
        <v>22575420.307578012</v>
      </c>
      <c r="N23" s="712">
        <f>'Costs"A"'!M55+'Costs"A"'!M56</f>
        <v>24581598.381007757</v>
      </c>
      <c r="O23" s="712">
        <f>'Costs"A"'!N55+'Costs"A"'!N56</f>
        <v>29597043.564582117</v>
      </c>
      <c r="P23" s="712">
        <f>'Costs"A"'!O55+'Costs"A"'!O56</f>
        <v>40596050.049678989</v>
      </c>
      <c r="Q23" s="712">
        <f>'Costs"A"'!P55+'Costs"A"'!P56</f>
        <v>39887899.066013843</v>
      </c>
      <c r="R23" s="712">
        <f>'Costs"A"'!Q55+'Costs"A"'!Q56</f>
        <v>38166317.416075371</v>
      </c>
      <c r="S23" s="712">
        <f>'Costs"A"'!R55+'Costs"A"'!R56</f>
        <v>37875768.395189077</v>
      </c>
      <c r="T23" s="712">
        <f>'Costs"A"'!S55+'Costs"A"'!S56</f>
        <v>30226426.394690357</v>
      </c>
      <c r="U23" s="712">
        <f>'Costs"A"'!T55+'Costs"A"'!T56</f>
        <v>30474090.321889669</v>
      </c>
      <c r="V23" s="712">
        <f>'Costs"A"'!U55+'Costs"A"'!U56</f>
        <v>30726707.527632959</v>
      </c>
      <c r="W23" s="712">
        <f>'Costs"A"'!V55+'Costs"A"'!V56</f>
        <v>20331391.244221445</v>
      </c>
      <c r="X23" s="712">
        <f>'Costs"A"'!W55+'Costs"A"'!W56</f>
        <v>20365410.998741925</v>
      </c>
      <c r="Y23" s="712">
        <f>'Costs"A"'!X55+'Costs"A"'!X56</f>
        <v>19776127.208352823</v>
      </c>
      <c r="Z23" s="712">
        <f>'Costs"A"'!Y55+'Costs"A"'!Y56</f>
        <v>18882292.140955918</v>
      </c>
      <c r="AA23" s="712">
        <f>'Costs"A"'!Z55+'Costs"A"'!Z56</f>
        <v>18918394.176611088</v>
      </c>
      <c r="AB23" s="712">
        <f>'Costs"A"'!AA55+'Costs"A"'!AA56</f>
        <v>18955218.252979357</v>
      </c>
      <c r="AC23" s="712">
        <f>'Costs"A"'!AB55+'Costs"A"'!AB56</f>
        <v>18992778.810874995</v>
      </c>
      <c r="AD23" s="92"/>
    </row>
    <row r="24" spans="2:30" ht="13.5" customHeight="1">
      <c r="B24" s="93" t="s">
        <v>151</v>
      </c>
      <c r="C24" s="96">
        <f t="shared" ref="C24" si="12">SUM(C25:C26)</f>
        <v>194833.33</v>
      </c>
      <c r="D24" s="96">
        <f t="shared" ref="D24:U24" si="13">SUM(D25:D26)</f>
        <v>2993.8</v>
      </c>
      <c r="E24" s="96">
        <f t="shared" si="13"/>
        <v>0</v>
      </c>
      <c r="F24" s="96">
        <f t="shared" si="13"/>
        <v>289400</v>
      </c>
      <c r="G24" s="151">
        <f t="shared" si="13"/>
        <v>4621.63</v>
      </c>
      <c r="H24" s="94">
        <f t="shared" si="13"/>
        <v>0</v>
      </c>
      <c r="I24" s="95">
        <f t="shared" si="13"/>
        <v>0</v>
      </c>
      <c r="J24" s="95">
        <f t="shared" si="13"/>
        <v>0</v>
      </c>
      <c r="K24" s="95">
        <f t="shared" si="13"/>
        <v>0</v>
      </c>
      <c r="L24" s="95">
        <f t="shared" si="13"/>
        <v>0</v>
      </c>
      <c r="M24" s="95">
        <f t="shared" si="13"/>
        <v>0</v>
      </c>
      <c r="N24" s="95">
        <f t="shared" si="13"/>
        <v>0</v>
      </c>
      <c r="O24" s="95">
        <f t="shared" si="13"/>
        <v>0</v>
      </c>
      <c r="P24" s="95">
        <f t="shared" si="13"/>
        <v>0</v>
      </c>
      <c r="Q24" s="95">
        <f t="shared" si="13"/>
        <v>0</v>
      </c>
      <c r="R24" s="95">
        <f t="shared" si="13"/>
        <v>0</v>
      </c>
      <c r="S24" s="95">
        <f t="shared" si="13"/>
        <v>0</v>
      </c>
      <c r="T24" s="95">
        <f t="shared" si="13"/>
        <v>0</v>
      </c>
      <c r="U24" s="95">
        <f t="shared" si="13"/>
        <v>0</v>
      </c>
      <c r="V24" s="95">
        <f t="shared" ref="V24:AC24" si="14">SUM(V25:V26)</f>
        <v>0</v>
      </c>
      <c r="W24" s="95">
        <f t="shared" si="14"/>
        <v>0</v>
      </c>
      <c r="X24" s="95">
        <f t="shared" si="14"/>
        <v>0</v>
      </c>
      <c r="Y24" s="95">
        <f t="shared" si="14"/>
        <v>0</v>
      </c>
      <c r="Z24" s="95">
        <f t="shared" si="14"/>
        <v>0</v>
      </c>
      <c r="AA24" s="95">
        <f t="shared" si="14"/>
        <v>0</v>
      </c>
      <c r="AB24" s="95">
        <f t="shared" si="14"/>
        <v>0</v>
      </c>
      <c r="AC24" s="95">
        <f t="shared" si="14"/>
        <v>0</v>
      </c>
      <c r="AD24" s="92"/>
    </row>
    <row r="25" spans="2:30" ht="13.5" customHeight="1">
      <c r="B25" s="97" t="s">
        <v>152</v>
      </c>
      <c r="C25" s="91">
        <f>PL_data!E88+PL_data!E89</f>
        <v>194833.33</v>
      </c>
      <c r="D25" s="91">
        <f>PL_data!F88+PL_data!F89</f>
        <v>2993.8</v>
      </c>
      <c r="E25" s="91">
        <f>PL_data!G88+PL_data!G89</f>
        <v>0</v>
      </c>
      <c r="F25" s="91">
        <f>PL_data!H88+PL_data!H89</f>
        <v>289400</v>
      </c>
      <c r="G25" s="91">
        <f>PL_data!I88+PL_data!I89</f>
        <v>4621.63</v>
      </c>
      <c r="H25" s="91">
        <f>PL_data!J88+PL_data!J89</f>
        <v>0</v>
      </c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</row>
    <row r="26" spans="2:30" ht="13.5" customHeight="1">
      <c r="B26" s="97" t="s">
        <v>153</v>
      </c>
      <c r="C26" s="91"/>
      <c r="D26" s="91"/>
      <c r="E26" s="91"/>
      <c r="F26" s="91"/>
      <c r="G26" s="91"/>
      <c r="H26" s="91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</row>
    <row r="27" spans="2:30" ht="13.5" customHeight="1">
      <c r="B27" s="93" t="s">
        <v>154</v>
      </c>
      <c r="C27" s="96">
        <f t="shared" ref="C27" si="15">SUM(C28:C29)</f>
        <v>0</v>
      </c>
      <c r="D27" s="96">
        <f t="shared" ref="D27:U27" si="16">SUM(D28:D29)</f>
        <v>0</v>
      </c>
      <c r="E27" s="96">
        <f t="shared" si="16"/>
        <v>0</v>
      </c>
      <c r="F27" s="96">
        <f t="shared" si="16"/>
        <v>0</v>
      </c>
      <c r="G27" s="151">
        <f t="shared" si="16"/>
        <v>0</v>
      </c>
      <c r="H27" s="94">
        <f t="shared" si="16"/>
        <v>0</v>
      </c>
      <c r="I27" s="95">
        <f t="shared" si="16"/>
        <v>0</v>
      </c>
      <c r="J27" s="95">
        <f t="shared" si="16"/>
        <v>0</v>
      </c>
      <c r="K27" s="95">
        <f t="shared" si="16"/>
        <v>0</v>
      </c>
      <c r="L27" s="95">
        <f t="shared" si="16"/>
        <v>0</v>
      </c>
      <c r="M27" s="95">
        <f t="shared" si="16"/>
        <v>0</v>
      </c>
      <c r="N27" s="95">
        <f t="shared" si="16"/>
        <v>0</v>
      </c>
      <c r="O27" s="95">
        <f t="shared" si="16"/>
        <v>0</v>
      </c>
      <c r="P27" s="95">
        <f t="shared" si="16"/>
        <v>0</v>
      </c>
      <c r="Q27" s="95">
        <f t="shared" si="16"/>
        <v>0</v>
      </c>
      <c r="R27" s="95">
        <f t="shared" si="16"/>
        <v>0</v>
      </c>
      <c r="S27" s="95">
        <f t="shared" si="16"/>
        <v>0</v>
      </c>
      <c r="T27" s="95">
        <f t="shared" si="16"/>
        <v>0</v>
      </c>
      <c r="U27" s="95">
        <f t="shared" si="16"/>
        <v>0</v>
      </c>
      <c r="V27" s="95">
        <f t="shared" ref="V27:AC27" si="17">SUM(V28:V29)</f>
        <v>0</v>
      </c>
      <c r="W27" s="95">
        <f t="shared" si="17"/>
        <v>0</v>
      </c>
      <c r="X27" s="95">
        <f t="shared" si="17"/>
        <v>0</v>
      </c>
      <c r="Y27" s="95">
        <f t="shared" si="17"/>
        <v>0</v>
      </c>
      <c r="Z27" s="95">
        <f t="shared" si="17"/>
        <v>0</v>
      </c>
      <c r="AA27" s="95">
        <f t="shared" si="17"/>
        <v>0</v>
      </c>
      <c r="AB27" s="95">
        <f t="shared" si="17"/>
        <v>0</v>
      </c>
      <c r="AC27" s="95">
        <f t="shared" si="17"/>
        <v>0</v>
      </c>
      <c r="AD27" s="92"/>
    </row>
    <row r="28" spans="2:30" ht="13.5" customHeight="1">
      <c r="B28" s="97" t="s">
        <v>155</v>
      </c>
      <c r="C28" s="98"/>
      <c r="D28" s="98"/>
      <c r="E28" s="98"/>
      <c r="F28" s="98"/>
      <c r="G28" s="152"/>
      <c r="H28" s="91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</row>
    <row r="29" spans="2:30" ht="13.5" customHeight="1">
      <c r="B29" s="97" t="s">
        <v>156</v>
      </c>
      <c r="C29" s="98"/>
      <c r="D29" s="98"/>
      <c r="E29" s="98"/>
      <c r="F29" s="98"/>
      <c r="G29" s="152"/>
      <c r="H29" s="91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</row>
    <row r="30" spans="2:30" ht="13.5" customHeight="1">
      <c r="B30" s="93" t="s">
        <v>157</v>
      </c>
      <c r="C30" s="96">
        <f>C32-C31</f>
        <v>-810267.88000000035</v>
      </c>
      <c r="D30" s="96">
        <f t="shared" ref="D30:U30" si="18">D32-D31</f>
        <v>-781846.05000000028</v>
      </c>
      <c r="E30" s="96">
        <f t="shared" si="18"/>
        <v>1538827.54</v>
      </c>
      <c r="F30" s="96">
        <f t="shared" si="18"/>
        <v>602980.93000000017</v>
      </c>
      <c r="G30" s="151">
        <f t="shared" si="18"/>
        <v>16976668.879999999</v>
      </c>
      <c r="H30" s="94">
        <f t="shared" si="18"/>
        <v>10256009.540000001</v>
      </c>
      <c r="I30" s="95">
        <f t="shared" si="18"/>
        <v>3445871.5727297021</v>
      </c>
      <c r="J30" s="95">
        <f t="shared" si="18"/>
        <v>3443533.6994913686</v>
      </c>
      <c r="K30" s="95">
        <f t="shared" si="18"/>
        <v>3452386.6277565174</v>
      </c>
      <c r="L30" s="95">
        <f t="shared" si="18"/>
        <v>3461981.0376247335</v>
      </c>
      <c r="M30" s="95">
        <f t="shared" si="18"/>
        <v>3466525.2390964553</v>
      </c>
      <c r="N30" s="95">
        <f t="shared" si="18"/>
        <v>3460614.566560179</v>
      </c>
      <c r="O30" s="95">
        <f t="shared" si="18"/>
        <v>3456265.5522774272</v>
      </c>
      <c r="P30" s="95">
        <f t="shared" si="18"/>
        <v>3461283.3000583425</v>
      </c>
      <c r="Q30" s="95">
        <f t="shared" si="18"/>
        <v>3400738.8378238045</v>
      </c>
      <c r="R30" s="95">
        <f t="shared" si="18"/>
        <v>3401228.3911439478</v>
      </c>
      <c r="S30" s="95">
        <f t="shared" si="18"/>
        <v>3401788.7727609091</v>
      </c>
      <c r="T30" s="95">
        <f t="shared" si="18"/>
        <v>3402244.9962604102</v>
      </c>
      <c r="U30" s="95">
        <f t="shared" si="18"/>
        <v>3402493.4173001517</v>
      </c>
      <c r="V30" s="95">
        <f t="shared" ref="V30:AC30" si="19">V32-V31</f>
        <v>3402582.7649916783</v>
      </c>
      <c r="W30" s="95">
        <f t="shared" si="19"/>
        <v>3402582.764991682</v>
      </c>
      <c r="X30" s="95">
        <f t="shared" si="19"/>
        <v>3402582.764991683</v>
      </c>
      <c r="Y30" s="95">
        <f t="shared" si="19"/>
        <v>3402582.764991683</v>
      </c>
      <c r="Z30" s="95">
        <f t="shared" si="19"/>
        <v>3402582.7649916811</v>
      </c>
      <c r="AA30" s="95">
        <f t="shared" si="19"/>
        <v>3402582.7649916839</v>
      </c>
      <c r="AB30" s="95">
        <f t="shared" si="19"/>
        <v>3402582.7649916806</v>
      </c>
      <c r="AC30" s="95">
        <f t="shared" si="19"/>
        <v>3402582.7649916811</v>
      </c>
      <c r="AD30" s="92"/>
    </row>
    <row r="31" spans="2:30" ht="13.5" customHeight="1">
      <c r="B31" s="97" t="s">
        <v>1041</v>
      </c>
      <c r="C31" s="91">
        <f>PL_data!E95</f>
        <v>4368225.57</v>
      </c>
      <c r="D31" s="91">
        <f>PL_data!F95</f>
        <v>3135530.72</v>
      </c>
      <c r="E31" s="91">
        <f>PL_data!G95</f>
        <v>1304184.8500000001</v>
      </c>
      <c r="F31" s="91">
        <f>PL_data!H95</f>
        <v>2788397.42</v>
      </c>
      <c r="G31" s="91">
        <f>PL_data!I95</f>
        <v>842174.89999999991</v>
      </c>
      <c r="H31" s="91">
        <f>PL_data!J95</f>
        <v>1248333.77</v>
      </c>
      <c r="I31" s="92">
        <f>'Revenues"A"'!H30</f>
        <v>0</v>
      </c>
      <c r="J31" s="92">
        <f>'Revenues"A"'!I30</f>
        <v>0</v>
      </c>
      <c r="K31" s="92">
        <f>'Revenues"A"'!J30</f>
        <v>0</v>
      </c>
      <c r="L31" s="92">
        <f>'Revenues"A"'!K30</f>
        <v>0</v>
      </c>
      <c r="M31" s="92">
        <f>'Revenues"A"'!L30</f>
        <v>0</v>
      </c>
      <c r="N31" s="92">
        <f>'Revenues"A"'!M30</f>
        <v>0</v>
      </c>
      <c r="O31" s="92">
        <f>'Revenues"A"'!N30</f>
        <v>0</v>
      </c>
      <c r="P31" s="92">
        <f>'Revenues"A"'!O30</f>
        <v>0</v>
      </c>
      <c r="Q31" s="92">
        <f>'Revenues"A"'!P30</f>
        <v>0</v>
      </c>
      <c r="R31" s="92">
        <f>'Revenues"A"'!Q30</f>
        <v>0</v>
      </c>
      <c r="S31" s="92">
        <f>'Revenues"A"'!R30</f>
        <v>0</v>
      </c>
      <c r="T31" s="92">
        <f>'Revenues"A"'!S30</f>
        <v>0</v>
      </c>
      <c r="U31" s="92">
        <f>'Revenues"A"'!T30</f>
        <v>0</v>
      </c>
      <c r="V31" s="92">
        <f>'Revenues"A"'!U30</f>
        <v>0</v>
      </c>
      <c r="W31" s="92">
        <f>'Revenues"A"'!V30</f>
        <v>0</v>
      </c>
      <c r="X31" s="92">
        <f>'Revenues"A"'!W30</f>
        <v>0</v>
      </c>
      <c r="Y31" s="92">
        <f>'Revenues"A"'!X30</f>
        <v>0</v>
      </c>
      <c r="Z31" s="92">
        <f>'Revenues"A"'!Y30</f>
        <v>0</v>
      </c>
      <c r="AA31" s="92">
        <f>'Revenues"A"'!Z30</f>
        <v>0</v>
      </c>
      <c r="AB31" s="92">
        <f>'Revenues"A"'!AA30</f>
        <v>0</v>
      </c>
      <c r="AC31" s="92">
        <f>'Revenues"A"'!AB30</f>
        <v>0</v>
      </c>
      <c r="AD31" s="92"/>
    </row>
    <row r="32" spans="2:30" ht="13.5" customHeight="1">
      <c r="B32" s="97" t="s">
        <v>1039</v>
      </c>
      <c r="C32" s="91">
        <f>PL_data!E34</f>
        <v>3557957.69</v>
      </c>
      <c r="D32" s="91">
        <f>PL_data!F34</f>
        <v>2353684.67</v>
      </c>
      <c r="E32" s="91">
        <f>PL_data!G34</f>
        <v>2843012.39</v>
      </c>
      <c r="F32" s="91">
        <f>PL_data!H34</f>
        <v>3391378.35</v>
      </c>
      <c r="G32" s="91">
        <f>PL_data!I34</f>
        <v>17818843.779999997</v>
      </c>
      <c r="H32" s="91">
        <f>PL_data!J34</f>
        <v>11504343.310000001</v>
      </c>
      <c r="I32" s="92">
        <f>'Costs"A"'!H44-'Costs"A"'!H47-'Costs"A"'!H55-'Costs"A"'!H56</f>
        <v>3445871.5727297021</v>
      </c>
      <c r="J32" s="92">
        <f>'Costs"A"'!I44-'Costs"A"'!I47-'Costs"A"'!I55-'Costs"A"'!I56</f>
        <v>3443533.6994913686</v>
      </c>
      <c r="K32" s="92">
        <f>'Costs"A"'!J44-'Costs"A"'!J47-'Costs"A"'!J55-'Costs"A"'!J56</f>
        <v>3452386.6277565174</v>
      </c>
      <c r="L32" s="92">
        <f>'Costs"A"'!K44-'Costs"A"'!K47-'Costs"A"'!K55-'Costs"A"'!K56</f>
        <v>3461981.0376247335</v>
      </c>
      <c r="M32" s="92">
        <f>'Costs"A"'!L44-'Costs"A"'!L47-'Costs"A"'!L55-'Costs"A"'!L56</f>
        <v>3466525.2390964553</v>
      </c>
      <c r="N32" s="92">
        <f>'Costs"A"'!M44-'Costs"A"'!M47-'Costs"A"'!M55-'Costs"A"'!M56</f>
        <v>3460614.566560179</v>
      </c>
      <c r="O32" s="92">
        <f>'Costs"A"'!N44-'Costs"A"'!N47-'Costs"A"'!N55-'Costs"A"'!N56</f>
        <v>3456265.5522774272</v>
      </c>
      <c r="P32" s="92">
        <f>'Costs"A"'!O44-'Costs"A"'!O47-'Costs"A"'!O55-'Costs"A"'!O56</f>
        <v>3461283.3000583425</v>
      </c>
      <c r="Q32" s="92">
        <f>'Costs"A"'!P44-'Costs"A"'!P47-'Costs"A"'!P55-'Costs"A"'!P56</f>
        <v>3400738.8378238045</v>
      </c>
      <c r="R32" s="92">
        <f>'Costs"A"'!Q44-'Costs"A"'!Q47-'Costs"A"'!Q55-'Costs"A"'!Q56</f>
        <v>3401228.3911439478</v>
      </c>
      <c r="S32" s="92">
        <f>'Costs"A"'!R44-'Costs"A"'!R47-'Costs"A"'!R55-'Costs"A"'!R56</f>
        <v>3401788.7727609091</v>
      </c>
      <c r="T32" s="92">
        <f>'Costs"A"'!S44-'Costs"A"'!S47-'Costs"A"'!S55-'Costs"A"'!S56</f>
        <v>3402244.9962604102</v>
      </c>
      <c r="U32" s="92">
        <f>'Costs"A"'!T44-'Costs"A"'!T47-'Costs"A"'!T55-'Costs"A"'!T56</f>
        <v>3402493.4173001517</v>
      </c>
      <c r="V32" s="92">
        <f>'Costs"A"'!U44-'Costs"A"'!U47-'Costs"A"'!U55-'Costs"A"'!U56</f>
        <v>3402582.7649916783</v>
      </c>
      <c r="W32" s="92">
        <f>'Costs"A"'!V44-'Costs"A"'!V47-'Costs"A"'!V55-'Costs"A"'!V56</f>
        <v>3402582.764991682</v>
      </c>
      <c r="X32" s="92">
        <f>'Costs"A"'!W44-'Costs"A"'!W47-'Costs"A"'!W55-'Costs"A"'!W56</f>
        <v>3402582.764991683</v>
      </c>
      <c r="Y32" s="92">
        <f>'Costs"A"'!X44-'Costs"A"'!X47-'Costs"A"'!X55-'Costs"A"'!X56</f>
        <v>3402582.764991683</v>
      </c>
      <c r="Z32" s="92">
        <f>'Costs"A"'!Y44-'Costs"A"'!Y47-'Costs"A"'!Y55-'Costs"A"'!Y56</f>
        <v>3402582.7649916811</v>
      </c>
      <c r="AA32" s="92">
        <f>'Costs"A"'!Z44-'Costs"A"'!Z47-'Costs"A"'!Z55-'Costs"A"'!Z56</f>
        <v>3402582.7649916839</v>
      </c>
      <c r="AB32" s="92">
        <f>'Costs"A"'!AA44-'Costs"A"'!AA47-'Costs"A"'!AA55-'Costs"A"'!AA56</f>
        <v>3402582.7649916806</v>
      </c>
      <c r="AC32" s="92">
        <f>'Costs"A"'!AB44-'Costs"A"'!AB47-'Costs"A"'!AB55-'Costs"A"'!AB56</f>
        <v>3402582.7649916811</v>
      </c>
      <c r="AD32" s="92"/>
    </row>
    <row r="33" spans="2:30" ht="13.5" customHeight="1">
      <c r="B33" s="93" t="s">
        <v>158</v>
      </c>
      <c r="C33" s="96">
        <f>SUM(C34:C36)</f>
        <v>3008393.21</v>
      </c>
      <c r="D33" s="96">
        <f t="shared" ref="D33:U33" si="20">SUM(D34:D36)</f>
        <v>4325937.68</v>
      </c>
      <c r="E33" s="96">
        <f t="shared" si="20"/>
        <v>28055791.98</v>
      </c>
      <c r="F33" s="96">
        <f t="shared" si="20"/>
        <v>28562724.199999999</v>
      </c>
      <c r="G33" s="151">
        <f t="shared" si="20"/>
        <v>38569187.309999995</v>
      </c>
      <c r="H33" s="493">
        <f t="shared" si="20"/>
        <v>48091411.140000001</v>
      </c>
      <c r="I33" s="95">
        <f t="shared" si="20"/>
        <v>2818020.645</v>
      </c>
      <c r="J33" s="95">
        <f t="shared" si="20"/>
        <v>2814831.9788734629</v>
      </c>
      <c r="K33" s="95">
        <f t="shared" si="20"/>
        <v>3217053.4814531836</v>
      </c>
      <c r="L33" s="95">
        <f t="shared" si="20"/>
        <v>4026486.9583925353</v>
      </c>
      <c r="M33" s="95">
        <f t="shared" si="20"/>
        <v>4614647.2837669831</v>
      </c>
      <c r="N33" s="95">
        <f t="shared" si="20"/>
        <v>5192643.8782981755</v>
      </c>
      <c r="O33" s="95">
        <f t="shared" si="20"/>
        <v>6613537.0216919212</v>
      </c>
      <c r="P33" s="95">
        <f t="shared" si="20"/>
        <v>8091852.9018391017</v>
      </c>
      <c r="Q33" s="95">
        <f t="shared" si="20"/>
        <v>9496155.8194098901</v>
      </c>
      <c r="R33" s="95">
        <f t="shared" si="20"/>
        <v>9649744.8432202563</v>
      </c>
      <c r="S33" s="95">
        <f t="shared" si="20"/>
        <v>9805490.6285109147</v>
      </c>
      <c r="T33" s="95">
        <f t="shared" si="20"/>
        <v>9960885.1430071164</v>
      </c>
      <c r="U33" s="95">
        <f t="shared" si="20"/>
        <v>10115471.447384005</v>
      </c>
      <c r="V33" s="95">
        <f t="shared" ref="V33:AC33" si="21">SUM(V34:V36)</f>
        <v>10269530.602086637</v>
      </c>
      <c r="W33" s="95">
        <f t="shared" si="21"/>
        <v>10266569.70388568</v>
      </c>
      <c r="X33" s="95">
        <f t="shared" si="21"/>
        <v>10263608.805684719</v>
      </c>
      <c r="Y33" s="95">
        <f t="shared" si="21"/>
        <v>10260647.90748376</v>
      </c>
      <c r="Z33" s="95">
        <f t="shared" si="21"/>
        <v>10257687.009282803</v>
      </c>
      <c r="AA33" s="95">
        <f t="shared" si="21"/>
        <v>10254726.111081842</v>
      </c>
      <c r="AB33" s="95">
        <f t="shared" si="21"/>
        <v>10251765.212880885</v>
      </c>
      <c r="AC33" s="95">
        <f t="shared" si="21"/>
        <v>10248804.314679924</v>
      </c>
      <c r="AD33" s="92"/>
    </row>
    <row r="34" spans="2:30" ht="13.5" customHeight="1">
      <c r="B34" s="97" t="s">
        <v>1038</v>
      </c>
      <c r="C34" s="91">
        <f>SUM(PL_data!E90:E93)</f>
        <v>137666.56</v>
      </c>
      <c r="D34" s="91">
        <f>SUM(PL_data!F90:F93)</f>
        <v>2315161.5999999996</v>
      </c>
      <c r="E34" s="91">
        <f>SUM(PL_data!G90:G93)</f>
        <v>26047703.530000001</v>
      </c>
      <c r="F34" s="91">
        <f>SUM(PL_data!H90:H93)</f>
        <v>25157453.629999999</v>
      </c>
      <c r="G34" s="91">
        <f>SUM(PL_data!I90:I93)</f>
        <v>30983199.079999998</v>
      </c>
      <c r="H34" s="91">
        <f>SUM(PL_data!J90:J93)</f>
        <v>2113476.08</v>
      </c>
      <c r="I34" s="92">
        <f>'Revenues"A"'!H31</f>
        <v>2818020.645</v>
      </c>
      <c r="J34" s="92">
        <f>'Revenues"A"'!I31</f>
        <v>2818020.645</v>
      </c>
      <c r="K34" s="92">
        <f>'Revenues"A"'!J31</f>
        <v>2818020.645</v>
      </c>
      <c r="L34" s="92">
        <f>'Revenues"A"'!K31</f>
        <v>2818020.645</v>
      </c>
      <c r="M34" s="92">
        <f>'Revenues"A"'!L31</f>
        <v>2818020.645</v>
      </c>
      <c r="N34" s="92">
        <f>'Revenues"A"'!M31</f>
        <v>2818020.645</v>
      </c>
      <c r="O34" s="92">
        <f>'Revenues"A"'!N31</f>
        <v>2818020.645</v>
      </c>
      <c r="P34" s="92">
        <f>'Revenues"A"'!O31</f>
        <v>2818020.645</v>
      </c>
      <c r="Q34" s="92">
        <f>'Revenues"A"'!P31</f>
        <v>2818020.645</v>
      </c>
      <c r="R34" s="92">
        <f>'Revenues"A"'!Q31</f>
        <v>2818020.645</v>
      </c>
      <c r="S34" s="92">
        <f>'Revenues"A"'!R31</f>
        <v>2818020.645</v>
      </c>
      <c r="T34" s="92">
        <f>'Revenues"A"'!S31</f>
        <v>2818020.645</v>
      </c>
      <c r="U34" s="92">
        <f>'Revenues"A"'!T31</f>
        <v>2818020.645</v>
      </c>
      <c r="V34" s="92">
        <f>'Revenues"A"'!U31</f>
        <v>2818020.645</v>
      </c>
      <c r="W34" s="92">
        <f>'Revenues"A"'!V31</f>
        <v>2818020.645</v>
      </c>
      <c r="X34" s="92">
        <f>'Revenues"A"'!W31</f>
        <v>2818020.645</v>
      </c>
      <c r="Y34" s="92">
        <f>'Revenues"A"'!X31</f>
        <v>2818020.645</v>
      </c>
      <c r="Z34" s="92">
        <f>'Revenues"A"'!Y31</f>
        <v>2818020.645</v>
      </c>
      <c r="AA34" s="92">
        <f>'Revenues"A"'!Z31</f>
        <v>2818020.645</v>
      </c>
      <c r="AB34" s="92">
        <f>'Revenues"A"'!AA31</f>
        <v>2818020.645</v>
      </c>
      <c r="AC34" s="92">
        <f>'Revenues"A"'!AB31</f>
        <v>2818020.645</v>
      </c>
      <c r="AD34" s="92"/>
    </row>
    <row r="35" spans="2:30" s="981" customFormat="1" ht="13.5" customHeight="1">
      <c r="B35" s="982" t="s">
        <v>3240</v>
      </c>
      <c r="C35" s="983"/>
      <c r="D35" s="983"/>
      <c r="E35" s="983"/>
      <c r="F35" s="983"/>
      <c r="G35" s="983"/>
      <c r="H35" s="983"/>
      <c r="I35" s="984">
        <f>'Revenues"A"'!H38</f>
        <v>0</v>
      </c>
      <c r="J35" s="984">
        <f>'Revenues"A"'!I38</f>
        <v>-3188.6661265369085</v>
      </c>
      <c r="K35" s="984">
        <f>'Revenues"A"'!J38</f>
        <v>399032.83645318309</v>
      </c>
      <c r="L35" s="984">
        <f>'Revenues"A"'!K38</f>
        <v>1208466.3133925353</v>
      </c>
      <c r="M35" s="984">
        <f>'Revenues"A"'!L38</f>
        <v>1796626.6387669831</v>
      </c>
      <c r="N35" s="984">
        <f>'Revenues"A"'!M38</f>
        <v>2374623.2332981755</v>
      </c>
      <c r="O35" s="984">
        <f>'Revenues"A"'!N38</f>
        <v>3795516.3766919211</v>
      </c>
      <c r="P35" s="984">
        <f>'Revenues"A"'!O38</f>
        <v>5273832.2568391012</v>
      </c>
      <c r="Q35" s="984">
        <f>'Revenues"A"'!P38</f>
        <v>6678135.1744098905</v>
      </c>
      <c r="R35" s="984">
        <f>'Revenues"A"'!Q38</f>
        <v>6831724.1982202567</v>
      </c>
      <c r="S35" s="984">
        <f>'Revenues"A"'!R38</f>
        <v>6987469.9835109152</v>
      </c>
      <c r="T35" s="984">
        <f>'Revenues"A"'!S38</f>
        <v>7142864.4980071168</v>
      </c>
      <c r="U35" s="984">
        <f>'Revenues"A"'!T38</f>
        <v>7297450.8023840059</v>
      </c>
      <c r="V35" s="984">
        <f>'Revenues"A"'!U38</f>
        <v>7451509.9570866376</v>
      </c>
      <c r="W35" s="984">
        <f>'Revenues"A"'!V38</f>
        <v>7448549.0588856796</v>
      </c>
      <c r="X35" s="984">
        <f>'Revenues"A"'!W38</f>
        <v>7445588.1606847197</v>
      </c>
      <c r="Y35" s="984">
        <f>'Revenues"A"'!X38</f>
        <v>7442627.2624837598</v>
      </c>
      <c r="Z35" s="984">
        <f>'Revenues"A"'!Y38</f>
        <v>7439666.3642828027</v>
      </c>
      <c r="AA35" s="984">
        <f>'Revenues"A"'!Z38</f>
        <v>7436705.4660818418</v>
      </c>
      <c r="AB35" s="984">
        <f>'Revenues"A"'!AA38</f>
        <v>7433744.5678808847</v>
      </c>
      <c r="AC35" s="984">
        <f>'Revenues"A"'!AB38</f>
        <v>7430783.6696799248</v>
      </c>
      <c r="AD35" s="984"/>
    </row>
    <row r="36" spans="2:30" ht="13.5" customHeight="1">
      <c r="B36" s="97" t="s">
        <v>1040</v>
      </c>
      <c r="C36" s="91">
        <f>PL_data!E118-PL_data!E57</f>
        <v>2870726.65</v>
      </c>
      <c r="D36" s="91">
        <f>PL_data!F118-PL_data!F57</f>
        <v>2010776.08</v>
      </c>
      <c r="E36" s="91">
        <f>PL_data!G118-PL_data!G57</f>
        <v>2008088.45</v>
      </c>
      <c r="F36" s="91">
        <f>PL_data!H118-PL_data!H57</f>
        <v>3405270.57</v>
      </c>
      <c r="G36" s="91">
        <f>PL_data!I118-PL_data!I57</f>
        <v>7585988.2299999995</v>
      </c>
      <c r="H36" s="91">
        <f>PL_data!J118-PL_data!J57</f>
        <v>45977935.060000002</v>
      </c>
      <c r="I36" s="92">
        <f>'Revenues"A"'!H28-'Revenues"A"'!H35-'Revenues"A"'!H31-'Revenues"A"'!H30</f>
        <v>0</v>
      </c>
      <c r="J36" s="92">
        <f>'Revenues"A"'!I28-'Revenues"A"'!I35-'Revenues"A"'!I31-'Revenues"A"'!I30</f>
        <v>0</v>
      </c>
      <c r="K36" s="92">
        <f>'Revenues"A"'!J28-'Revenues"A"'!J35-'Revenues"A"'!J31-'Revenues"A"'!J30</f>
        <v>4.6566128730773926E-10</v>
      </c>
      <c r="L36" s="92">
        <f>'Revenues"A"'!K28-'Revenues"A"'!K35-'Revenues"A"'!K31-'Revenues"A"'!K30</f>
        <v>0</v>
      </c>
      <c r="M36" s="92">
        <f>'Revenues"A"'!L28-'Revenues"A"'!L35-'Revenues"A"'!L31-'Revenues"A"'!L30</f>
        <v>0</v>
      </c>
      <c r="N36" s="92">
        <f>'Revenues"A"'!M28-'Revenues"A"'!M35-'Revenues"A"'!M31-'Revenues"A"'!M30</f>
        <v>0</v>
      </c>
      <c r="O36" s="92">
        <f>'Revenues"A"'!N28-'Revenues"A"'!N35-'Revenues"A"'!N31-'Revenues"A"'!N30</f>
        <v>0</v>
      </c>
      <c r="P36" s="92">
        <f>'Revenues"A"'!O28-'Revenues"A"'!O35-'Revenues"A"'!O31-'Revenues"A"'!O30</f>
        <v>0</v>
      </c>
      <c r="Q36" s="92">
        <f>'Revenues"A"'!P28-'Revenues"A"'!P35-'Revenues"A"'!P31-'Revenues"A"'!P30</f>
        <v>0</v>
      </c>
      <c r="R36" s="92">
        <f>'Revenues"A"'!Q28-'Revenues"A"'!Q35-'Revenues"A"'!Q31-'Revenues"A"'!Q30</f>
        <v>0</v>
      </c>
      <c r="S36" s="92">
        <f>'Revenues"A"'!R28-'Revenues"A"'!R35-'Revenues"A"'!R31-'Revenues"A"'!R30</f>
        <v>0</v>
      </c>
      <c r="T36" s="92">
        <f>'Revenues"A"'!S28-'Revenues"A"'!S35-'Revenues"A"'!S31-'Revenues"A"'!S30</f>
        <v>0</v>
      </c>
      <c r="U36" s="92">
        <f>'Revenues"A"'!T28-'Revenues"A"'!T35-'Revenues"A"'!T31-'Revenues"A"'!T30</f>
        <v>0</v>
      </c>
      <c r="V36" s="92">
        <f>'Revenues"A"'!U28-'Revenues"A"'!U35-'Revenues"A"'!U31-'Revenues"A"'!U30</f>
        <v>4.6566128730773926E-10</v>
      </c>
      <c r="W36" s="92">
        <f>'Revenues"A"'!V28-'Revenues"A"'!V35-'Revenues"A"'!V31-'Revenues"A"'!V30</f>
        <v>4.6566128730773926E-10</v>
      </c>
      <c r="X36" s="92">
        <f>'Revenues"A"'!W28-'Revenues"A"'!W35-'Revenues"A"'!W31-'Revenues"A"'!W30</f>
        <v>4.6566128730773926E-10</v>
      </c>
      <c r="Y36" s="92">
        <f>'Revenues"A"'!X28-'Revenues"A"'!X35-'Revenues"A"'!X31-'Revenues"A"'!X30</f>
        <v>4.6566128730773926E-10</v>
      </c>
      <c r="Z36" s="92">
        <f>'Revenues"A"'!Y28-'Revenues"A"'!Y35-'Revenues"A"'!Y31-'Revenues"A"'!Y30</f>
        <v>4.6566128730773926E-10</v>
      </c>
      <c r="AA36" s="92">
        <f>'Revenues"A"'!Z28-'Revenues"A"'!Z35-'Revenues"A"'!Z31-'Revenues"A"'!Z30</f>
        <v>4.6566128730773926E-10</v>
      </c>
      <c r="AB36" s="92">
        <f>'Revenues"A"'!AA28-'Revenues"A"'!AA35-'Revenues"A"'!AA31-'Revenues"A"'!AA30</f>
        <v>4.6566128730773926E-10</v>
      </c>
      <c r="AC36" s="92">
        <f>'Revenues"A"'!AB28-'Revenues"A"'!AB35-'Revenues"A"'!AB31-'Revenues"A"'!AB30</f>
        <v>4.6566128730773926E-10</v>
      </c>
      <c r="AD36" s="92"/>
    </row>
    <row r="37" spans="2:30" ht="13.5" customHeight="1">
      <c r="B37" s="93" t="s">
        <v>159</v>
      </c>
      <c r="C37" s="96">
        <f>PL_data!E24</f>
        <v>2250633.2000000002</v>
      </c>
      <c r="D37" s="96">
        <f>PL_data!F24</f>
        <v>1982898.65</v>
      </c>
      <c r="E37" s="96">
        <f>PL_data!G24</f>
        <v>4384639.75</v>
      </c>
      <c r="F37" s="96">
        <f>PL_data!H24</f>
        <v>2903203.29</v>
      </c>
      <c r="G37" s="151">
        <f>PL_data!I24</f>
        <v>11114182.4</v>
      </c>
      <c r="H37" s="94">
        <f>PL_data!J24</f>
        <v>4081613.36</v>
      </c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2"/>
    </row>
    <row r="38" spans="2:30" ht="13.5" customHeight="1">
      <c r="B38" s="100" t="s">
        <v>160</v>
      </c>
      <c r="C38" s="101">
        <f t="shared" ref="C38:U38" si="22">C16+C24+C33-C17-C22-C23-C27-C30-C37</f>
        <v>-18440561.790000003</v>
      </c>
      <c r="D38" s="101">
        <f t="shared" si="22"/>
        <v>-17252562.090000007</v>
      </c>
      <c r="E38" s="495">
        <f t="shared" si="22"/>
        <v>2491076.5799999973</v>
      </c>
      <c r="F38" s="495">
        <f t="shared" si="22"/>
        <v>-166560.71999998437</v>
      </c>
      <c r="G38" s="496">
        <f t="shared" si="22"/>
        <v>-24996195.160000004</v>
      </c>
      <c r="H38" s="491">
        <f t="shared" si="22"/>
        <v>-19239717.169999998</v>
      </c>
      <c r="I38" s="102">
        <f t="shared" si="22"/>
        <v>-49804641.401426233</v>
      </c>
      <c r="J38" s="102">
        <f t="shared" si="22"/>
        <v>-50111082.971222378</v>
      </c>
      <c r="K38" s="102">
        <f t="shared" si="22"/>
        <v>-52891271.716876715</v>
      </c>
      <c r="L38" s="102">
        <f t="shared" si="22"/>
        <v>-54475483.311223179</v>
      </c>
      <c r="M38" s="102">
        <f t="shared" si="22"/>
        <v>-60707947.563334435</v>
      </c>
      <c r="N38" s="102">
        <f t="shared" si="22"/>
        <v>-59580233.423653811</v>
      </c>
      <c r="O38" s="102">
        <f t="shared" si="22"/>
        <v>-58984651.787431538</v>
      </c>
      <c r="P38" s="102">
        <f t="shared" si="22"/>
        <v>-65710615.232600011</v>
      </c>
      <c r="Q38" s="102">
        <f t="shared" si="22"/>
        <v>-59703705.44361788</v>
      </c>
      <c r="R38" s="102">
        <f t="shared" si="22"/>
        <v>-57443266.141864225</v>
      </c>
      <c r="S38" s="102">
        <f t="shared" si="22"/>
        <v>-56606605.706896082</v>
      </c>
      <c r="T38" s="102">
        <f t="shared" si="22"/>
        <v>-48413154.337837242</v>
      </c>
      <c r="U38" s="102">
        <f t="shared" si="22"/>
        <v>-48123819.503313594</v>
      </c>
      <c r="V38" s="102">
        <f t="shared" ref="V38:AC38" si="23">V16+V24+V33-V17-V22-V23-V27-V30-V37</f>
        <v>-47844939.180317126</v>
      </c>
      <c r="W38" s="102">
        <f t="shared" si="23"/>
        <v>-39598737.361279026</v>
      </c>
      <c r="X38" s="102">
        <f t="shared" si="23"/>
        <v>-39635718.014000468</v>
      </c>
      <c r="Y38" s="102">
        <f t="shared" si="23"/>
        <v>-39049395.121812321</v>
      </c>
      <c r="Z38" s="102">
        <f t="shared" si="23"/>
        <v>-38158520.952616371</v>
      </c>
      <c r="AA38" s="102">
        <f t="shared" si="23"/>
        <v>-38197583.886472508</v>
      </c>
      <c r="AB38" s="102">
        <f t="shared" si="23"/>
        <v>-38237368.861041725</v>
      </c>
      <c r="AC38" s="102">
        <f t="shared" si="23"/>
        <v>-38277890.317138322</v>
      </c>
      <c r="AD38" s="92"/>
    </row>
    <row r="39" spans="2:30" ht="13.5" customHeight="1">
      <c r="B39" s="97" t="s">
        <v>161</v>
      </c>
      <c r="C39" s="91"/>
      <c r="D39" s="91"/>
      <c r="E39" s="91"/>
      <c r="F39" s="91"/>
      <c r="G39" s="91"/>
      <c r="H39" s="91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2:30" ht="13.5" customHeight="1">
      <c r="B40" s="97" t="s">
        <v>162</v>
      </c>
      <c r="C40" s="91"/>
      <c r="D40" s="91"/>
      <c r="E40" s="91"/>
      <c r="F40" s="91"/>
      <c r="G40" s="91"/>
      <c r="H40" s="91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2:30" ht="13.5" customHeight="1">
      <c r="B41" s="97" t="s">
        <v>163</v>
      </c>
      <c r="C41" s="91"/>
      <c r="D41" s="91"/>
      <c r="E41" s="91"/>
      <c r="F41" s="91"/>
      <c r="G41" s="91"/>
      <c r="H41" s="91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2:30" ht="13.5" customHeight="1">
      <c r="B42" s="97" t="s">
        <v>164</v>
      </c>
      <c r="C42" s="91">
        <f>PL_data!E104</f>
        <v>333.11</v>
      </c>
      <c r="D42" s="91">
        <f>PL_data!F104</f>
        <v>361.68</v>
      </c>
      <c r="E42" s="91">
        <f>PL_data!G104</f>
        <v>478.89</v>
      </c>
      <c r="F42" s="91">
        <f>PL_data!H104</f>
        <v>437.84</v>
      </c>
      <c r="G42" s="91">
        <f>PL_data!I104</f>
        <v>730.83999999999992</v>
      </c>
      <c r="H42" s="91">
        <f>PL_data!J104</f>
        <v>1435.4699999999998</v>
      </c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</row>
    <row r="43" spans="2:30" ht="13.5" customHeight="1">
      <c r="B43" s="97" t="s">
        <v>165</v>
      </c>
      <c r="C43" s="91">
        <f>PL_data!E43</f>
        <v>100498.87</v>
      </c>
      <c r="D43" s="91">
        <f>PL_data!F43</f>
        <v>104119.42</v>
      </c>
      <c r="E43" s="91">
        <f>PL_data!G43</f>
        <v>105916.24</v>
      </c>
      <c r="F43" s="91">
        <f>PL_data!H43</f>
        <v>109929.74</v>
      </c>
      <c r="G43" s="91">
        <f>PL_data!I43</f>
        <v>114814.56</v>
      </c>
      <c r="H43" s="91">
        <f>PL_data!J43</f>
        <v>116020.66</v>
      </c>
      <c r="I43" s="92">
        <f>'Costs"A"'!H47</f>
        <v>117128.3567</v>
      </c>
      <c r="J43" s="92">
        <f>'Costs"A"'!I47</f>
        <v>117128.3567</v>
      </c>
      <c r="K43" s="92">
        <f>'Costs"A"'!J47</f>
        <v>117128.3567</v>
      </c>
      <c r="L43" s="92">
        <f>'Costs"A"'!K47</f>
        <v>117128.3567</v>
      </c>
      <c r="M43" s="92">
        <f>'Costs"A"'!L47</f>
        <v>117128.3567</v>
      </c>
      <c r="N43" s="92">
        <f>'Costs"A"'!M47</f>
        <v>117128.3567</v>
      </c>
      <c r="O43" s="92">
        <f>'Costs"A"'!N47</f>
        <v>117128.3567</v>
      </c>
      <c r="P43" s="92">
        <f>'Costs"A"'!O47</f>
        <v>117128.3567</v>
      </c>
      <c r="Q43" s="92">
        <f>'Costs"A"'!P47</f>
        <v>117128.3567</v>
      </c>
      <c r="R43" s="92">
        <f>'Costs"A"'!Q47</f>
        <v>117128.3567</v>
      </c>
      <c r="S43" s="92">
        <f>'Costs"A"'!R47</f>
        <v>117128.3567</v>
      </c>
      <c r="T43" s="92">
        <f>'Costs"A"'!S47</f>
        <v>117128.3567</v>
      </c>
      <c r="U43" s="92">
        <f>'Costs"A"'!T47</f>
        <v>117128.3567</v>
      </c>
      <c r="V43" s="92">
        <f>'Costs"A"'!U47</f>
        <v>117128.3567</v>
      </c>
      <c r="W43" s="92">
        <f>'Costs"A"'!V47</f>
        <v>117128.3567</v>
      </c>
      <c r="X43" s="92">
        <f>'Costs"A"'!W47</f>
        <v>117128.3567</v>
      </c>
      <c r="Y43" s="92">
        <f>'Costs"A"'!X47</f>
        <v>117128.3567</v>
      </c>
      <c r="Z43" s="92">
        <f>'Costs"A"'!Y47</f>
        <v>117128.3567</v>
      </c>
      <c r="AA43" s="92">
        <f>'Costs"A"'!Z47</f>
        <v>117128.3567</v>
      </c>
      <c r="AB43" s="92">
        <f>'Costs"A"'!AA47</f>
        <v>117128.3567</v>
      </c>
      <c r="AC43" s="92">
        <f>'Costs"A"'!AB47</f>
        <v>117128.3567</v>
      </c>
    </row>
    <row r="44" spans="2:30" ht="13.5" customHeight="1">
      <c r="B44" s="100" t="s">
        <v>166</v>
      </c>
      <c r="C44" s="101">
        <f>SUM(C39,C40,C42)-SUM(,C41,C43)</f>
        <v>-100165.75999999999</v>
      </c>
      <c r="D44" s="101">
        <f t="shared" ref="D44:U44" si="24">SUM(D39,D40,D42)-SUM(,D41,D43)</f>
        <v>-103757.74</v>
      </c>
      <c r="E44" s="495">
        <f t="shared" si="24"/>
        <v>-105437.35</v>
      </c>
      <c r="F44" s="495">
        <f t="shared" si="24"/>
        <v>-109491.90000000001</v>
      </c>
      <c r="G44" s="496">
        <f t="shared" si="24"/>
        <v>-114083.72</v>
      </c>
      <c r="H44" s="491">
        <f t="shared" si="24"/>
        <v>-114585.19</v>
      </c>
      <c r="I44" s="102">
        <f t="shared" si="24"/>
        <v>-117128.3567</v>
      </c>
      <c r="J44" s="102">
        <f t="shared" si="24"/>
        <v>-117128.3567</v>
      </c>
      <c r="K44" s="102">
        <f t="shared" si="24"/>
        <v>-117128.3567</v>
      </c>
      <c r="L44" s="102">
        <f t="shared" si="24"/>
        <v>-117128.3567</v>
      </c>
      <c r="M44" s="102">
        <f t="shared" si="24"/>
        <v>-117128.3567</v>
      </c>
      <c r="N44" s="102">
        <f t="shared" si="24"/>
        <v>-117128.3567</v>
      </c>
      <c r="O44" s="102">
        <f t="shared" si="24"/>
        <v>-117128.3567</v>
      </c>
      <c r="P44" s="102">
        <f t="shared" si="24"/>
        <v>-117128.3567</v>
      </c>
      <c r="Q44" s="102">
        <f t="shared" si="24"/>
        <v>-117128.3567</v>
      </c>
      <c r="R44" s="102">
        <f t="shared" si="24"/>
        <v>-117128.3567</v>
      </c>
      <c r="S44" s="102">
        <f t="shared" si="24"/>
        <v>-117128.3567</v>
      </c>
      <c r="T44" s="102">
        <f t="shared" si="24"/>
        <v>-117128.3567</v>
      </c>
      <c r="U44" s="102">
        <f t="shared" si="24"/>
        <v>-117128.3567</v>
      </c>
      <c r="V44" s="102">
        <f t="shared" ref="V44:AC44" si="25">SUM(V39,V40,V42)-SUM(,V41,V43)</f>
        <v>-117128.3567</v>
      </c>
      <c r="W44" s="102">
        <f t="shared" si="25"/>
        <v>-117128.3567</v>
      </c>
      <c r="X44" s="102">
        <f t="shared" si="25"/>
        <v>-117128.3567</v>
      </c>
      <c r="Y44" s="102">
        <f t="shared" si="25"/>
        <v>-117128.3567</v>
      </c>
      <c r="Z44" s="102">
        <f t="shared" si="25"/>
        <v>-117128.3567</v>
      </c>
      <c r="AA44" s="102">
        <f t="shared" si="25"/>
        <v>-117128.3567</v>
      </c>
      <c r="AB44" s="102">
        <f t="shared" si="25"/>
        <v>-117128.3567</v>
      </c>
      <c r="AC44" s="102">
        <f t="shared" si="25"/>
        <v>-117128.3567</v>
      </c>
    </row>
    <row r="45" spans="2:30" ht="13.5" customHeight="1">
      <c r="B45" s="93" t="s">
        <v>167</v>
      </c>
      <c r="C45" s="96">
        <f t="shared" ref="C45" si="26">SUM(C46:C47)</f>
        <v>49734.48</v>
      </c>
      <c r="D45" s="96">
        <f t="shared" ref="D45:U45" si="27">SUM(D46:D47)</f>
        <v>8220.94</v>
      </c>
      <c r="E45" s="96">
        <f t="shared" si="27"/>
        <v>8142.71</v>
      </c>
      <c r="F45" s="96">
        <f t="shared" si="27"/>
        <v>65784.350000000006</v>
      </c>
      <c r="G45" s="151">
        <f t="shared" si="27"/>
        <v>1577.33</v>
      </c>
      <c r="H45" s="94">
        <f t="shared" si="27"/>
        <v>53353.52</v>
      </c>
      <c r="I45" s="95">
        <f t="shared" si="27"/>
        <v>0</v>
      </c>
      <c r="J45" s="95">
        <f t="shared" si="27"/>
        <v>0</v>
      </c>
      <c r="K45" s="95">
        <f t="shared" si="27"/>
        <v>0</v>
      </c>
      <c r="L45" s="95">
        <f t="shared" si="27"/>
        <v>0</v>
      </c>
      <c r="M45" s="95">
        <f t="shared" si="27"/>
        <v>0</v>
      </c>
      <c r="N45" s="95">
        <f t="shared" si="27"/>
        <v>0</v>
      </c>
      <c r="O45" s="95">
        <f t="shared" si="27"/>
        <v>0</v>
      </c>
      <c r="P45" s="95">
        <f t="shared" si="27"/>
        <v>0</v>
      </c>
      <c r="Q45" s="95">
        <f t="shared" si="27"/>
        <v>0</v>
      </c>
      <c r="R45" s="95">
        <f t="shared" si="27"/>
        <v>0</v>
      </c>
      <c r="S45" s="95">
        <f t="shared" si="27"/>
        <v>0</v>
      </c>
      <c r="T45" s="95">
        <f t="shared" si="27"/>
        <v>0</v>
      </c>
      <c r="U45" s="95">
        <f t="shared" si="27"/>
        <v>0</v>
      </c>
      <c r="V45" s="95">
        <f t="shared" ref="V45:AC45" si="28">SUM(V46:V47)</f>
        <v>0</v>
      </c>
      <c r="W45" s="95">
        <f t="shared" si="28"/>
        <v>0</v>
      </c>
      <c r="X45" s="95">
        <f t="shared" si="28"/>
        <v>0</v>
      </c>
      <c r="Y45" s="95">
        <f t="shared" si="28"/>
        <v>0</v>
      </c>
      <c r="Z45" s="95">
        <f t="shared" si="28"/>
        <v>0</v>
      </c>
      <c r="AA45" s="95">
        <f t="shared" si="28"/>
        <v>0</v>
      </c>
      <c r="AB45" s="95">
        <f t="shared" si="28"/>
        <v>0</v>
      </c>
      <c r="AC45" s="95">
        <f t="shared" si="28"/>
        <v>0</v>
      </c>
    </row>
    <row r="46" spans="2:30" ht="13.5" customHeight="1">
      <c r="B46" s="97" t="s">
        <v>168</v>
      </c>
      <c r="C46" s="98">
        <f>PL_data!E140</f>
        <v>49734.48</v>
      </c>
      <c r="D46" s="98">
        <f>PL_data!F140</f>
        <v>8220.94</v>
      </c>
      <c r="E46" s="98">
        <f>PL_data!G140</f>
        <v>8142.71</v>
      </c>
      <c r="F46" s="98">
        <f>PL_data!H140</f>
        <v>65784.350000000006</v>
      </c>
      <c r="G46" s="152">
        <f>PL_data!I140</f>
        <v>1577.33</v>
      </c>
      <c r="H46" s="91">
        <f>PL_data!J140</f>
        <v>53353.52</v>
      </c>
      <c r="I46" s="92">
        <f t="shared" ref="I46:R46" si="29">+MAX(0,I56*I66)</f>
        <v>0</v>
      </c>
      <c r="J46" s="92">
        <f t="shared" si="29"/>
        <v>0</v>
      </c>
      <c r="K46" s="92">
        <f t="shared" si="29"/>
        <v>0</v>
      </c>
      <c r="L46" s="92">
        <f t="shared" si="29"/>
        <v>0</v>
      </c>
      <c r="M46" s="92">
        <f t="shared" si="29"/>
        <v>0</v>
      </c>
      <c r="N46" s="92">
        <f t="shared" si="29"/>
        <v>0</v>
      </c>
      <c r="O46" s="92">
        <f t="shared" si="29"/>
        <v>0</v>
      </c>
      <c r="P46" s="92">
        <f t="shared" si="29"/>
        <v>0</v>
      </c>
      <c r="Q46" s="92">
        <f t="shared" si="29"/>
        <v>0</v>
      </c>
      <c r="R46" s="92">
        <f t="shared" si="29"/>
        <v>0</v>
      </c>
      <c r="S46" s="92">
        <f t="shared" ref="S46:U46" si="30">+MAX(0,S56*S66)</f>
        <v>0</v>
      </c>
      <c r="T46" s="92">
        <f t="shared" si="30"/>
        <v>0</v>
      </c>
      <c r="U46" s="92">
        <f t="shared" si="30"/>
        <v>0</v>
      </c>
      <c r="V46" s="92">
        <f t="shared" ref="V46:AC46" si="31">+MAX(0,V56*V66)</f>
        <v>0</v>
      </c>
      <c r="W46" s="92">
        <f t="shared" si="31"/>
        <v>0</v>
      </c>
      <c r="X46" s="92">
        <f t="shared" si="31"/>
        <v>0</v>
      </c>
      <c r="Y46" s="92">
        <f t="shared" si="31"/>
        <v>0</v>
      </c>
      <c r="Z46" s="92">
        <f t="shared" si="31"/>
        <v>0</v>
      </c>
      <c r="AA46" s="92">
        <f t="shared" si="31"/>
        <v>0</v>
      </c>
      <c r="AB46" s="92">
        <f t="shared" si="31"/>
        <v>0</v>
      </c>
      <c r="AC46" s="92">
        <f t="shared" si="31"/>
        <v>0</v>
      </c>
    </row>
    <row r="47" spans="2:30" ht="13.5" customHeight="1">
      <c r="B47" s="97" t="s">
        <v>169</v>
      </c>
      <c r="C47" s="98"/>
      <c r="D47" s="98"/>
      <c r="E47" s="98"/>
      <c r="F47" s="98"/>
      <c r="G47" s="152"/>
      <c r="H47" s="91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</row>
    <row r="48" spans="2:30" ht="13.5" customHeight="1">
      <c r="B48" s="100" t="s">
        <v>170</v>
      </c>
      <c r="C48" s="101">
        <f t="shared" ref="C48:U48" si="32">SUM(C38,C44)-SUM(C45)</f>
        <v>-18590462.030000005</v>
      </c>
      <c r="D48" s="101">
        <f t="shared" si="32"/>
        <v>-17364540.770000007</v>
      </c>
      <c r="E48" s="495">
        <f t="shared" si="32"/>
        <v>2377496.5199999972</v>
      </c>
      <c r="F48" s="495">
        <f t="shared" si="32"/>
        <v>-341836.96999998437</v>
      </c>
      <c r="G48" s="496">
        <f t="shared" si="32"/>
        <v>-25111856.210000001</v>
      </c>
      <c r="H48" s="491">
        <f t="shared" ref="H48" si="33">SUM(H38,H44)-SUM(H45)</f>
        <v>-19407655.879999999</v>
      </c>
      <c r="I48" s="102">
        <f t="shared" si="32"/>
        <v>-49921769.758126236</v>
      </c>
      <c r="J48" s="102">
        <f t="shared" si="32"/>
        <v>-50228211.327922381</v>
      </c>
      <c r="K48" s="102">
        <f t="shared" si="32"/>
        <v>-53008400.073576719</v>
      </c>
      <c r="L48" s="102">
        <f t="shared" si="32"/>
        <v>-54592611.667923182</v>
      </c>
      <c r="M48" s="102">
        <f t="shared" si="32"/>
        <v>-60825075.920034438</v>
      </c>
      <c r="N48" s="102">
        <f t="shared" si="32"/>
        <v>-59697361.780353814</v>
      </c>
      <c r="O48" s="102">
        <f t="shared" si="32"/>
        <v>-59101780.144131541</v>
      </c>
      <c r="P48" s="102">
        <f t="shared" si="32"/>
        <v>-65827743.589300014</v>
      </c>
      <c r="Q48" s="102">
        <f t="shared" si="32"/>
        <v>-59820833.800317883</v>
      </c>
      <c r="R48" s="102">
        <f t="shared" si="32"/>
        <v>-57560394.498564228</v>
      </c>
      <c r="S48" s="102">
        <f t="shared" si="32"/>
        <v>-56723734.063596085</v>
      </c>
      <c r="T48" s="102">
        <f t="shared" si="32"/>
        <v>-48530282.694537245</v>
      </c>
      <c r="U48" s="102">
        <f t="shared" si="32"/>
        <v>-48240947.860013597</v>
      </c>
      <c r="V48" s="102">
        <f t="shared" ref="V48:AC48" si="34">SUM(V38,V44)-SUM(V45)</f>
        <v>-47962067.537017129</v>
      </c>
      <c r="W48" s="102">
        <f t="shared" si="34"/>
        <v>-39715865.717979029</v>
      </c>
      <c r="X48" s="102">
        <f t="shared" si="34"/>
        <v>-39752846.370700471</v>
      </c>
      <c r="Y48" s="102">
        <f t="shared" si="34"/>
        <v>-39166523.478512324</v>
      </c>
      <c r="Z48" s="102">
        <f t="shared" si="34"/>
        <v>-38275649.309316374</v>
      </c>
      <c r="AA48" s="102">
        <f t="shared" si="34"/>
        <v>-38314712.243172511</v>
      </c>
      <c r="AB48" s="102">
        <f t="shared" si="34"/>
        <v>-38354497.217741728</v>
      </c>
      <c r="AC48" s="102">
        <f t="shared" si="34"/>
        <v>-38395018.673838325</v>
      </c>
    </row>
    <row r="49" spans="1:29" ht="13.5" customHeight="1">
      <c r="B49" s="97" t="s">
        <v>171</v>
      </c>
      <c r="C49" s="98">
        <f>PL_data!E113</f>
        <v>81035.89</v>
      </c>
      <c r="D49" s="98">
        <f>PL_data!F113</f>
        <v>31728.76</v>
      </c>
      <c r="E49" s="98">
        <f>PL_data!G113</f>
        <v>641.16</v>
      </c>
      <c r="F49" s="98">
        <f>PL_data!H113</f>
        <v>173.66</v>
      </c>
      <c r="G49" s="152">
        <f>PL_data!I113</f>
        <v>31555.13</v>
      </c>
      <c r="H49" s="91">
        <f>PL_data!J113</f>
        <v>187.62</v>
      </c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</row>
    <row r="50" spans="1:29" ht="13.5" customHeight="1">
      <c r="B50" s="97" t="s">
        <v>172</v>
      </c>
      <c r="C50" s="98"/>
      <c r="D50" s="98"/>
      <c r="E50" s="98"/>
      <c r="F50" s="98"/>
      <c r="G50" s="152"/>
      <c r="H50" s="91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</row>
    <row r="51" spans="1:29" ht="13.5" customHeight="1">
      <c r="B51" s="93" t="s">
        <v>173</v>
      </c>
      <c r="C51" s="96">
        <f t="shared" ref="C51" si="35">SUM(C52:C53)</f>
        <v>0</v>
      </c>
      <c r="D51" s="96">
        <f t="shared" ref="D51:U51" si="36">SUM(D52:D53)</f>
        <v>0</v>
      </c>
      <c r="E51" s="96">
        <f t="shared" si="36"/>
        <v>0</v>
      </c>
      <c r="F51" s="96">
        <f t="shared" si="36"/>
        <v>0</v>
      </c>
      <c r="G51" s="151">
        <f t="shared" si="36"/>
        <v>0</v>
      </c>
      <c r="H51" s="94">
        <f t="shared" si="36"/>
        <v>0</v>
      </c>
      <c r="I51" s="95">
        <f t="shared" si="36"/>
        <v>0</v>
      </c>
      <c r="J51" s="95">
        <f t="shared" si="36"/>
        <v>0</v>
      </c>
      <c r="K51" s="95">
        <f t="shared" si="36"/>
        <v>0</v>
      </c>
      <c r="L51" s="95">
        <f t="shared" si="36"/>
        <v>0</v>
      </c>
      <c r="M51" s="95">
        <f t="shared" si="36"/>
        <v>0</v>
      </c>
      <c r="N51" s="95">
        <f t="shared" si="36"/>
        <v>0</v>
      </c>
      <c r="O51" s="95">
        <f t="shared" si="36"/>
        <v>0</v>
      </c>
      <c r="P51" s="95">
        <f t="shared" si="36"/>
        <v>0</v>
      </c>
      <c r="Q51" s="95">
        <f t="shared" si="36"/>
        <v>0</v>
      </c>
      <c r="R51" s="95">
        <f t="shared" si="36"/>
        <v>0</v>
      </c>
      <c r="S51" s="95">
        <f t="shared" si="36"/>
        <v>0</v>
      </c>
      <c r="T51" s="95">
        <f t="shared" si="36"/>
        <v>0</v>
      </c>
      <c r="U51" s="95">
        <f t="shared" si="36"/>
        <v>0</v>
      </c>
      <c r="V51" s="95">
        <f t="shared" ref="V51:AC51" si="37">SUM(V52:V53)</f>
        <v>0</v>
      </c>
      <c r="W51" s="95">
        <f t="shared" si="37"/>
        <v>0</v>
      </c>
      <c r="X51" s="95">
        <f t="shared" si="37"/>
        <v>0</v>
      </c>
      <c r="Y51" s="95">
        <f t="shared" si="37"/>
        <v>0</v>
      </c>
      <c r="Z51" s="95">
        <f t="shared" si="37"/>
        <v>0</v>
      </c>
      <c r="AA51" s="95">
        <f t="shared" si="37"/>
        <v>0</v>
      </c>
      <c r="AB51" s="95">
        <f t="shared" si="37"/>
        <v>0</v>
      </c>
      <c r="AC51" s="95">
        <f t="shared" si="37"/>
        <v>0</v>
      </c>
    </row>
    <row r="52" spans="1:29" ht="13.5" customHeight="1">
      <c r="B52" s="97" t="s">
        <v>168</v>
      </c>
      <c r="C52" s="98"/>
      <c r="D52" s="98"/>
      <c r="E52" s="98"/>
      <c r="F52" s="98"/>
      <c r="G52" s="152"/>
      <c r="H52" s="91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</row>
    <row r="53" spans="1:29" ht="13.5" customHeight="1">
      <c r="B53" s="97" t="s">
        <v>169</v>
      </c>
      <c r="C53" s="98"/>
      <c r="D53" s="98"/>
      <c r="E53" s="98"/>
      <c r="F53" s="98"/>
      <c r="G53" s="152"/>
      <c r="H53" s="91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</row>
    <row r="54" spans="1:29" ht="13.5" customHeight="1">
      <c r="B54" s="100" t="s">
        <v>174</v>
      </c>
      <c r="C54" s="101">
        <f t="shared" ref="C54:U54" si="38">C49-C50-C51</f>
        <v>81035.89</v>
      </c>
      <c r="D54" s="101">
        <f t="shared" si="38"/>
        <v>31728.76</v>
      </c>
      <c r="E54" s="495">
        <f t="shared" si="38"/>
        <v>641.16</v>
      </c>
      <c r="F54" s="495">
        <f t="shared" si="38"/>
        <v>173.66</v>
      </c>
      <c r="G54" s="496">
        <f t="shared" si="38"/>
        <v>31555.13</v>
      </c>
      <c r="H54" s="491">
        <f t="shared" si="38"/>
        <v>187.62</v>
      </c>
      <c r="I54" s="102">
        <f t="shared" si="38"/>
        <v>0</v>
      </c>
      <c r="J54" s="102">
        <f t="shared" si="38"/>
        <v>0</v>
      </c>
      <c r="K54" s="102">
        <f t="shared" si="38"/>
        <v>0</v>
      </c>
      <c r="L54" s="102">
        <f t="shared" si="38"/>
        <v>0</v>
      </c>
      <c r="M54" s="102">
        <f t="shared" si="38"/>
        <v>0</v>
      </c>
      <c r="N54" s="102">
        <f t="shared" si="38"/>
        <v>0</v>
      </c>
      <c r="O54" s="102">
        <f t="shared" si="38"/>
        <v>0</v>
      </c>
      <c r="P54" s="102">
        <f t="shared" si="38"/>
        <v>0</v>
      </c>
      <c r="Q54" s="102">
        <f t="shared" si="38"/>
        <v>0</v>
      </c>
      <c r="R54" s="102">
        <f t="shared" si="38"/>
        <v>0</v>
      </c>
      <c r="S54" s="102">
        <f t="shared" si="38"/>
        <v>0</v>
      </c>
      <c r="T54" s="102">
        <f t="shared" si="38"/>
        <v>0</v>
      </c>
      <c r="U54" s="102">
        <f t="shared" si="38"/>
        <v>0</v>
      </c>
      <c r="V54" s="102">
        <f t="shared" ref="V54:AC54" si="39">V49-V50-V51</f>
        <v>0</v>
      </c>
      <c r="W54" s="102">
        <f t="shared" si="39"/>
        <v>0</v>
      </c>
      <c r="X54" s="102">
        <f t="shared" si="39"/>
        <v>0</v>
      </c>
      <c r="Y54" s="102">
        <f t="shared" si="39"/>
        <v>0</v>
      </c>
      <c r="Z54" s="102">
        <f t="shared" si="39"/>
        <v>0</v>
      </c>
      <c r="AA54" s="102">
        <f t="shared" si="39"/>
        <v>0</v>
      </c>
      <c r="AB54" s="102">
        <f t="shared" si="39"/>
        <v>0</v>
      </c>
      <c r="AC54" s="102">
        <f t="shared" si="39"/>
        <v>0</v>
      </c>
    </row>
    <row r="55" spans="1:29" ht="13.5" customHeight="1">
      <c r="B55" s="100" t="s">
        <v>175</v>
      </c>
      <c r="C55" s="101">
        <f t="shared" ref="C55:U55" si="40">C48+C54</f>
        <v>-18509426.140000004</v>
      </c>
      <c r="D55" s="101">
        <f t="shared" si="40"/>
        <v>-17332812.010000005</v>
      </c>
      <c r="E55" s="495">
        <f t="shared" si="40"/>
        <v>2378137.6799999974</v>
      </c>
      <c r="F55" s="495">
        <f t="shared" si="40"/>
        <v>-341663.3099999844</v>
      </c>
      <c r="G55" s="496">
        <f t="shared" si="40"/>
        <v>-25080301.080000002</v>
      </c>
      <c r="H55" s="491">
        <f t="shared" si="40"/>
        <v>-19407468.259999998</v>
      </c>
      <c r="I55" s="102">
        <f t="shared" si="40"/>
        <v>-49921769.758126236</v>
      </c>
      <c r="J55" s="102">
        <f t="shared" si="40"/>
        <v>-50228211.327922381</v>
      </c>
      <c r="K55" s="102">
        <f t="shared" si="40"/>
        <v>-53008400.073576719</v>
      </c>
      <c r="L55" s="102">
        <f t="shared" si="40"/>
        <v>-54592611.667923182</v>
      </c>
      <c r="M55" s="102">
        <f t="shared" si="40"/>
        <v>-60825075.920034438</v>
      </c>
      <c r="N55" s="102">
        <f t="shared" si="40"/>
        <v>-59697361.780353814</v>
      </c>
      <c r="O55" s="102">
        <f t="shared" si="40"/>
        <v>-59101780.144131541</v>
      </c>
      <c r="P55" s="102">
        <f t="shared" si="40"/>
        <v>-65827743.589300014</v>
      </c>
      <c r="Q55" s="102">
        <f t="shared" si="40"/>
        <v>-59820833.800317883</v>
      </c>
      <c r="R55" s="102">
        <f t="shared" si="40"/>
        <v>-57560394.498564228</v>
      </c>
      <c r="S55" s="102">
        <f t="shared" si="40"/>
        <v>-56723734.063596085</v>
      </c>
      <c r="T55" s="102">
        <f t="shared" si="40"/>
        <v>-48530282.694537245</v>
      </c>
      <c r="U55" s="102">
        <f t="shared" si="40"/>
        <v>-48240947.860013597</v>
      </c>
      <c r="V55" s="102">
        <f t="shared" ref="V55:AC55" si="41">V48+V54</f>
        <v>-47962067.537017129</v>
      </c>
      <c r="W55" s="102">
        <f t="shared" si="41"/>
        <v>-39715865.717979029</v>
      </c>
      <c r="X55" s="102">
        <f t="shared" si="41"/>
        <v>-39752846.370700471</v>
      </c>
      <c r="Y55" s="102">
        <f t="shared" si="41"/>
        <v>-39166523.478512324</v>
      </c>
      <c r="Z55" s="102">
        <f t="shared" si="41"/>
        <v>-38275649.309316374</v>
      </c>
      <c r="AA55" s="102">
        <f t="shared" si="41"/>
        <v>-38314712.243172511</v>
      </c>
      <c r="AB55" s="102">
        <f t="shared" si="41"/>
        <v>-38354497.217741728</v>
      </c>
      <c r="AC55" s="102">
        <f t="shared" si="41"/>
        <v>-38395018.673838325</v>
      </c>
    </row>
    <row r="56" spans="1:29" ht="13.5" customHeight="1">
      <c r="B56" s="105" t="s">
        <v>176</v>
      </c>
      <c r="C56" s="106">
        <f t="shared" ref="C56:U56" si="42">C38+C44+C49-C50</f>
        <v>-18459691.660000004</v>
      </c>
      <c r="D56" s="106">
        <f t="shared" si="42"/>
        <v>-17324591.070000004</v>
      </c>
      <c r="E56" s="106">
        <f t="shared" si="42"/>
        <v>2386280.3899999973</v>
      </c>
      <c r="F56" s="106">
        <f t="shared" si="42"/>
        <v>-275878.95999998442</v>
      </c>
      <c r="G56" s="154">
        <f t="shared" si="42"/>
        <v>-25078723.750000004</v>
      </c>
      <c r="H56" s="166">
        <f t="shared" si="42"/>
        <v>-19354114.739999998</v>
      </c>
      <c r="I56" s="107">
        <f t="shared" si="42"/>
        <v>-49921769.758126236</v>
      </c>
      <c r="J56" s="107">
        <f t="shared" si="42"/>
        <v>-50228211.327922381</v>
      </c>
      <c r="K56" s="107">
        <f t="shared" si="42"/>
        <v>-53008400.073576719</v>
      </c>
      <c r="L56" s="107">
        <f t="shared" si="42"/>
        <v>-54592611.667923182</v>
      </c>
      <c r="M56" s="107">
        <f t="shared" si="42"/>
        <v>-60825075.920034438</v>
      </c>
      <c r="N56" s="107">
        <f t="shared" si="42"/>
        <v>-59697361.780353814</v>
      </c>
      <c r="O56" s="107">
        <f t="shared" si="42"/>
        <v>-59101780.144131541</v>
      </c>
      <c r="P56" s="107">
        <f t="shared" si="42"/>
        <v>-65827743.589300014</v>
      </c>
      <c r="Q56" s="107">
        <f t="shared" si="42"/>
        <v>-59820833.800317883</v>
      </c>
      <c r="R56" s="107">
        <f t="shared" si="42"/>
        <v>-57560394.498564228</v>
      </c>
      <c r="S56" s="107">
        <f t="shared" si="42"/>
        <v>-56723734.063596085</v>
      </c>
      <c r="T56" s="107">
        <f t="shared" si="42"/>
        <v>-48530282.694537245</v>
      </c>
      <c r="U56" s="107">
        <f t="shared" si="42"/>
        <v>-48240947.860013597</v>
      </c>
      <c r="V56" s="107">
        <f t="shared" ref="V56:AC56" si="43">V38+V44+V49-V50</f>
        <v>-47962067.537017129</v>
      </c>
      <c r="W56" s="107">
        <f t="shared" si="43"/>
        <v>-39715865.717979029</v>
      </c>
      <c r="X56" s="107">
        <f t="shared" si="43"/>
        <v>-39752846.370700471</v>
      </c>
      <c r="Y56" s="107">
        <f t="shared" si="43"/>
        <v>-39166523.478512324</v>
      </c>
      <c r="Z56" s="107">
        <f t="shared" si="43"/>
        <v>-38275649.309316374</v>
      </c>
      <c r="AA56" s="107">
        <f t="shared" si="43"/>
        <v>-38314712.243172511</v>
      </c>
      <c r="AB56" s="107">
        <f t="shared" si="43"/>
        <v>-38354497.217741728</v>
      </c>
      <c r="AC56" s="107">
        <f t="shared" si="43"/>
        <v>-38395018.673838325</v>
      </c>
    </row>
    <row r="57" spans="1:29">
      <c r="C57" s="490"/>
      <c r="D57" s="490"/>
      <c r="E57" s="490"/>
      <c r="F57" s="490"/>
      <c r="G57" s="497"/>
      <c r="H57" s="155"/>
    </row>
    <row r="58" spans="1:29" ht="13">
      <c r="B58" s="110" t="s">
        <v>60</v>
      </c>
      <c r="C58" s="111">
        <f t="shared" ref="C58:U58" si="44">+C38+C23</f>
        <v>-12311081.270000003</v>
      </c>
      <c r="D58" s="111">
        <f t="shared" si="44"/>
        <v>-14115267.890000008</v>
      </c>
      <c r="E58" s="498">
        <f t="shared" si="44"/>
        <v>5721448.7399999974</v>
      </c>
      <c r="F58" s="498">
        <f t="shared" si="44"/>
        <v>3256843.4000000157</v>
      </c>
      <c r="G58" s="499">
        <f t="shared" si="44"/>
        <v>-21025499.590000004</v>
      </c>
      <c r="H58" s="494">
        <f t="shared" si="44"/>
        <v>-14794588.939999998</v>
      </c>
      <c r="I58" s="112">
        <f t="shared" si="44"/>
        <v>-45227883.766676232</v>
      </c>
      <c r="J58" s="112">
        <f t="shared" si="44"/>
        <v>-44891219.769047506</v>
      </c>
      <c r="K58" s="112">
        <f t="shared" si="44"/>
        <v>-44341929.854780078</v>
      </c>
      <c r="L58" s="112">
        <f t="shared" si="44"/>
        <v>-41231666.804459788</v>
      </c>
      <c r="M58" s="112">
        <f t="shared" si="44"/>
        <v>-38132527.255756423</v>
      </c>
      <c r="N58" s="112">
        <f t="shared" si="44"/>
        <v>-34998635.04264605</v>
      </c>
      <c r="O58" s="112">
        <f t="shared" si="44"/>
        <v>-29387608.222849421</v>
      </c>
      <c r="P58" s="112">
        <f t="shared" si="44"/>
        <v>-25114565.182921022</v>
      </c>
      <c r="Q58" s="112">
        <f t="shared" si="44"/>
        <v>-19815806.377604038</v>
      </c>
      <c r="R58" s="112">
        <f t="shared" si="44"/>
        <v>-19276948.725788854</v>
      </c>
      <c r="S58" s="112">
        <f t="shared" si="44"/>
        <v>-18730837.311707005</v>
      </c>
      <c r="T58" s="112">
        <f t="shared" si="44"/>
        <v>-18186727.943146884</v>
      </c>
      <c r="U58" s="112">
        <f t="shared" si="44"/>
        <v>-17649729.181423925</v>
      </c>
      <c r="V58" s="112">
        <f t="shared" ref="V58:AC58" si="45">+V38+V23</f>
        <v>-17118231.652684167</v>
      </c>
      <c r="W58" s="112">
        <f t="shared" si="45"/>
        <v>-19267346.117057581</v>
      </c>
      <c r="X58" s="112">
        <f t="shared" si="45"/>
        <v>-19270307.015258543</v>
      </c>
      <c r="Y58" s="112">
        <f t="shared" si="45"/>
        <v>-19273267.913459498</v>
      </c>
      <c r="Z58" s="112">
        <f t="shared" si="45"/>
        <v>-19276228.811660454</v>
      </c>
      <c r="AA58" s="112">
        <f t="shared" si="45"/>
        <v>-19279189.70986142</v>
      </c>
      <c r="AB58" s="112">
        <f t="shared" si="45"/>
        <v>-19282150.608062368</v>
      </c>
      <c r="AC58" s="112">
        <f t="shared" si="45"/>
        <v>-19285111.506263327</v>
      </c>
    </row>
    <row r="59" spans="1:29" ht="13.5" hidden="1" customHeight="1">
      <c r="B59" s="88"/>
      <c r="C59" s="98"/>
      <c r="D59" s="98"/>
      <c r="E59" s="98"/>
      <c r="F59" s="98"/>
      <c r="G59" s="152"/>
      <c r="H59" s="91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</row>
    <row r="60" spans="1:29" ht="13.5" hidden="1" customHeight="1">
      <c r="B60" s="88"/>
      <c r="C60" s="98"/>
      <c r="D60" s="98"/>
      <c r="E60" s="98"/>
      <c r="F60" s="98"/>
      <c r="G60" s="152"/>
      <c r="H60" s="91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</row>
    <row r="61" spans="1:29" ht="13.5" hidden="1" customHeight="1">
      <c r="B61" s="88"/>
      <c r="C61" s="98"/>
      <c r="D61" s="98"/>
      <c r="E61" s="98"/>
      <c r="F61" s="98"/>
      <c r="G61" s="152"/>
      <c r="H61" s="91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</row>
    <row r="62" spans="1:29" ht="13.5" customHeight="1">
      <c r="B62" s="113" t="s">
        <v>56</v>
      </c>
      <c r="C62" s="96">
        <f t="shared" ref="C62:U62" si="46">+C58+C59+C60+C61</f>
        <v>-12311081.270000003</v>
      </c>
      <c r="D62" s="96">
        <f t="shared" si="46"/>
        <v>-14115267.890000008</v>
      </c>
      <c r="E62" s="96">
        <f t="shared" si="46"/>
        <v>5721448.7399999974</v>
      </c>
      <c r="F62" s="96">
        <f t="shared" si="46"/>
        <v>3256843.4000000157</v>
      </c>
      <c r="G62" s="151">
        <f t="shared" si="46"/>
        <v>-21025499.590000004</v>
      </c>
      <c r="H62" s="94">
        <f t="shared" si="46"/>
        <v>-14794588.939999998</v>
      </c>
      <c r="I62" s="95">
        <f t="shared" si="46"/>
        <v>-45227883.766676232</v>
      </c>
      <c r="J62" s="95">
        <f t="shared" si="46"/>
        <v>-44891219.769047506</v>
      </c>
      <c r="K62" s="95">
        <f t="shared" si="46"/>
        <v>-44341929.854780078</v>
      </c>
      <c r="L62" s="95">
        <f t="shared" si="46"/>
        <v>-41231666.804459788</v>
      </c>
      <c r="M62" s="95">
        <f t="shared" si="46"/>
        <v>-38132527.255756423</v>
      </c>
      <c r="N62" s="95">
        <f t="shared" si="46"/>
        <v>-34998635.04264605</v>
      </c>
      <c r="O62" s="95">
        <f t="shared" si="46"/>
        <v>-29387608.222849421</v>
      </c>
      <c r="P62" s="95">
        <f t="shared" si="46"/>
        <v>-25114565.182921022</v>
      </c>
      <c r="Q62" s="95">
        <f t="shared" si="46"/>
        <v>-19815806.377604038</v>
      </c>
      <c r="R62" s="95">
        <f t="shared" si="46"/>
        <v>-19276948.725788854</v>
      </c>
      <c r="S62" s="95">
        <f t="shared" si="46"/>
        <v>-18730837.311707005</v>
      </c>
      <c r="T62" s="95">
        <f t="shared" si="46"/>
        <v>-18186727.943146884</v>
      </c>
      <c r="U62" s="95">
        <f t="shared" si="46"/>
        <v>-17649729.181423925</v>
      </c>
      <c r="V62" s="95">
        <f t="shared" ref="V62:AC62" si="47">+V58+V59+V60+V61</f>
        <v>-17118231.652684167</v>
      </c>
      <c r="W62" s="95">
        <f t="shared" si="47"/>
        <v>-19267346.117057581</v>
      </c>
      <c r="X62" s="95">
        <f t="shared" si="47"/>
        <v>-19270307.015258543</v>
      </c>
      <c r="Y62" s="95">
        <f t="shared" si="47"/>
        <v>-19273267.913459498</v>
      </c>
      <c r="Z62" s="95">
        <f t="shared" si="47"/>
        <v>-19276228.811660454</v>
      </c>
      <c r="AA62" s="95">
        <f t="shared" si="47"/>
        <v>-19279189.70986142</v>
      </c>
      <c r="AB62" s="95">
        <f t="shared" si="47"/>
        <v>-19282150.608062368</v>
      </c>
      <c r="AC62" s="95">
        <f t="shared" si="47"/>
        <v>-19285111.506263327</v>
      </c>
    </row>
    <row r="63" spans="1:29" s="117" customFormat="1" ht="13.5" customHeight="1">
      <c r="A63" s="5"/>
      <c r="B63" s="114" t="s">
        <v>177</v>
      </c>
      <c r="C63" s="115">
        <f t="shared" ref="C63:U63" si="48">IFERROR(C62/(C9+C6),0)</f>
        <v>-0.13379584837416175</v>
      </c>
      <c r="D63" s="115">
        <f t="shared" si="48"/>
        <v>-0.15412882385213572</v>
      </c>
      <c r="E63" s="115">
        <f t="shared" si="48"/>
        <v>5.9104491116434635E-2</v>
      </c>
      <c r="F63" s="115">
        <f t="shared" si="48"/>
        <v>3.0547490854265356E-2</v>
      </c>
      <c r="G63" s="156">
        <f t="shared" si="48"/>
        <v>-0.18477979196789393</v>
      </c>
      <c r="H63" s="167">
        <f t="shared" si="48"/>
        <v>-0.11319482111040055</v>
      </c>
      <c r="I63" s="116">
        <f t="shared" si="48"/>
        <v>-0.3291519224213722</v>
      </c>
      <c r="J63" s="116">
        <f t="shared" si="48"/>
        <v>-0.32828896754813258</v>
      </c>
      <c r="K63" s="116">
        <f t="shared" si="48"/>
        <v>-0.31392215053874195</v>
      </c>
      <c r="L63" s="116">
        <f t="shared" si="48"/>
        <v>-0.27563889710373701</v>
      </c>
      <c r="M63" s="116">
        <f t="shared" si="48"/>
        <v>-0.24478526334257572</v>
      </c>
      <c r="N63" s="116">
        <f t="shared" si="48"/>
        <v>-0.22302605395158887</v>
      </c>
      <c r="O63" s="116">
        <f t="shared" si="48"/>
        <v>-0.1820084725656177</v>
      </c>
      <c r="P63" s="116">
        <f t="shared" si="48"/>
        <v>-0.14919700718477943</v>
      </c>
      <c r="Q63" s="116">
        <f t="shared" si="48"/>
        <v>-0.11711732694758874</v>
      </c>
      <c r="R63" s="116">
        <f t="shared" si="48"/>
        <v>-0.1134079248125954</v>
      </c>
      <c r="S63" s="116">
        <f t="shared" si="48"/>
        <v>-0.10966269591325011</v>
      </c>
      <c r="T63" s="116">
        <f t="shared" si="48"/>
        <v>-0.10599791830207915</v>
      </c>
      <c r="U63" s="116">
        <f t="shared" si="48"/>
        <v>-0.10247301640545969</v>
      </c>
      <c r="V63" s="116">
        <f t="shared" ref="V63:AC63" si="49">IFERROR(V62/(V9+V6),0)</f>
        <v>-9.9055469076371819E-2</v>
      </c>
      <c r="W63" s="116">
        <f t="shared" si="49"/>
        <v>-0.11289342628488916</v>
      </c>
      <c r="X63" s="116">
        <f t="shared" si="49"/>
        <v>-0.11291077511646962</v>
      </c>
      <c r="Y63" s="116">
        <f t="shared" si="49"/>
        <v>-0.11292812394805005</v>
      </c>
      <c r="Z63" s="116">
        <f t="shared" si="49"/>
        <v>-0.11294547277963048</v>
      </c>
      <c r="AA63" s="116">
        <f t="shared" si="49"/>
        <v>-0.11296282161121096</v>
      </c>
      <c r="AB63" s="116">
        <f t="shared" si="49"/>
        <v>-0.11298017044279135</v>
      </c>
      <c r="AC63" s="116">
        <f t="shared" si="49"/>
        <v>-0.11299751927437179</v>
      </c>
    </row>
    <row r="64" spans="1:29" ht="13.5" customHeight="1">
      <c r="B64" s="113" t="s">
        <v>61</v>
      </c>
      <c r="C64" s="96">
        <f t="shared" ref="C64:U64" si="50">+C38</f>
        <v>-18440561.790000003</v>
      </c>
      <c r="D64" s="96">
        <f t="shared" si="50"/>
        <v>-17252562.090000007</v>
      </c>
      <c r="E64" s="96">
        <f t="shared" si="50"/>
        <v>2491076.5799999973</v>
      </c>
      <c r="F64" s="96">
        <f t="shared" si="50"/>
        <v>-166560.71999998437</v>
      </c>
      <c r="G64" s="151">
        <f t="shared" si="50"/>
        <v>-24996195.160000004</v>
      </c>
      <c r="H64" s="94">
        <f t="shared" si="50"/>
        <v>-19239717.169999998</v>
      </c>
      <c r="I64" s="95">
        <f t="shared" si="50"/>
        <v>-49804641.401426233</v>
      </c>
      <c r="J64" s="95">
        <f t="shared" si="50"/>
        <v>-50111082.971222378</v>
      </c>
      <c r="K64" s="95">
        <f t="shared" si="50"/>
        <v>-52891271.716876715</v>
      </c>
      <c r="L64" s="95">
        <f t="shared" si="50"/>
        <v>-54475483.311223179</v>
      </c>
      <c r="M64" s="95">
        <f t="shared" si="50"/>
        <v>-60707947.563334435</v>
      </c>
      <c r="N64" s="95">
        <f t="shared" si="50"/>
        <v>-59580233.423653811</v>
      </c>
      <c r="O64" s="95">
        <f t="shared" si="50"/>
        <v>-58984651.787431538</v>
      </c>
      <c r="P64" s="95">
        <f t="shared" si="50"/>
        <v>-65710615.232600011</v>
      </c>
      <c r="Q64" s="95">
        <f t="shared" si="50"/>
        <v>-59703705.44361788</v>
      </c>
      <c r="R64" s="95">
        <f t="shared" si="50"/>
        <v>-57443266.141864225</v>
      </c>
      <c r="S64" s="95">
        <f t="shared" si="50"/>
        <v>-56606605.706896082</v>
      </c>
      <c r="T64" s="95">
        <f t="shared" si="50"/>
        <v>-48413154.337837242</v>
      </c>
      <c r="U64" s="95">
        <f t="shared" si="50"/>
        <v>-48123819.503313594</v>
      </c>
      <c r="V64" s="95">
        <f t="shared" ref="V64:AC64" si="51">+V38</f>
        <v>-47844939.180317126</v>
      </c>
      <c r="W64" s="95">
        <f t="shared" si="51"/>
        <v>-39598737.361279026</v>
      </c>
      <c r="X64" s="95">
        <f t="shared" si="51"/>
        <v>-39635718.014000468</v>
      </c>
      <c r="Y64" s="95">
        <f t="shared" si="51"/>
        <v>-39049395.121812321</v>
      </c>
      <c r="Z64" s="95">
        <f t="shared" si="51"/>
        <v>-38158520.952616371</v>
      </c>
      <c r="AA64" s="95">
        <f t="shared" si="51"/>
        <v>-38197583.886472508</v>
      </c>
      <c r="AB64" s="95">
        <f t="shared" si="51"/>
        <v>-38237368.861041725</v>
      </c>
      <c r="AC64" s="95">
        <f t="shared" si="51"/>
        <v>-38277890.317138322</v>
      </c>
    </row>
    <row r="65" spans="1:29" s="117" customFormat="1" ht="13.25" customHeight="1">
      <c r="A65" s="5"/>
      <c r="B65" s="114" t="s">
        <v>178</v>
      </c>
      <c r="C65" s="115">
        <f t="shared" ref="C65:U65" si="52">IFERROR(C64/(C9+C6),0)</f>
        <v>-0.20041055331195945</v>
      </c>
      <c r="D65" s="115">
        <f t="shared" si="52"/>
        <v>-0.18838587578288207</v>
      </c>
      <c r="E65" s="115">
        <f t="shared" si="52"/>
        <v>2.5733659477471485E-2</v>
      </c>
      <c r="F65" s="115">
        <f t="shared" si="52"/>
        <v>-1.5622526004410746E-3</v>
      </c>
      <c r="G65" s="156">
        <f t="shared" si="52"/>
        <v>-0.21967571908971117</v>
      </c>
      <c r="H65" s="167">
        <f t="shared" si="52"/>
        <v>-0.14720492418580519</v>
      </c>
      <c r="I65" s="116">
        <f t="shared" si="52"/>
        <v>-0.36245988309683064</v>
      </c>
      <c r="J65" s="116">
        <f t="shared" si="52"/>
        <v>-0.36646176637606781</v>
      </c>
      <c r="K65" s="116">
        <f t="shared" si="52"/>
        <v>-0.37444788299625587</v>
      </c>
      <c r="L65" s="116">
        <f t="shared" si="52"/>
        <v>-0.3641754821678575</v>
      </c>
      <c r="M65" s="116">
        <f t="shared" si="52"/>
        <v>-0.38970432858039311</v>
      </c>
      <c r="N65" s="116">
        <f t="shared" si="52"/>
        <v>-0.37967035965261592</v>
      </c>
      <c r="O65" s="116">
        <f t="shared" si="52"/>
        <v>-0.36531405670156009</v>
      </c>
      <c r="P65" s="116">
        <f t="shared" si="52"/>
        <v>-0.39036419948220019</v>
      </c>
      <c r="Q65" s="116">
        <f t="shared" si="52"/>
        <v>-0.3528667093924332</v>
      </c>
      <c r="R65" s="116">
        <f t="shared" si="52"/>
        <v>-0.33794360820658653</v>
      </c>
      <c r="S65" s="116">
        <f t="shared" si="52"/>
        <v>-0.331412466245529</v>
      </c>
      <c r="T65" s="116">
        <f t="shared" si="52"/>
        <v>-0.28216695132241987</v>
      </c>
      <c r="U65" s="116">
        <f t="shared" si="52"/>
        <v>-0.27940332085359432</v>
      </c>
      <c r="V65" s="116">
        <f t="shared" ref="V65:AC65" si="53">IFERROR(V64/(V9+V6),0)</f>
        <v>-0.27685703696466002</v>
      </c>
      <c r="W65" s="116">
        <f t="shared" si="53"/>
        <v>-0.2320214268280838</v>
      </c>
      <c r="X65" s="116">
        <f t="shared" si="53"/>
        <v>-0.23223810807554834</v>
      </c>
      <c r="Y65" s="116">
        <f t="shared" si="53"/>
        <v>-0.22880265828364446</v>
      </c>
      <c r="Z65" s="116">
        <f t="shared" si="53"/>
        <v>-0.22358274700275477</v>
      </c>
      <c r="AA65" s="116">
        <f t="shared" si="53"/>
        <v>-0.22381162898873078</v>
      </c>
      <c r="AB65" s="116">
        <f t="shared" si="53"/>
        <v>-0.22404474163779456</v>
      </c>
      <c r="AC65" s="116">
        <f t="shared" si="53"/>
        <v>-0.22428216956320809</v>
      </c>
    </row>
    <row r="66" spans="1:29" s="117" customFormat="1" ht="13.25" customHeight="1">
      <c r="A66" s="5"/>
      <c r="B66" s="713" t="s">
        <v>258</v>
      </c>
      <c r="C66" s="714"/>
      <c r="D66" s="714"/>
      <c r="E66" s="714"/>
      <c r="F66" s="714"/>
      <c r="G66" s="715"/>
      <c r="H66" s="716"/>
      <c r="I66" s="717">
        <v>0.21</v>
      </c>
      <c r="J66" s="717">
        <f>I66</f>
        <v>0.21</v>
      </c>
      <c r="K66" s="717">
        <f t="shared" ref="K66:U66" si="54">J66</f>
        <v>0.21</v>
      </c>
      <c r="L66" s="718">
        <f t="shared" si="54"/>
        <v>0.21</v>
      </c>
      <c r="M66" s="718">
        <f t="shared" si="54"/>
        <v>0.21</v>
      </c>
      <c r="N66" s="718">
        <f t="shared" si="54"/>
        <v>0.21</v>
      </c>
      <c r="O66" s="718">
        <f t="shared" si="54"/>
        <v>0.21</v>
      </c>
      <c r="P66" s="718">
        <f t="shared" si="54"/>
        <v>0.21</v>
      </c>
      <c r="Q66" s="718">
        <f t="shared" si="54"/>
        <v>0.21</v>
      </c>
      <c r="R66" s="718">
        <f t="shared" si="54"/>
        <v>0.21</v>
      </c>
      <c r="S66" s="718">
        <f t="shared" si="54"/>
        <v>0.21</v>
      </c>
      <c r="T66" s="718">
        <f t="shared" si="54"/>
        <v>0.21</v>
      </c>
      <c r="U66" s="718">
        <f t="shared" si="54"/>
        <v>0.21</v>
      </c>
      <c r="V66" s="718">
        <f t="shared" ref="V66" si="55">U66</f>
        <v>0.21</v>
      </c>
      <c r="W66" s="718">
        <f t="shared" ref="W66" si="56">V66</f>
        <v>0.21</v>
      </c>
      <c r="X66" s="718">
        <f t="shared" ref="X66" si="57">W66</f>
        <v>0.21</v>
      </c>
      <c r="Y66" s="718">
        <f t="shared" ref="Y66" si="58">X66</f>
        <v>0.21</v>
      </c>
      <c r="Z66" s="718">
        <f t="shared" ref="Z66" si="59">Y66</f>
        <v>0.21</v>
      </c>
      <c r="AA66" s="718">
        <f t="shared" ref="AA66" si="60">Z66</f>
        <v>0.21</v>
      </c>
      <c r="AB66" s="718">
        <f t="shared" ref="AB66" si="61">AA66</f>
        <v>0.21</v>
      </c>
      <c r="AC66" s="718">
        <f t="shared" ref="AC66" si="62">AB66</f>
        <v>0.21</v>
      </c>
    </row>
    <row r="67" spans="1:29" s="176" customFormat="1" ht="13.5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</row>
    <row r="68" spans="1:29" ht="13.5" customHeight="1">
      <c r="B68" s="103" t="s">
        <v>3046</v>
      </c>
      <c r="C68" s="104"/>
      <c r="D68" s="104"/>
      <c r="E68" s="492"/>
      <c r="F68" s="492"/>
      <c r="G68" s="492"/>
      <c r="H68" s="492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3.5" customHeight="1">
      <c r="B69" s="97" t="s">
        <v>3047</v>
      </c>
      <c r="C69" s="91">
        <f>C16</f>
        <v>50016435</v>
      </c>
      <c r="D69" s="91">
        <f t="shared" ref="D69:U69" si="63">D16</f>
        <v>49826135.699999996</v>
      </c>
      <c r="E69" s="91">
        <f t="shared" si="63"/>
        <v>52123523.549999997</v>
      </c>
      <c r="F69" s="91">
        <f t="shared" si="63"/>
        <v>53880461.810000002</v>
      </c>
      <c r="G69" s="91">
        <f t="shared" si="63"/>
        <v>55924988.559999995</v>
      </c>
      <c r="H69" s="91">
        <f t="shared" si="63"/>
        <v>65819233.030000016</v>
      </c>
      <c r="I69" s="92">
        <f t="shared" si="63"/>
        <v>69767577.371053457</v>
      </c>
      <c r="J69" s="92">
        <f t="shared" si="63"/>
        <v>69396645.725712165</v>
      </c>
      <c r="K69" s="92">
        <f t="shared" si="63"/>
        <v>72235272.60055843</v>
      </c>
      <c r="L69" s="92">
        <f t="shared" si="63"/>
        <v>77453093.513569549</v>
      </c>
      <c r="M69" s="92">
        <f t="shared" si="63"/>
        <v>81345647.687376097</v>
      </c>
      <c r="N69" s="92">
        <f t="shared" si="63"/>
        <v>82104519.743638933</v>
      </c>
      <c r="O69" s="92">
        <f t="shared" si="63"/>
        <v>84972421.289773718</v>
      </c>
      <c r="P69" s="92">
        <f t="shared" si="63"/>
        <v>89292695.827915445</v>
      </c>
      <c r="Q69" s="92">
        <f t="shared" si="63"/>
        <v>91173838.519081935</v>
      </c>
      <c r="R69" s="92">
        <f t="shared" si="63"/>
        <v>91707946.191359475</v>
      </c>
      <c r="S69" s="92">
        <f t="shared" si="63"/>
        <v>92268684.812968135</v>
      </c>
      <c r="T69" s="92">
        <f t="shared" si="63"/>
        <v>92796105.43583402</v>
      </c>
      <c r="U69" s="92">
        <f t="shared" si="63"/>
        <v>93254045.417173028</v>
      </c>
      <c r="V69" s="92">
        <f t="shared" ref="V69:AC69" si="64">V16</f>
        <v>93658648.196939841</v>
      </c>
      <c r="W69" s="92">
        <f t="shared" si="64"/>
        <v>91512494.63076739</v>
      </c>
      <c r="X69" s="92">
        <f t="shared" si="64"/>
        <v>91512494.63076739</v>
      </c>
      <c r="Y69" s="92">
        <f t="shared" si="64"/>
        <v>91512494.63076739</v>
      </c>
      <c r="Z69" s="92">
        <f t="shared" si="64"/>
        <v>91512494.63076739</v>
      </c>
      <c r="AA69" s="92">
        <f t="shared" si="64"/>
        <v>91512494.63076739</v>
      </c>
      <c r="AB69" s="92">
        <f t="shared" si="64"/>
        <v>91512494.63076739</v>
      </c>
      <c r="AC69" s="92">
        <f t="shared" si="64"/>
        <v>91512494.63076739</v>
      </c>
    </row>
    <row r="70" spans="1:29" ht="13.5" customHeight="1">
      <c r="B70" s="97" t="s">
        <v>3048</v>
      </c>
      <c r="C70" s="91">
        <f>C69-C17</f>
        <v>-13864186.670000002</v>
      </c>
      <c r="D70" s="91">
        <f t="shared" ref="D70:U70" si="65">D69-D17</f>
        <v>-17045836.550000004</v>
      </c>
      <c r="E70" s="91">
        <f t="shared" si="65"/>
        <v>-16214837.650000006</v>
      </c>
      <c r="F70" s="91">
        <f t="shared" si="65"/>
        <v>-21820373.419999987</v>
      </c>
      <c r="G70" s="91">
        <f t="shared" si="65"/>
        <v>-31157771.750000007</v>
      </c>
      <c r="H70" s="91">
        <f t="shared" si="65"/>
        <v>-48252732.549999997</v>
      </c>
      <c r="I70" s="92">
        <f t="shared" si="65"/>
        <v>-44304388.208946526</v>
      </c>
      <c r="J70" s="92">
        <f t="shared" si="65"/>
        <v>-43966873.418429598</v>
      </c>
      <c r="K70" s="92">
        <f t="shared" si="65"/>
        <v>-43810952.078476742</v>
      </c>
      <c r="L70" s="92">
        <f t="shared" si="65"/>
        <v>-41500528.095227584</v>
      </c>
      <c r="M70" s="92">
        <f t="shared" si="65"/>
        <v>-38985004.67042695</v>
      </c>
      <c r="N70" s="92">
        <f t="shared" si="65"/>
        <v>-36435019.724384055</v>
      </c>
      <c r="O70" s="92">
        <f t="shared" si="65"/>
        <v>-32249235.062263906</v>
      </c>
      <c r="P70" s="92">
        <f t="shared" si="65"/>
        <v>-29449490.154701784</v>
      </c>
      <c r="Q70" s="92">
        <f t="shared" si="65"/>
        <v>-25615578.729190126</v>
      </c>
      <c r="R70" s="92">
        <f t="shared" si="65"/>
        <v>-25229820.547865152</v>
      </c>
      <c r="S70" s="92">
        <f t="shared" si="65"/>
        <v>-24838894.537457019</v>
      </c>
      <c r="T70" s="92">
        <f t="shared" si="65"/>
        <v>-24449723.459893584</v>
      </c>
      <c r="U70" s="92">
        <f t="shared" si="65"/>
        <v>-24067062.581507772</v>
      </c>
      <c r="V70" s="92">
        <f t="shared" ref="V70" si="66">V69-V17</f>
        <v>-23689534.859779119</v>
      </c>
      <c r="W70" s="92">
        <f t="shared" ref="W70" si="67">W69-W17</f>
        <v>-25835688.42595157</v>
      </c>
      <c r="X70" s="92">
        <f t="shared" ref="X70" si="68">X69-X17</f>
        <v>-25835688.42595157</v>
      </c>
      <c r="Y70" s="92">
        <f t="shared" ref="Y70" si="69">Y69-Y17</f>
        <v>-25835688.42595157</v>
      </c>
      <c r="Z70" s="92">
        <f t="shared" ref="Z70" si="70">Z69-Z17</f>
        <v>-25835688.42595157</v>
      </c>
      <c r="AA70" s="92">
        <f t="shared" ref="AA70" si="71">AA69-AA17</f>
        <v>-25835688.42595157</v>
      </c>
      <c r="AB70" s="92">
        <f t="shared" ref="AB70" si="72">AB69-AB17</f>
        <v>-25835688.42595157</v>
      </c>
      <c r="AC70" s="92">
        <f t="shared" ref="AC70" si="73">AC69-AC17</f>
        <v>-25835688.42595157</v>
      </c>
    </row>
    <row r="71" spans="1:29" ht="13.5" customHeight="1">
      <c r="B71" s="721" t="s">
        <v>3049</v>
      </c>
      <c r="C71" s="719">
        <f>C58-C72</f>
        <v>-12311081.270000003</v>
      </c>
      <c r="D71" s="719">
        <f t="shared" ref="D71:U71" si="74">D58-D72</f>
        <v>-13646344.950000009</v>
      </c>
      <c r="E71" s="719">
        <f t="shared" si="74"/>
        <v>-14927512.350000001</v>
      </c>
      <c r="F71" s="719">
        <f t="shared" si="74"/>
        <v>-18588192.059999984</v>
      </c>
      <c r="G71" s="719">
        <f t="shared" si="74"/>
        <v>-30631528.329999998</v>
      </c>
      <c r="H71" s="719">
        <f t="shared" si="74"/>
        <v>-46647903.800000004</v>
      </c>
      <c r="I71" s="720">
        <f t="shared" si="74"/>
        <v>-45227883.766676232</v>
      </c>
      <c r="J71" s="720">
        <f t="shared" si="74"/>
        <v>-44891219.769047506</v>
      </c>
      <c r="K71" s="720">
        <f t="shared" si="74"/>
        <v>-44341929.854780078</v>
      </c>
      <c r="L71" s="720">
        <f t="shared" si="74"/>
        <v>-41231666.804459788</v>
      </c>
      <c r="M71" s="720">
        <f t="shared" si="74"/>
        <v>-38132527.255756423</v>
      </c>
      <c r="N71" s="720">
        <f t="shared" si="74"/>
        <v>-34998635.04264605</v>
      </c>
      <c r="O71" s="720">
        <f t="shared" si="74"/>
        <v>-29387608.222849421</v>
      </c>
      <c r="P71" s="720">
        <f t="shared" si="74"/>
        <v>-25114565.182921022</v>
      </c>
      <c r="Q71" s="720">
        <f t="shared" si="74"/>
        <v>-19815806.377604038</v>
      </c>
      <c r="R71" s="720">
        <f t="shared" si="74"/>
        <v>-19276948.725788854</v>
      </c>
      <c r="S71" s="720">
        <f t="shared" si="74"/>
        <v>-18730837.311707005</v>
      </c>
      <c r="T71" s="720">
        <f t="shared" si="74"/>
        <v>-18186727.943146884</v>
      </c>
      <c r="U71" s="720">
        <f t="shared" si="74"/>
        <v>-17649729.181423925</v>
      </c>
      <c r="V71" s="720">
        <f t="shared" ref="V71" si="75">V58-V72</f>
        <v>-17118231.652684167</v>
      </c>
      <c r="W71" s="720">
        <f t="shared" ref="W71" si="76">W58-W72</f>
        <v>-19267346.117057581</v>
      </c>
      <c r="X71" s="720">
        <f t="shared" ref="X71" si="77">X58-X72</f>
        <v>-19270307.015258543</v>
      </c>
      <c r="Y71" s="720">
        <f t="shared" ref="Y71" si="78">Y58-Y72</f>
        <v>-19273267.913459498</v>
      </c>
      <c r="Z71" s="720">
        <f t="shared" ref="Z71" si="79">Z58-Z72</f>
        <v>-19276228.811660454</v>
      </c>
      <c r="AA71" s="720">
        <f t="shared" ref="AA71" si="80">AA58-AA72</f>
        <v>-19279189.70986142</v>
      </c>
      <c r="AB71" s="720">
        <f t="shared" ref="AB71" si="81">AB58-AB72</f>
        <v>-19282150.608062368</v>
      </c>
      <c r="AC71" s="720">
        <f t="shared" ref="AC71" si="82">AC58-AC72</f>
        <v>-19285111.506263327</v>
      </c>
    </row>
    <row r="72" spans="1:29" ht="13.5" customHeight="1">
      <c r="B72" s="721" t="s">
        <v>3050</v>
      </c>
      <c r="C72" s="719"/>
      <c r="D72" s="719">
        <f>SUM(D73:D79)</f>
        <v>-468922.93999999994</v>
      </c>
      <c r="E72" s="719">
        <f t="shared" ref="E72:U72" si="83">SUM(E73:E79)</f>
        <v>20648961.09</v>
      </c>
      <c r="F72" s="719">
        <f t="shared" si="83"/>
        <v>21845035.460000001</v>
      </c>
      <c r="G72" s="719">
        <f t="shared" si="83"/>
        <v>9606028.7399999946</v>
      </c>
      <c r="H72" s="719">
        <f t="shared" si="83"/>
        <v>31853314.860000007</v>
      </c>
      <c r="I72" s="720">
        <f t="shared" si="83"/>
        <v>0</v>
      </c>
      <c r="J72" s="720">
        <f t="shared" si="83"/>
        <v>0</v>
      </c>
      <c r="K72" s="720">
        <f t="shared" si="83"/>
        <v>0</v>
      </c>
      <c r="L72" s="720">
        <f t="shared" si="83"/>
        <v>0</v>
      </c>
      <c r="M72" s="720">
        <f t="shared" si="83"/>
        <v>0</v>
      </c>
      <c r="N72" s="720">
        <f t="shared" si="83"/>
        <v>0</v>
      </c>
      <c r="O72" s="720">
        <f t="shared" si="83"/>
        <v>0</v>
      </c>
      <c r="P72" s="720">
        <f t="shared" si="83"/>
        <v>0</v>
      </c>
      <c r="Q72" s="720">
        <f t="shared" si="83"/>
        <v>0</v>
      </c>
      <c r="R72" s="720">
        <f t="shared" si="83"/>
        <v>0</v>
      </c>
      <c r="S72" s="720">
        <f t="shared" si="83"/>
        <v>0</v>
      </c>
      <c r="T72" s="720">
        <f t="shared" si="83"/>
        <v>0</v>
      </c>
      <c r="U72" s="720">
        <f t="shared" si="83"/>
        <v>0</v>
      </c>
      <c r="V72" s="720">
        <f t="shared" ref="V72" si="84">SUM(V73:V79)</f>
        <v>0</v>
      </c>
      <c r="W72" s="720">
        <f t="shared" ref="W72" si="85">SUM(W73:W79)</f>
        <v>0</v>
      </c>
      <c r="X72" s="720">
        <f t="shared" ref="X72" si="86">SUM(X73:X79)</f>
        <v>0</v>
      </c>
      <c r="Y72" s="720">
        <f t="shared" ref="Y72" si="87">SUM(Y73:Y79)</f>
        <v>0</v>
      </c>
      <c r="Z72" s="720">
        <f t="shared" ref="Z72" si="88">SUM(Z73:Z79)</f>
        <v>0</v>
      </c>
      <c r="AA72" s="720">
        <f t="shared" ref="AA72" si="89">SUM(AA73:AA79)</f>
        <v>0</v>
      </c>
      <c r="AB72" s="720">
        <f t="shared" ref="AB72" si="90">SUM(AB73:AB79)</f>
        <v>0</v>
      </c>
      <c r="AC72" s="720">
        <f t="shared" ref="AC72" si="91">SUM(AC73:AC79)</f>
        <v>0</v>
      </c>
    </row>
    <row r="73" spans="1:29" ht="13.5" customHeight="1">
      <c r="B73" s="97" t="str">
        <f>'Revenues"A"'!B29</f>
        <v>DoN . Odpustene prisl, istina, uhrada od MZSR…</v>
      </c>
      <c r="C73" s="91"/>
      <c r="D73" s="91">
        <f>'Revenues"A"'!C29</f>
        <v>0</v>
      </c>
      <c r="E73" s="91">
        <f>'Revenues"A"'!D29</f>
        <v>24989578.379999999</v>
      </c>
      <c r="F73" s="91">
        <f>'Revenues"A"'!E29</f>
        <v>25036139.579999998</v>
      </c>
      <c r="G73" s="91">
        <f>'Revenues"A"'!F29</f>
        <v>30674751.219999999</v>
      </c>
      <c r="H73" s="91">
        <f>'Revenues"A"'!G29</f>
        <v>0</v>
      </c>
      <c r="I73" s="92">
        <f>'Revenues"A"'!H29</f>
        <v>0</v>
      </c>
      <c r="J73" s="92">
        <f>'Revenues"A"'!I29</f>
        <v>0</v>
      </c>
      <c r="K73" s="92">
        <f>'Revenues"A"'!J29</f>
        <v>0</v>
      </c>
      <c r="L73" s="92">
        <f>'Revenues"A"'!K29</f>
        <v>0</v>
      </c>
      <c r="M73" s="92">
        <f>'Revenues"A"'!L29</f>
        <v>0</v>
      </c>
      <c r="N73" s="92">
        <f>'Revenues"A"'!M29</f>
        <v>0</v>
      </c>
      <c r="O73" s="92">
        <f>'Revenues"A"'!N29</f>
        <v>0</v>
      </c>
      <c r="P73" s="92">
        <f>'Revenues"A"'!O29</f>
        <v>0</v>
      </c>
      <c r="Q73" s="92">
        <f>'Revenues"A"'!P29</f>
        <v>0</v>
      </c>
      <c r="R73" s="92">
        <f>'Revenues"A"'!Q29</f>
        <v>0</v>
      </c>
      <c r="S73" s="92">
        <f>'Revenues"A"'!R29</f>
        <v>0</v>
      </c>
      <c r="T73" s="92">
        <f>'Revenues"A"'!S29</f>
        <v>0</v>
      </c>
      <c r="U73" s="92">
        <f>'Revenues"A"'!T29</f>
        <v>0</v>
      </c>
      <c r="V73" s="92">
        <f>'Revenues"A"'!U29</f>
        <v>0</v>
      </c>
      <c r="W73" s="92">
        <f>'Revenues"A"'!V29</f>
        <v>0</v>
      </c>
      <c r="X73" s="92">
        <f>'Revenues"A"'!W29</f>
        <v>0</v>
      </c>
      <c r="Y73" s="92">
        <f>'Revenues"A"'!X29</f>
        <v>0</v>
      </c>
      <c r="Z73" s="92">
        <f>'Revenues"A"'!Y29</f>
        <v>0</v>
      </c>
      <c r="AA73" s="92">
        <f>'Revenues"A"'!Z29</f>
        <v>0</v>
      </c>
      <c r="AB73" s="92">
        <f>'Revenues"A"'!AA29</f>
        <v>0</v>
      </c>
      <c r="AC73" s="92">
        <f>'Revenues"A"'!AB29</f>
        <v>0</v>
      </c>
    </row>
    <row r="74" spans="1:29" ht="13.5" customHeight="1">
      <c r="B74" s="97" t="str">
        <f>'Revenues"A"'!B32</f>
        <v>Výnosy COVID z bež.trans zo ŠR</v>
      </c>
      <c r="C74" s="91"/>
      <c r="D74" s="91">
        <f>'Revenues"A"'!C32</f>
        <v>0</v>
      </c>
      <c r="E74" s="91">
        <f>'Revenues"A"'!D32</f>
        <v>0</v>
      </c>
      <c r="F74" s="91">
        <f>'Revenues"A"'!E32</f>
        <v>0</v>
      </c>
      <c r="G74" s="91">
        <f>'Revenues"A"'!F32</f>
        <v>3609091.14</v>
      </c>
      <c r="H74" s="91">
        <f>'Revenues"A"'!G32</f>
        <v>21394931.390000001</v>
      </c>
      <c r="I74" s="92">
        <f>'Revenues"A"'!I32</f>
        <v>0</v>
      </c>
      <c r="J74" s="92">
        <f>'Revenues"A"'!J32</f>
        <v>0</v>
      </c>
      <c r="K74" s="92">
        <f>'Revenues"A"'!K32</f>
        <v>0</v>
      </c>
      <c r="L74" s="92">
        <f>'Revenues"A"'!L32</f>
        <v>0</v>
      </c>
      <c r="M74" s="92">
        <f>'Revenues"A"'!M32</f>
        <v>0</v>
      </c>
      <c r="N74" s="92">
        <f>'Revenues"A"'!N32</f>
        <v>0</v>
      </c>
      <c r="O74" s="92">
        <f>'Revenues"A"'!O32</f>
        <v>0</v>
      </c>
      <c r="P74" s="92">
        <f>'Revenues"A"'!P32</f>
        <v>0</v>
      </c>
      <c r="Q74" s="92">
        <f>'Revenues"A"'!Q32</f>
        <v>0</v>
      </c>
      <c r="R74" s="92">
        <f>'Revenues"A"'!R32</f>
        <v>0</v>
      </c>
      <c r="S74" s="92">
        <f>'Revenues"A"'!S32</f>
        <v>0</v>
      </c>
      <c r="T74" s="92">
        <f>'Revenues"A"'!T32</f>
        <v>0</v>
      </c>
      <c r="U74" s="92">
        <f>'Revenues"A"'!U32</f>
        <v>0</v>
      </c>
      <c r="V74" s="92">
        <f>'Revenues"A"'!V32</f>
        <v>0</v>
      </c>
      <c r="W74" s="92">
        <f>'Revenues"A"'!W32</f>
        <v>0</v>
      </c>
      <c r="X74" s="92">
        <f>'Revenues"A"'!X32</f>
        <v>0</v>
      </c>
      <c r="Y74" s="92">
        <f>'Revenues"A"'!Y32</f>
        <v>0</v>
      </c>
      <c r="Z74" s="92">
        <f>'Revenues"A"'!Z32</f>
        <v>0</v>
      </c>
      <c r="AA74" s="92">
        <f>'Revenues"A"'!AA32</f>
        <v>0</v>
      </c>
      <c r="AB74" s="92">
        <f>'Revenues"A"'!AB32</f>
        <v>0</v>
      </c>
      <c r="AC74" s="92">
        <f>'Revenues"A"'!AC32</f>
        <v>0</v>
      </c>
    </row>
    <row r="75" spans="1:29" ht="13.5" customHeight="1">
      <c r="B75" s="97" t="str">
        <f>'Revenues"A"'!B33</f>
        <v>Výnosy z BT na prevádzku</v>
      </c>
      <c r="C75" s="91"/>
      <c r="D75" s="91">
        <f>'Revenues"A"'!C33</f>
        <v>0</v>
      </c>
      <c r="E75" s="91">
        <f>'Revenues"A"'!D33</f>
        <v>0</v>
      </c>
      <c r="F75" s="91">
        <f>'Revenues"A"'!E33</f>
        <v>0</v>
      </c>
      <c r="G75" s="91">
        <f>'Revenues"A"'!F33</f>
        <v>0</v>
      </c>
      <c r="H75" s="91">
        <f>'Revenues"A"'!G33</f>
        <v>16570501.08</v>
      </c>
      <c r="I75" s="92">
        <f>'Revenues"A"'!I33</f>
        <v>0</v>
      </c>
      <c r="J75" s="92">
        <f>'Revenues"A"'!J33</f>
        <v>0</v>
      </c>
      <c r="K75" s="92">
        <f>'Revenues"A"'!K33</f>
        <v>0</v>
      </c>
      <c r="L75" s="92">
        <f>'Revenues"A"'!L33</f>
        <v>0</v>
      </c>
      <c r="M75" s="92">
        <f>'Revenues"A"'!M33</f>
        <v>0</v>
      </c>
      <c r="N75" s="92">
        <f>'Revenues"A"'!N33</f>
        <v>0</v>
      </c>
      <c r="O75" s="92">
        <f>'Revenues"A"'!O33</f>
        <v>0</v>
      </c>
      <c r="P75" s="92">
        <f>'Revenues"A"'!P33</f>
        <v>0</v>
      </c>
      <c r="Q75" s="92">
        <f>'Revenues"A"'!Q33</f>
        <v>0</v>
      </c>
      <c r="R75" s="92">
        <f>'Revenues"A"'!R33</f>
        <v>0</v>
      </c>
      <c r="S75" s="92">
        <f>'Revenues"A"'!S33</f>
        <v>0</v>
      </c>
      <c r="T75" s="92">
        <f>'Revenues"A"'!T33</f>
        <v>0</v>
      </c>
      <c r="U75" s="92">
        <f>'Revenues"A"'!U33</f>
        <v>0</v>
      </c>
      <c r="V75" s="92">
        <f>'Revenues"A"'!V33</f>
        <v>0</v>
      </c>
      <c r="W75" s="92">
        <f>'Revenues"A"'!W33</f>
        <v>0</v>
      </c>
      <c r="X75" s="92">
        <f>'Revenues"A"'!X33</f>
        <v>0</v>
      </c>
      <c r="Y75" s="92">
        <f>'Revenues"A"'!Y33</f>
        <v>0</v>
      </c>
      <c r="Z75" s="92">
        <f>'Revenues"A"'!Z33</f>
        <v>0</v>
      </c>
      <c r="AA75" s="92">
        <f>'Revenues"A"'!AA33</f>
        <v>0</v>
      </c>
      <c r="AB75" s="92">
        <f>'Revenues"A"'!AB33</f>
        <v>0</v>
      </c>
      <c r="AC75" s="92">
        <f>'Revenues"A"'!AC33</f>
        <v>0</v>
      </c>
    </row>
    <row r="76" spans="1:29" ht="13.5" customHeight="1">
      <c r="B76" s="97" t="str">
        <f>'Revenues"A"'!B34</f>
        <v>Výnosy z transferov SZM a Lieky</v>
      </c>
      <c r="C76" s="91"/>
      <c r="D76" s="91">
        <f>'Revenues"A"'!C34</f>
        <v>0</v>
      </c>
      <c r="E76" s="91">
        <f>'Revenues"A"'!D34</f>
        <v>0</v>
      </c>
      <c r="F76" s="91">
        <f>'Revenues"A"'!E34</f>
        <v>0</v>
      </c>
      <c r="G76" s="91">
        <f>'Revenues"A"'!F34</f>
        <v>1151394.26</v>
      </c>
      <c r="H76" s="91">
        <f>'Revenues"A"'!G34</f>
        <v>5150864.95</v>
      </c>
      <c r="I76" s="92">
        <f>'Revenues"A"'!I34</f>
        <v>0</v>
      </c>
      <c r="J76" s="92">
        <f>'Revenues"A"'!J34</f>
        <v>0</v>
      </c>
      <c r="K76" s="92">
        <f>'Revenues"A"'!K34</f>
        <v>0</v>
      </c>
      <c r="L76" s="92">
        <f>'Revenues"A"'!L34</f>
        <v>0</v>
      </c>
      <c r="M76" s="92">
        <f>'Revenues"A"'!M34</f>
        <v>0</v>
      </c>
      <c r="N76" s="92">
        <f>'Revenues"A"'!N34</f>
        <v>0</v>
      </c>
      <c r="O76" s="92">
        <f>'Revenues"A"'!O34</f>
        <v>0</v>
      </c>
      <c r="P76" s="92">
        <f>'Revenues"A"'!P34</f>
        <v>0</v>
      </c>
      <c r="Q76" s="92">
        <f>'Revenues"A"'!Q34</f>
        <v>0</v>
      </c>
      <c r="R76" s="92">
        <f>'Revenues"A"'!R34</f>
        <v>0</v>
      </c>
      <c r="S76" s="92">
        <f>'Revenues"A"'!S34</f>
        <v>0</v>
      </c>
      <c r="T76" s="92">
        <f>'Revenues"A"'!T34</f>
        <v>0</v>
      </c>
      <c r="U76" s="92">
        <f>'Revenues"A"'!U34</f>
        <v>0</v>
      </c>
      <c r="V76" s="92">
        <f>'Revenues"A"'!V34</f>
        <v>0</v>
      </c>
      <c r="W76" s="92">
        <f>'Revenues"A"'!W34</f>
        <v>0</v>
      </c>
      <c r="X76" s="92">
        <f>'Revenues"A"'!X34</f>
        <v>0</v>
      </c>
      <c r="Y76" s="92">
        <f>'Revenues"A"'!Y34</f>
        <v>0</v>
      </c>
      <c r="Z76" s="92">
        <f>'Revenues"A"'!Z34</f>
        <v>0</v>
      </c>
      <c r="AA76" s="92">
        <f>'Revenues"A"'!AA34</f>
        <v>0</v>
      </c>
      <c r="AB76" s="92">
        <f>'Revenues"A"'!AB34</f>
        <v>0</v>
      </c>
      <c r="AC76" s="92">
        <f>'Revenues"A"'!AC34</f>
        <v>0</v>
      </c>
    </row>
    <row r="77" spans="1:29" ht="13.5" customHeight="1">
      <c r="B77" s="97" t="str">
        <f>'Costs"A"'!B48</f>
        <v>?? Bezodplatný prevod zásob</v>
      </c>
      <c r="C77" s="91"/>
      <c r="D77" s="91">
        <f>-('Costs"A"'!C48)</f>
        <v>0</v>
      </c>
      <c r="E77" s="91">
        <f>-('Costs"A"'!D48)</f>
        <v>0</v>
      </c>
      <c r="F77" s="91">
        <f>-('Costs"A"'!E48)</f>
        <v>0</v>
      </c>
      <c r="G77" s="91">
        <f>-('Costs"A"'!F48)</f>
        <v>-371449.38</v>
      </c>
      <c r="H77" s="91">
        <f>-('Costs"A"'!G48)</f>
        <v>-531205.93999999994</v>
      </c>
      <c r="I77" s="92">
        <f>-('Costs"A"'!I48)</f>
        <v>0</v>
      </c>
      <c r="J77" s="92">
        <f>-('Costs"A"'!J48)</f>
        <v>0</v>
      </c>
      <c r="K77" s="92">
        <f>-('Costs"A"'!K48)</f>
        <v>0</v>
      </c>
      <c r="L77" s="92">
        <f>-('Costs"A"'!L48)</f>
        <v>0</v>
      </c>
      <c r="M77" s="92">
        <f>-('Costs"A"'!M48)</f>
        <v>0</v>
      </c>
      <c r="N77" s="92">
        <f>-('Costs"A"'!N48)</f>
        <v>0</v>
      </c>
      <c r="O77" s="92">
        <f>-('Costs"A"'!O48)</f>
        <v>0</v>
      </c>
      <c r="P77" s="92">
        <f>-('Costs"A"'!P48)</f>
        <v>0</v>
      </c>
      <c r="Q77" s="92">
        <f>-('Costs"A"'!Q48)</f>
        <v>0</v>
      </c>
      <c r="R77" s="92">
        <f>-('Costs"A"'!R48)</f>
        <v>0</v>
      </c>
      <c r="S77" s="92">
        <f>-('Costs"A"'!S48)</f>
        <v>0</v>
      </c>
      <c r="T77" s="92">
        <f>-('Costs"A"'!T48)</f>
        <v>0</v>
      </c>
      <c r="U77" s="92">
        <f>-('Costs"A"'!U48)</f>
        <v>0</v>
      </c>
      <c r="V77" s="92">
        <f>-('Costs"A"'!V48)</f>
        <v>0</v>
      </c>
      <c r="W77" s="92">
        <f>-('Costs"A"'!W48)</f>
        <v>0</v>
      </c>
      <c r="X77" s="92">
        <f>-('Costs"A"'!X48)</f>
        <v>0</v>
      </c>
      <c r="Y77" s="92">
        <f>-('Costs"A"'!Y48)</f>
        <v>0</v>
      </c>
      <c r="Z77" s="92">
        <f>-('Costs"A"'!Z48)</f>
        <v>0</v>
      </c>
      <c r="AA77" s="92">
        <f>-('Costs"A"'!AA48)</f>
        <v>0</v>
      </c>
      <c r="AB77" s="92">
        <f>-('Costs"A"'!AB48)</f>
        <v>0</v>
      </c>
      <c r="AC77" s="92">
        <f>-('Costs"A"'!AC48)</f>
        <v>0</v>
      </c>
    </row>
    <row r="78" spans="1:29" ht="13.5" customHeight="1">
      <c r="B78" s="97" t="str">
        <f>'Costs"A"'!B50</f>
        <v>penále a úr. Z omeškania</v>
      </c>
      <c r="C78" s="91"/>
      <c r="D78" s="91">
        <f>-('Costs"A"'!C50-300000)</f>
        <v>100000</v>
      </c>
      <c r="E78" s="91">
        <f>-('Costs"A"'!D50-300000)</f>
        <v>-2134917.29</v>
      </c>
      <c r="F78" s="91">
        <f>-('Costs"A"'!E50-300000)</f>
        <v>-518817.15</v>
      </c>
      <c r="G78" s="91">
        <f>-('Costs"A"'!F50-300000)</f>
        <v>-8540555.5299999993</v>
      </c>
      <c r="H78" s="91">
        <f>-('Costs"A"'!G50-300000)</f>
        <v>-898637.62000000011</v>
      </c>
      <c r="I78" s="92">
        <v>0</v>
      </c>
      <c r="J78" s="92">
        <f>I78</f>
        <v>0</v>
      </c>
      <c r="K78" s="92">
        <f t="shared" ref="K78:U79" si="92">J78</f>
        <v>0</v>
      </c>
      <c r="L78" s="92">
        <f t="shared" si="92"/>
        <v>0</v>
      </c>
      <c r="M78" s="92">
        <f t="shared" si="92"/>
        <v>0</v>
      </c>
      <c r="N78" s="92">
        <f t="shared" si="92"/>
        <v>0</v>
      </c>
      <c r="O78" s="92">
        <f t="shared" si="92"/>
        <v>0</v>
      </c>
      <c r="P78" s="92">
        <f t="shared" si="92"/>
        <v>0</v>
      </c>
      <c r="Q78" s="92">
        <f t="shared" si="92"/>
        <v>0</v>
      </c>
      <c r="R78" s="92">
        <f t="shared" si="92"/>
        <v>0</v>
      </c>
      <c r="S78" s="92">
        <f t="shared" si="92"/>
        <v>0</v>
      </c>
      <c r="T78" s="92">
        <f t="shared" si="92"/>
        <v>0</v>
      </c>
      <c r="U78" s="92">
        <f t="shared" si="92"/>
        <v>0</v>
      </c>
      <c r="V78" s="92">
        <f t="shared" ref="V78:AC78" si="93">U78</f>
        <v>0</v>
      </c>
      <c r="W78" s="92">
        <f t="shared" si="93"/>
        <v>0</v>
      </c>
      <c r="X78" s="92">
        <f t="shared" si="93"/>
        <v>0</v>
      </c>
      <c r="Y78" s="92">
        <f t="shared" si="93"/>
        <v>0</v>
      </c>
      <c r="Z78" s="92">
        <f t="shared" si="93"/>
        <v>0</v>
      </c>
      <c r="AA78" s="92">
        <f t="shared" si="93"/>
        <v>0</v>
      </c>
      <c r="AB78" s="92">
        <f t="shared" si="93"/>
        <v>0</v>
      </c>
      <c r="AC78" s="92">
        <f t="shared" si="93"/>
        <v>0</v>
      </c>
    </row>
    <row r="79" spans="1:29" ht="13.5" customHeight="1">
      <c r="B79" s="721" t="str">
        <f>'Costs"A"'!B53</f>
        <v>Tvorba ost. Rezerv</v>
      </c>
      <c r="C79" s="719"/>
      <c r="D79" s="719">
        <f>-('Costs"A"'!C53-500000)</f>
        <v>-568922.93999999994</v>
      </c>
      <c r="E79" s="719">
        <f>-('Costs"A"'!D53-500000)</f>
        <v>-2205700</v>
      </c>
      <c r="F79" s="719">
        <f>-('Costs"A"'!E53-500000)</f>
        <v>-2672286.9700000002</v>
      </c>
      <c r="G79" s="719">
        <f>-('Costs"A"'!F53-500000)</f>
        <v>-16917202.969999999</v>
      </c>
      <c r="H79" s="719">
        <f>-('Costs"A"'!G53-500000)</f>
        <v>-9833139</v>
      </c>
      <c r="I79" s="720">
        <v>0</v>
      </c>
      <c r="J79" s="720">
        <f>I79</f>
        <v>0</v>
      </c>
      <c r="K79" s="720">
        <f t="shared" si="92"/>
        <v>0</v>
      </c>
      <c r="L79" s="720">
        <f t="shared" si="92"/>
        <v>0</v>
      </c>
      <c r="M79" s="720">
        <f t="shared" si="92"/>
        <v>0</v>
      </c>
      <c r="N79" s="720">
        <f t="shared" si="92"/>
        <v>0</v>
      </c>
      <c r="O79" s="720">
        <f t="shared" si="92"/>
        <v>0</v>
      </c>
      <c r="P79" s="720">
        <f t="shared" si="92"/>
        <v>0</v>
      </c>
      <c r="Q79" s="720">
        <f t="shared" si="92"/>
        <v>0</v>
      </c>
      <c r="R79" s="720">
        <f t="shared" si="92"/>
        <v>0</v>
      </c>
      <c r="S79" s="720">
        <f t="shared" si="92"/>
        <v>0</v>
      </c>
      <c r="T79" s="720">
        <f t="shared" si="92"/>
        <v>0</v>
      </c>
      <c r="U79" s="720">
        <f t="shared" si="92"/>
        <v>0</v>
      </c>
      <c r="V79" s="720">
        <f t="shared" ref="V79:AC79" si="94">U79</f>
        <v>0</v>
      </c>
      <c r="W79" s="720">
        <f t="shared" si="94"/>
        <v>0</v>
      </c>
      <c r="X79" s="720">
        <f t="shared" si="94"/>
        <v>0</v>
      </c>
      <c r="Y79" s="720">
        <f t="shared" si="94"/>
        <v>0</v>
      </c>
      <c r="Z79" s="720">
        <f t="shared" si="94"/>
        <v>0</v>
      </c>
      <c r="AA79" s="720">
        <f t="shared" si="94"/>
        <v>0</v>
      </c>
      <c r="AB79" s="720">
        <f t="shared" si="94"/>
        <v>0</v>
      </c>
      <c r="AC79" s="720">
        <f t="shared" si="94"/>
        <v>0</v>
      </c>
    </row>
    <row r="80" spans="1:29">
      <c r="B80" s="722"/>
    </row>
    <row r="81" spans="4:4">
      <c r="D81" s="137"/>
    </row>
    <row r="82" spans="4:4">
      <c r="D82" s="137"/>
    </row>
    <row r="83" spans="4:4">
      <c r="D83" s="137"/>
    </row>
    <row r="84" spans="4:4">
      <c r="D84" s="1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F0CFD-5117-4272-BF2C-4FE96917CE8D}">
  <sheetPr>
    <tabColor rgb="FFC5E4ED"/>
  </sheetPr>
  <dimension ref="A1:JI1088"/>
  <sheetViews>
    <sheetView workbookViewId="0"/>
  </sheetViews>
  <sheetFormatPr baseColWidth="10" defaultColWidth="9.1640625" defaultRowHeight="12"/>
  <cols>
    <col min="1" max="1" width="2.5" style="5" customWidth="1"/>
    <col min="2" max="2" width="45.33203125" style="4" customWidth="1"/>
    <col min="3" max="8" width="12.83203125" style="178" customWidth="1"/>
    <col min="9" max="29" width="12.83203125" style="4" customWidth="1"/>
    <col min="30" max="30" width="9.1640625" style="2"/>
    <col min="31" max="269" width="9.1640625" style="4"/>
    <col min="270" max="16384" width="9.1640625" style="2"/>
  </cols>
  <sheetData>
    <row r="1" spans="1:30" ht="12" customHeight="1">
      <c r="A1" s="178"/>
      <c r="B1" s="178"/>
      <c r="AD1" s="4"/>
    </row>
    <row r="2" spans="1:30" ht="12" customHeight="1">
      <c r="B2" s="179" t="s">
        <v>1</v>
      </c>
      <c r="AD2" s="4"/>
    </row>
    <row r="3" spans="1:30" ht="15" thickBot="1">
      <c r="B3" s="81" t="s">
        <v>66</v>
      </c>
      <c r="C3" s="180"/>
      <c r="D3" s="180"/>
      <c r="E3" s="180"/>
      <c r="F3" s="180"/>
      <c r="G3" s="180"/>
      <c r="H3" s="180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4"/>
    </row>
    <row r="4" spans="1:30" ht="12" customHeight="1">
      <c r="B4" s="84"/>
      <c r="AD4" s="4"/>
    </row>
    <row r="5" spans="1:30" ht="13.5" customHeight="1" thickBot="1">
      <c r="A5" s="181" t="s">
        <v>67</v>
      </c>
      <c r="B5" s="85" t="s">
        <v>68</v>
      </c>
      <c r="C5" s="182">
        <v>42735</v>
      </c>
      <c r="D5" s="182">
        <v>43100</v>
      </c>
      <c r="E5" s="182">
        <v>43465</v>
      </c>
      <c r="F5" s="182">
        <f>EOMONTH(E5,12)</f>
        <v>43830</v>
      </c>
      <c r="G5" s="182">
        <f t="shared" ref="G5:V5" si="0">EOMONTH(F5,12)</f>
        <v>44196</v>
      </c>
      <c r="H5" s="182">
        <f t="shared" si="0"/>
        <v>44561</v>
      </c>
      <c r="I5" s="87">
        <f t="shared" si="0"/>
        <v>44926</v>
      </c>
      <c r="J5" s="87">
        <f t="shared" si="0"/>
        <v>45291</v>
      </c>
      <c r="K5" s="87">
        <f t="shared" si="0"/>
        <v>45657</v>
      </c>
      <c r="L5" s="87">
        <f t="shared" si="0"/>
        <v>46022</v>
      </c>
      <c r="M5" s="87">
        <f t="shared" si="0"/>
        <v>46387</v>
      </c>
      <c r="N5" s="87">
        <f t="shared" si="0"/>
        <v>46752</v>
      </c>
      <c r="O5" s="87">
        <f t="shared" si="0"/>
        <v>47118</v>
      </c>
      <c r="P5" s="87">
        <f t="shared" si="0"/>
        <v>47483</v>
      </c>
      <c r="Q5" s="87">
        <f t="shared" si="0"/>
        <v>47848</v>
      </c>
      <c r="R5" s="87">
        <f t="shared" si="0"/>
        <v>48213</v>
      </c>
      <c r="S5" s="87">
        <f t="shared" si="0"/>
        <v>48579</v>
      </c>
      <c r="T5" s="87">
        <f t="shared" si="0"/>
        <v>48944</v>
      </c>
      <c r="U5" s="87">
        <f t="shared" si="0"/>
        <v>49309</v>
      </c>
      <c r="V5" s="87">
        <f t="shared" si="0"/>
        <v>49674</v>
      </c>
      <c r="W5" s="87">
        <f t="shared" ref="W5" si="1">EOMONTH(V5,12)</f>
        <v>50040</v>
      </c>
      <c r="X5" s="87">
        <f t="shared" ref="X5" si="2">EOMONTH(W5,12)</f>
        <v>50405</v>
      </c>
      <c r="Y5" s="87">
        <f t="shared" ref="Y5" si="3">EOMONTH(X5,12)</f>
        <v>50770</v>
      </c>
      <c r="Z5" s="87">
        <f t="shared" ref="Z5" si="4">EOMONTH(Y5,12)</f>
        <v>51135</v>
      </c>
      <c r="AA5" s="87">
        <f t="shared" ref="AA5" si="5">EOMONTH(Z5,12)</f>
        <v>51501</v>
      </c>
      <c r="AB5" s="87">
        <f t="shared" ref="AB5" si="6">EOMONTH(AA5,12)</f>
        <v>51866</v>
      </c>
      <c r="AC5" s="87">
        <f t="shared" ref="AC5" si="7">EOMONTH(AB5,12)</f>
        <v>52231</v>
      </c>
      <c r="AD5" s="4"/>
    </row>
    <row r="6" spans="1:30" ht="13.5" customHeight="1">
      <c r="A6" s="5">
        <v>1</v>
      </c>
      <c r="B6" s="123" t="s">
        <v>69</v>
      </c>
      <c r="C6" s="183">
        <f t="shared" ref="C6:V6" si="8">+C7+C22+C42</f>
        <v>75239391.570000008</v>
      </c>
      <c r="D6" s="183">
        <f t="shared" si="8"/>
        <v>74921159.650000006</v>
      </c>
      <c r="E6" s="183">
        <f t="shared" si="8"/>
        <v>74249383.920000002</v>
      </c>
      <c r="F6" s="183">
        <f t="shared" si="8"/>
        <v>86997527.140000001</v>
      </c>
      <c r="G6" s="183">
        <f t="shared" si="8"/>
        <v>95898522.269999996</v>
      </c>
      <c r="H6" s="183">
        <f t="shared" si="8"/>
        <v>121680363.77000003</v>
      </c>
      <c r="I6" s="184">
        <f t="shared" si="8"/>
        <v>144264919.9082872</v>
      </c>
      <c r="J6" s="184">
        <f t="shared" si="8"/>
        <v>272030231.88461775</v>
      </c>
      <c r="K6" s="184">
        <f t="shared" si="8"/>
        <v>436711838.61876196</v>
      </c>
      <c r="L6" s="184">
        <f t="shared" si="8"/>
        <v>562890267.30713975</v>
      </c>
      <c r="M6" s="184">
        <f t="shared" si="8"/>
        <v>623579344.79082894</v>
      </c>
      <c r="N6" s="184">
        <f t="shared" si="8"/>
        <v>802091612.911273</v>
      </c>
      <c r="O6" s="184">
        <f t="shared" si="8"/>
        <v>897468224.77527571</v>
      </c>
      <c r="P6" s="184">
        <f t="shared" si="8"/>
        <v>868001376.84366632</v>
      </c>
      <c r="Q6" s="184">
        <f t="shared" si="8"/>
        <v>839413870.56213498</v>
      </c>
      <c r="R6" s="184">
        <f t="shared" si="8"/>
        <v>812752046.60109329</v>
      </c>
      <c r="S6" s="184">
        <f t="shared" si="8"/>
        <v>786615685.08760393</v>
      </c>
      <c r="T6" s="184">
        <f t="shared" si="8"/>
        <v>768344626.312217</v>
      </c>
      <c r="U6" s="184">
        <f t="shared" si="8"/>
        <v>750030891.99050605</v>
      </c>
      <c r="V6" s="184">
        <f t="shared" si="8"/>
        <v>731676862.99985015</v>
      </c>
      <c r="W6" s="184">
        <f t="shared" ref="W6:AC6" si="9">+W7+W22+W42</f>
        <v>691960997.2818712</v>
      </c>
      <c r="X6" s="184">
        <f t="shared" si="9"/>
        <v>652208150.91117072</v>
      </c>
      <c r="Y6" s="184">
        <f t="shared" si="9"/>
        <v>613041627.43265831</v>
      </c>
      <c r="Z6" s="184">
        <f t="shared" si="9"/>
        <v>574765978.12334204</v>
      </c>
      <c r="AA6" s="184">
        <f t="shared" si="9"/>
        <v>536451265.88016945</v>
      </c>
      <c r="AB6" s="184">
        <f t="shared" si="9"/>
        <v>498096768.66242784</v>
      </c>
      <c r="AC6" s="184">
        <f t="shared" si="9"/>
        <v>459701749.98858953</v>
      </c>
      <c r="AD6" s="4"/>
    </row>
    <row r="7" spans="1:30" ht="13.5" customHeight="1">
      <c r="A7" s="5">
        <v>1</v>
      </c>
      <c r="B7" s="100" t="s">
        <v>70</v>
      </c>
      <c r="C7" s="185">
        <f t="shared" ref="C7:V7" si="10">+C8+C13+C18</f>
        <v>57390034.420000002</v>
      </c>
      <c r="D7" s="185">
        <f t="shared" si="10"/>
        <v>55328487.450000003</v>
      </c>
      <c r="E7" s="185">
        <f t="shared" si="10"/>
        <v>53715116.350000001</v>
      </c>
      <c r="F7" s="185">
        <f t="shared" si="10"/>
        <v>59485300.060000002</v>
      </c>
      <c r="G7" s="185">
        <f t="shared" si="10"/>
        <v>63683525.329999998</v>
      </c>
      <c r="H7" s="185">
        <f t="shared" si="10"/>
        <v>62556218.160000019</v>
      </c>
      <c r="I7" s="102">
        <f t="shared" si="10"/>
        <v>83703683.222244859</v>
      </c>
      <c r="J7" s="102">
        <f t="shared" si="10"/>
        <v>211662966.41694066</v>
      </c>
      <c r="K7" s="102">
        <f t="shared" si="10"/>
        <v>375034734.66304201</v>
      </c>
      <c r="L7" s="102">
        <f t="shared" si="10"/>
        <v>498290577.02098119</v>
      </c>
      <c r="M7" s="102">
        <f t="shared" si="10"/>
        <v>555962279.65059292</v>
      </c>
      <c r="N7" s="102">
        <f t="shared" si="10"/>
        <v>731998488.61255968</v>
      </c>
      <c r="O7" s="102">
        <f t="shared" si="10"/>
        <v>822772129.45376217</v>
      </c>
      <c r="P7" s="102">
        <f t="shared" si="10"/>
        <v>786752143.1307801</v>
      </c>
      <c r="Q7" s="102">
        <f t="shared" si="10"/>
        <v>751531829.06599712</v>
      </c>
      <c r="R7" s="102">
        <f t="shared" si="10"/>
        <v>718126448.35117733</v>
      </c>
      <c r="S7" s="102">
        <f t="shared" si="10"/>
        <v>685106835.39126885</v>
      </c>
      <c r="T7" s="102">
        <f t="shared" si="10"/>
        <v>659833687.54056466</v>
      </c>
      <c r="U7" s="102">
        <f t="shared" si="10"/>
        <v>634411941.3335408</v>
      </c>
      <c r="V7" s="102">
        <f t="shared" si="10"/>
        <v>608838624.80307102</v>
      </c>
      <c r="W7" s="102">
        <f t="shared" ref="W7:AC7" si="11">+W8+W13+W18</f>
        <v>593763692.37595606</v>
      </c>
      <c r="X7" s="102">
        <f t="shared" si="11"/>
        <v>578759869.37066269</v>
      </c>
      <c r="Y7" s="102">
        <f t="shared" si="11"/>
        <v>564452561.91562736</v>
      </c>
      <c r="Z7" s="102">
        <f t="shared" si="11"/>
        <v>551148465.92305529</v>
      </c>
      <c r="AA7" s="102">
        <f t="shared" si="11"/>
        <v>537919831.81779587</v>
      </c>
      <c r="AB7" s="102">
        <f t="shared" si="11"/>
        <v>524768168.83759505</v>
      </c>
      <c r="AC7" s="102">
        <f t="shared" si="11"/>
        <v>511695016.40495414</v>
      </c>
      <c r="AD7" s="4"/>
    </row>
    <row r="8" spans="1:30" ht="13.5" customHeight="1">
      <c r="A8" s="5">
        <v>1</v>
      </c>
      <c r="B8" s="103" t="s">
        <v>71</v>
      </c>
      <c r="C8" s="186">
        <f t="shared" ref="C8" si="12">SUM(C9:C12)</f>
        <v>83726.84</v>
      </c>
      <c r="D8" s="186">
        <f t="shared" ref="D8:V8" si="13">SUM(D9:D12)</f>
        <v>79223.570000000007</v>
      </c>
      <c r="E8" s="186">
        <f t="shared" si="13"/>
        <v>78568.67</v>
      </c>
      <c r="F8" s="186">
        <f t="shared" si="13"/>
        <v>43018.86</v>
      </c>
      <c r="G8" s="186">
        <f t="shared" si="13"/>
        <v>24957.48</v>
      </c>
      <c r="H8" s="186">
        <f t="shared" si="13"/>
        <v>152223.32000000007</v>
      </c>
      <c r="I8" s="129">
        <f t="shared" si="13"/>
        <v>152223.32000000007</v>
      </c>
      <c r="J8" s="129">
        <f t="shared" si="13"/>
        <v>152223.32000000007</v>
      </c>
      <c r="K8" s="129">
        <f t="shared" si="13"/>
        <v>152223.32000000007</v>
      </c>
      <c r="L8" s="129">
        <f t="shared" si="13"/>
        <v>152223.32000000007</v>
      </c>
      <c r="M8" s="129">
        <f t="shared" si="13"/>
        <v>152223.32000000007</v>
      </c>
      <c r="N8" s="129">
        <f t="shared" si="13"/>
        <v>152223.32000000007</v>
      </c>
      <c r="O8" s="129">
        <f t="shared" si="13"/>
        <v>152223.32000000007</v>
      </c>
      <c r="P8" s="129">
        <f t="shared" si="13"/>
        <v>152223.32000000007</v>
      </c>
      <c r="Q8" s="129">
        <f t="shared" si="13"/>
        <v>152223.32000000007</v>
      </c>
      <c r="R8" s="129">
        <f t="shared" si="13"/>
        <v>152223.32000000007</v>
      </c>
      <c r="S8" s="129">
        <f t="shared" si="13"/>
        <v>152223.32000000007</v>
      </c>
      <c r="T8" s="129">
        <f t="shared" si="13"/>
        <v>152223.32000000007</v>
      </c>
      <c r="U8" s="129">
        <f t="shared" si="13"/>
        <v>152223.32000000007</v>
      </c>
      <c r="V8" s="129">
        <f t="shared" si="13"/>
        <v>152223.32000000007</v>
      </c>
      <c r="W8" s="129">
        <f t="shared" ref="W8:AC8" si="14">SUM(W9:W12)</f>
        <v>152223.32000000007</v>
      </c>
      <c r="X8" s="129">
        <f t="shared" si="14"/>
        <v>152223.32000000007</v>
      </c>
      <c r="Y8" s="129">
        <f t="shared" si="14"/>
        <v>152223.32000000007</v>
      </c>
      <c r="Z8" s="129">
        <f t="shared" si="14"/>
        <v>152223.32000000007</v>
      </c>
      <c r="AA8" s="129">
        <f t="shared" si="14"/>
        <v>152223.32000000007</v>
      </c>
      <c r="AB8" s="129">
        <f t="shared" si="14"/>
        <v>152223.32000000007</v>
      </c>
      <c r="AC8" s="129">
        <f t="shared" si="14"/>
        <v>152223.32000000007</v>
      </c>
      <c r="AD8" s="4"/>
    </row>
    <row r="9" spans="1:30" ht="13.5" customHeight="1">
      <c r="A9" s="5">
        <v>2</v>
      </c>
      <c r="B9" s="97" t="s">
        <v>72</v>
      </c>
      <c r="C9" s="187">
        <f>BS_Data!E77</f>
        <v>83726.84</v>
      </c>
      <c r="D9" s="187">
        <f>BS_Data!F77</f>
        <v>79223.570000000007</v>
      </c>
      <c r="E9" s="187">
        <f>BS_Data!G77</f>
        <v>68612.27</v>
      </c>
      <c r="F9" s="187">
        <f>BS_Data!H77</f>
        <v>43018.86</v>
      </c>
      <c r="G9" s="187">
        <f>BS_Data!I77</f>
        <v>24957.48</v>
      </c>
      <c r="H9" s="187">
        <f>BS_Data!J77</f>
        <v>25418.430000000051</v>
      </c>
      <c r="I9" s="92">
        <f>H9</f>
        <v>25418.430000000051</v>
      </c>
      <c r="J9" s="92">
        <f t="shared" ref="J9:V9" si="15">I9</f>
        <v>25418.430000000051</v>
      </c>
      <c r="K9" s="92">
        <f t="shared" si="15"/>
        <v>25418.430000000051</v>
      </c>
      <c r="L9" s="92">
        <f t="shared" si="15"/>
        <v>25418.430000000051</v>
      </c>
      <c r="M9" s="92">
        <f t="shared" si="15"/>
        <v>25418.430000000051</v>
      </c>
      <c r="N9" s="92">
        <f t="shared" si="15"/>
        <v>25418.430000000051</v>
      </c>
      <c r="O9" s="92">
        <f t="shared" si="15"/>
        <v>25418.430000000051</v>
      </c>
      <c r="P9" s="92">
        <f t="shared" si="15"/>
        <v>25418.430000000051</v>
      </c>
      <c r="Q9" s="92">
        <f t="shared" si="15"/>
        <v>25418.430000000051</v>
      </c>
      <c r="R9" s="92">
        <f t="shared" si="15"/>
        <v>25418.430000000051</v>
      </c>
      <c r="S9" s="92">
        <f t="shared" si="15"/>
        <v>25418.430000000051</v>
      </c>
      <c r="T9" s="92">
        <f t="shared" si="15"/>
        <v>25418.430000000051</v>
      </c>
      <c r="U9" s="92">
        <f t="shared" si="15"/>
        <v>25418.430000000051</v>
      </c>
      <c r="V9" s="92">
        <f t="shared" si="15"/>
        <v>25418.430000000051</v>
      </c>
      <c r="W9" s="92">
        <f t="shared" ref="W9" si="16">V9</f>
        <v>25418.430000000051</v>
      </c>
      <c r="X9" s="92">
        <f t="shared" ref="X9" si="17">W9</f>
        <v>25418.430000000051</v>
      </c>
      <c r="Y9" s="92">
        <f t="shared" ref="Y9" si="18">X9</f>
        <v>25418.430000000051</v>
      </c>
      <c r="Z9" s="92">
        <f t="shared" ref="Z9" si="19">Y9</f>
        <v>25418.430000000051</v>
      </c>
      <c r="AA9" s="92">
        <f t="shared" ref="AA9" si="20">Z9</f>
        <v>25418.430000000051</v>
      </c>
      <c r="AB9" s="92">
        <f t="shared" ref="AB9" si="21">AA9</f>
        <v>25418.430000000051</v>
      </c>
      <c r="AC9" s="92">
        <f t="shared" ref="AC9" si="22">AB9</f>
        <v>25418.430000000051</v>
      </c>
      <c r="AD9" s="7">
        <v>0</v>
      </c>
    </row>
    <row r="10" spans="1:30" ht="13.5" customHeight="1">
      <c r="A10" s="5">
        <v>2</v>
      </c>
      <c r="B10" s="97" t="s">
        <v>73</v>
      </c>
      <c r="C10" s="187"/>
      <c r="D10" s="187"/>
      <c r="E10" s="187"/>
      <c r="F10" s="187"/>
      <c r="G10" s="187"/>
      <c r="H10" s="187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7">
        <v>0</v>
      </c>
    </row>
    <row r="11" spans="1:30" ht="13.5" customHeight="1">
      <c r="A11" s="5">
        <v>2</v>
      </c>
      <c r="B11" s="97" t="s">
        <v>74</v>
      </c>
      <c r="C11" s="187"/>
      <c r="D11" s="187"/>
      <c r="E11" s="187"/>
      <c r="F11" s="187"/>
      <c r="G11" s="187"/>
      <c r="H11" s="187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7">
        <v>0</v>
      </c>
    </row>
    <row r="12" spans="1:30" ht="13.5" customHeight="1">
      <c r="A12" s="5">
        <v>2</v>
      </c>
      <c r="B12" s="97" t="s">
        <v>75</v>
      </c>
      <c r="C12" s="187">
        <f>BS_Data!E75-C9</f>
        <v>0</v>
      </c>
      <c r="D12" s="187">
        <f>BS_Data!F75-D9</f>
        <v>0</v>
      </c>
      <c r="E12" s="187">
        <f>BS_Data!G75-E9</f>
        <v>9956.3999999999942</v>
      </c>
      <c r="F12" s="187">
        <f>BS_Data!H75-F9</f>
        <v>0</v>
      </c>
      <c r="G12" s="187">
        <f>BS_Data!I75-G9</f>
        <v>0</v>
      </c>
      <c r="H12" s="187">
        <f>BS_Data!J75-H9</f>
        <v>126804.89000000001</v>
      </c>
      <c r="I12" s="92">
        <f>H12</f>
        <v>126804.89000000001</v>
      </c>
      <c r="J12" s="92">
        <f t="shared" ref="J12:V12" si="23">I12</f>
        <v>126804.89000000001</v>
      </c>
      <c r="K12" s="92">
        <f t="shared" si="23"/>
        <v>126804.89000000001</v>
      </c>
      <c r="L12" s="92">
        <f t="shared" si="23"/>
        <v>126804.89000000001</v>
      </c>
      <c r="M12" s="92">
        <f t="shared" si="23"/>
        <v>126804.89000000001</v>
      </c>
      <c r="N12" s="92">
        <f t="shared" si="23"/>
        <v>126804.89000000001</v>
      </c>
      <c r="O12" s="92">
        <f t="shared" si="23"/>
        <v>126804.89000000001</v>
      </c>
      <c r="P12" s="92">
        <f t="shared" si="23"/>
        <v>126804.89000000001</v>
      </c>
      <c r="Q12" s="92">
        <f t="shared" si="23"/>
        <v>126804.89000000001</v>
      </c>
      <c r="R12" s="92">
        <f t="shared" si="23"/>
        <v>126804.89000000001</v>
      </c>
      <c r="S12" s="92">
        <f t="shared" si="23"/>
        <v>126804.89000000001</v>
      </c>
      <c r="T12" s="92">
        <f t="shared" si="23"/>
        <v>126804.89000000001</v>
      </c>
      <c r="U12" s="92">
        <f t="shared" si="23"/>
        <v>126804.89000000001</v>
      </c>
      <c r="V12" s="92">
        <f t="shared" si="23"/>
        <v>126804.89000000001</v>
      </c>
      <c r="W12" s="92">
        <f t="shared" ref="W12" si="24">V12</f>
        <v>126804.89000000001</v>
      </c>
      <c r="X12" s="92">
        <f t="shared" ref="X12" si="25">W12</f>
        <v>126804.89000000001</v>
      </c>
      <c r="Y12" s="92">
        <f t="shared" ref="Y12" si="26">X12</f>
        <v>126804.89000000001</v>
      </c>
      <c r="Z12" s="92">
        <f t="shared" ref="Z12" si="27">Y12</f>
        <v>126804.89000000001</v>
      </c>
      <c r="AA12" s="92">
        <f t="shared" ref="AA12" si="28">Z12</f>
        <v>126804.89000000001</v>
      </c>
      <c r="AB12" s="92">
        <f t="shared" ref="AB12" si="29">AA12</f>
        <v>126804.89000000001</v>
      </c>
      <c r="AC12" s="92">
        <f t="shared" ref="AC12" si="30">AB12</f>
        <v>126804.89000000001</v>
      </c>
      <c r="AD12" s="7">
        <v>0</v>
      </c>
    </row>
    <row r="13" spans="1:30" ht="13.5" customHeight="1">
      <c r="A13" s="5">
        <v>1</v>
      </c>
      <c r="B13" s="93" t="s">
        <v>76</v>
      </c>
      <c r="C13" s="188">
        <f t="shared" ref="C13:H13" si="31">+C14+C15+C16+C17</f>
        <v>57306307.579999998</v>
      </c>
      <c r="D13" s="188">
        <f t="shared" si="31"/>
        <v>55249263.880000003</v>
      </c>
      <c r="E13" s="188">
        <f t="shared" si="31"/>
        <v>53636547.68</v>
      </c>
      <c r="F13" s="188">
        <f t="shared" si="31"/>
        <v>59442281.200000003</v>
      </c>
      <c r="G13" s="188">
        <f t="shared" si="31"/>
        <v>63658567.850000001</v>
      </c>
      <c r="H13" s="188">
        <f t="shared" si="31"/>
        <v>62403994.840000018</v>
      </c>
      <c r="I13" s="95">
        <f>SUM(I14:I17)</f>
        <v>83551459.902244866</v>
      </c>
      <c r="J13" s="95">
        <f t="shared" ref="J13:V13" si="32">SUM(J14:J17)</f>
        <v>211510743.09694067</v>
      </c>
      <c r="K13" s="95">
        <f t="shared" si="32"/>
        <v>374882511.34304202</v>
      </c>
      <c r="L13" s="95">
        <f t="shared" si="32"/>
        <v>498138353.7009812</v>
      </c>
      <c r="M13" s="95">
        <f t="shared" si="32"/>
        <v>555810056.33059287</v>
      </c>
      <c r="N13" s="95">
        <f t="shared" si="32"/>
        <v>731846265.29255962</v>
      </c>
      <c r="O13" s="95">
        <f t="shared" si="32"/>
        <v>822619906.13376212</v>
      </c>
      <c r="P13" s="95">
        <f t="shared" si="32"/>
        <v>786599919.81078005</v>
      </c>
      <c r="Q13" s="95">
        <f t="shared" si="32"/>
        <v>751379605.74599707</v>
      </c>
      <c r="R13" s="95">
        <f t="shared" si="32"/>
        <v>717974225.03117728</v>
      </c>
      <c r="S13" s="95">
        <f t="shared" si="32"/>
        <v>684954612.0712688</v>
      </c>
      <c r="T13" s="95">
        <f t="shared" si="32"/>
        <v>659681464.2205646</v>
      </c>
      <c r="U13" s="95">
        <f t="shared" si="32"/>
        <v>634259718.01354074</v>
      </c>
      <c r="V13" s="95">
        <f t="shared" si="32"/>
        <v>608686401.48307097</v>
      </c>
      <c r="W13" s="95">
        <f t="shared" ref="W13:AC13" si="33">SUM(W14:W17)</f>
        <v>593611469.05595601</v>
      </c>
      <c r="X13" s="95">
        <f t="shared" si="33"/>
        <v>578607646.05066264</v>
      </c>
      <c r="Y13" s="95">
        <f t="shared" si="33"/>
        <v>564300338.59562731</v>
      </c>
      <c r="Z13" s="95">
        <f t="shared" si="33"/>
        <v>550996242.60305524</v>
      </c>
      <c r="AA13" s="95">
        <f t="shared" si="33"/>
        <v>537767608.49779582</v>
      </c>
      <c r="AB13" s="95">
        <f t="shared" si="33"/>
        <v>524615945.51759505</v>
      </c>
      <c r="AC13" s="95">
        <f t="shared" si="33"/>
        <v>511542793.08495414</v>
      </c>
      <c r="AD13" s="7">
        <v>0.6</v>
      </c>
    </row>
    <row r="14" spans="1:30" ht="13.5" customHeight="1">
      <c r="A14" s="5">
        <v>2</v>
      </c>
      <c r="B14" s="97" t="s">
        <v>77</v>
      </c>
      <c r="C14" s="187">
        <f>BS_Data!E84</f>
        <v>11593847.279999999</v>
      </c>
      <c r="D14" s="187">
        <f>BS_Data!F84</f>
        <v>11593847.279999999</v>
      </c>
      <c r="E14" s="187">
        <f>BS_Data!G84</f>
        <v>11593847.279999999</v>
      </c>
      <c r="F14" s="187">
        <f>BS_Data!H84</f>
        <v>11537699.5</v>
      </c>
      <c r="G14" s="187">
        <f>BS_Data!I84</f>
        <v>11533073.6</v>
      </c>
      <c r="H14" s="187">
        <f>BS_Data!J84</f>
        <v>11533073.6</v>
      </c>
      <c r="I14" s="92">
        <f>H14</f>
        <v>11533073.6</v>
      </c>
      <c r="J14" s="92">
        <f t="shared" ref="J14:V14" si="34">I14</f>
        <v>11533073.6</v>
      </c>
      <c r="K14" s="92">
        <f t="shared" si="34"/>
        <v>11533073.6</v>
      </c>
      <c r="L14" s="92">
        <f t="shared" si="34"/>
        <v>11533073.6</v>
      </c>
      <c r="M14" s="92">
        <f t="shared" si="34"/>
        <v>11533073.6</v>
      </c>
      <c r="N14" s="92">
        <f t="shared" si="34"/>
        <v>11533073.6</v>
      </c>
      <c r="O14" s="92">
        <f t="shared" si="34"/>
        <v>11533073.6</v>
      </c>
      <c r="P14" s="92">
        <f t="shared" si="34"/>
        <v>11533073.6</v>
      </c>
      <c r="Q14" s="92">
        <f t="shared" si="34"/>
        <v>11533073.6</v>
      </c>
      <c r="R14" s="92">
        <f t="shared" si="34"/>
        <v>11533073.6</v>
      </c>
      <c r="S14" s="92">
        <f t="shared" si="34"/>
        <v>11533073.6</v>
      </c>
      <c r="T14" s="92">
        <f t="shared" si="34"/>
        <v>11533073.6</v>
      </c>
      <c r="U14" s="92">
        <f t="shared" si="34"/>
        <v>11533073.6</v>
      </c>
      <c r="V14" s="92">
        <f t="shared" si="34"/>
        <v>11533073.6</v>
      </c>
      <c r="W14" s="92">
        <f t="shared" ref="W14" si="35">V14</f>
        <v>11533073.6</v>
      </c>
      <c r="X14" s="92">
        <f t="shared" ref="X14" si="36">W14</f>
        <v>11533073.6</v>
      </c>
      <c r="Y14" s="92">
        <f t="shared" ref="Y14" si="37">X14</f>
        <v>11533073.6</v>
      </c>
      <c r="Z14" s="92">
        <f t="shared" ref="Z14" si="38">Y14</f>
        <v>11533073.6</v>
      </c>
      <c r="AA14" s="92">
        <f t="shared" ref="AA14" si="39">Z14</f>
        <v>11533073.6</v>
      </c>
      <c r="AB14" s="92">
        <f t="shared" ref="AB14" si="40">AA14</f>
        <v>11533073.6</v>
      </c>
      <c r="AC14" s="92">
        <f t="shared" ref="AC14" si="41">AB14</f>
        <v>11533073.6</v>
      </c>
      <c r="AD14" s="7">
        <v>0</v>
      </c>
    </row>
    <row r="15" spans="1:30" ht="13.5" customHeight="1">
      <c r="A15" s="5">
        <v>2</v>
      </c>
      <c r="B15" s="97" t="s">
        <v>78</v>
      </c>
      <c r="C15" s="187">
        <f>BS_Data!E87</f>
        <v>29184531.18</v>
      </c>
      <c r="D15" s="187">
        <f>BS_Data!F87</f>
        <v>28610531.16</v>
      </c>
      <c r="E15" s="187">
        <f>BS_Data!G87</f>
        <v>27156569.57</v>
      </c>
      <c r="F15" s="187">
        <f>BS_Data!H87</f>
        <v>26775989.219999999</v>
      </c>
      <c r="G15" s="187">
        <f>BS_Data!I87</f>
        <v>26217918.690000001</v>
      </c>
      <c r="H15" s="187">
        <f>BS_Data!J87</f>
        <v>25780639.780000009</v>
      </c>
      <c r="I15" s="92">
        <f>'Financials"A"'!H5</f>
        <v>49923750.960744858</v>
      </c>
      <c r="J15" s="92">
        <f>'Financials"A"'!I5</f>
        <v>180878680.27394065</v>
      </c>
      <c r="K15" s="92">
        <f>'Financials"A"'!J5</f>
        <v>341960136.07905132</v>
      </c>
      <c r="L15" s="92">
        <f>'Financials"A"'!K5</f>
        <v>389818722.68881214</v>
      </c>
      <c r="M15" s="92">
        <f>'Financials"A"'!L5</f>
        <v>458906817.06513566</v>
      </c>
      <c r="N15" s="92">
        <f>'Financials"A"'!M5</f>
        <v>646359417.7738142</v>
      </c>
      <c r="O15" s="92">
        <f>'Financials"A"'!N5</f>
        <v>642019592.02903175</v>
      </c>
      <c r="P15" s="92">
        <f>'Financials"A"'!O5</f>
        <v>623492919.55933428</v>
      </c>
      <c r="Q15" s="92">
        <f>'Financials"A"'!P5</f>
        <v>604966247.0896368</v>
      </c>
      <c r="R15" s="92">
        <f>'Financials"A"'!Q5</f>
        <v>586439574.61993945</v>
      </c>
      <c r="S15" s="92">
        <f>'Financials"A"'!R5</f>
        <v>567912902.15024197</v>
      </c>
      <c r="T15" s="92">
        <f>'Financials"A"'!S5</f>
        <v>549386229.6805445</v>
      </c>
      <c r="U15" s="92">
        <f>'Financials"A"'!T5</f>
        <v>530859557.21084696</v>
      </c>
      <c r="V15" s="92">
        <f>'Financials"A"'!U5</f>
        <v>512332884.74114943</v>
      </c>
      <c r="W15" s="92">
        <f>'Financials"A"'!V5</f>
        <v>493806212.27145189</v>
      </c>
      <c r="X15" s="92">
        <f>'Financials"A"'!W5</f>
        <v>475279539.80175442</v>
      </c>
      <c r="Y15" s="92">
        <f>'Financials"A"'!X5</f>
        <v>457376851.27205688</v>
      </c>
      <c r="Z15" s="92">
        <f>'Financials"A"'!Y5</f>
        <v>440403391.96235931</v>
      </c>
      <c r="AA15" s="92">
        <f>'Financials"A"'!Z5</f>
        <v>423429932.6526618</v>
      </c>
      <c r="AB15" s="92">
        <f>'Financials"A"'!AA5</f>
        <v>406456473.34296429</v>
      </c>
      <c r="AC15" s="92">
        <f>'Financials"A"'!AB5</f>
        <v>389483014.03326678</v>
      </c>
      <c r="AD15" s="7">
        <v>0</v>
      </c>
    </row>
    <row r="16" spans="1:30" ht="13.5" customHeight="1">
      <c r="A16" s="5">
        <v>2</v>
      </c>
      <c r="B16" s="97" t="s">
        <v>79</v>
      </c>
      <c r="C16" s="187">
        <f>BS_Data!E88</f>
        <v>12083408.42</v>
      </c>
      <c r="D16" s="187">
        <f>BS_Data!F88</f>
        <v>12986864.779999999</v>
      </c>
      <c r="E16" s="187">
        <f>BS_Data!G88</f>
        <v>12259076.76</v>
      </c>
      <c r="F16" s="187">
        <f>BS_Data!H88</f>
        <v>15285451.82</v>
      </c>
      <c r="G16" s="187">
        <f>BS_Data!I88</f>
        <v>18910241.27</v>
      </c>
      <c r="H16" s="187">
        <f>BS_Data!J88</f>
        <v>21089496.770000003</v>
      </c>
      <c r="I16" s="92">
        <f>H16/SUM(H16:H17)*'Financials"A"'!H4</f>
        <v>18571523.058111288</v>
      </c>
      <c r="J16" s="92">
        <f>I16/SUM(I16:I17)*'Financials"A"'!I4</f>
        <v>16053549.346222572</v>
      </c>
      <c r="K16" s="92">
        <f>J16/SUM(J16:J17)*'Financials"A"'!J4</f>
        <v>17978658.751773421</v>
      </c>
      <c r="L16" s="92">
        <f>K16/SUM(K16:K17)*'Financials"A"'!K4</f>
        <v>81353403.43540962</v>
      </c>
      <c r="M16" s="92">
        <f>L16/SUM(L16:L17)*'Financials"A"'!L4</f>
        <v>71757418.74105005</v>
      </c>
      <c r="N16" s="92">
        <f>M16/SUM(M16:M17)*'Financials"A"'!M4</f>
        <v>62161434.046690494</v>
      </c>
      <c r="O16" s="92">
        <f>N16/SUM(N16:N17)*'Financials"A"'!N4</f>
        <v>142108530.27781552</v>
      </c>
      <c r="P16" s="92">
        <f>O16/SUM(O16:O17)*'Financials"A"'!O4</f>
        <v>127404622.44826017</v>
      </c>
      <c r="Q16" s="92">
        <f>P16/SUM(P16:P17)*'Financials"A"'!P4</f>
        <v>113372874.69523621</v>
      </c>
      <c r="R16" s="92">
        <f>Q16/SUM(Q16:Q17)*'Financials"A"'!Q4</f>
        <v>100866659.09229326</v>
      </c>
      <c r="S16" s="92">
        <f>R16/SUM(R16:R17)*'Financials"A"'!R4</f>
        <v>88684698.433805406</v>
      </c>
      <c r="T16" s="92">
        <f>S16/SUM(S16:S17)*'Financials"A"'!S4</f>
        <v>83013986.011409745</v>
      </c>
      <c r="U16" s="92">
        <f>T16/SUM(T16:T17)*'Financials"A"'!T4</f>
        <v>77218370.065686733</v>
      </c>
      <c r="V16" s="92">
        <f>U16/SUM(U16:U17)*'Financials"A"'!U4</f>
        <v>71295352.526169807</v>
      </c>
      <c r="W16" s="92">
        <f>V16/SUM(V16:V17)*'Financials"A"'!V4</f>
        <v>74196693.453531548</v>
      </c>
      <c r="X16" s="92">
        <f>W16/SUM(W16:W17)*'Financials"A"'!W4</f>
        <v>77157805.010577738</v>
      </c>
      <c r="Y16" s="92">
        <f>X16/SUM(X16:X17)*'Financials"A"'!X4</f>
        <v>80179882.609902084</v>
      </c>
      <c r="Z16" s="92">
        <f>Y16/SUM(Y16:Y17)*'Financials"A"'!Y4</f>
        <v>83264145.572350115</v>
      </c>
      <c r="AA16" s="92">
        <f>Z16/SUM(Z16:Z17)*'Financials"A"'!Z4</f>
        <v>86411837.605184317</v>
      </c>
      <c r="AB16" s="92">
        <f>AA16/SUM(AA16:AA17)*'Financials"A"'!AA4</f>
        <v>89624227.289812431</v>
      </c>
      <c r="AC16" s="92">
        <f>AB16/SUM(AB16:AB17)*'Financials"A"'!AB4</f>
        <v>92902608.579270318</v>
      </c>
      <c r="AD16" s="7">
        <v>0.6</v>
      </c>
    </row>
    <row r="17" spans="1:30" ht="13.5" customHeight="1">
      <c r="A17" s="5">
        <v>2</v>
      </c>
      <c r="B17" s="97" t="s">
        <v>80</v>
      </c>
      <c r="C17" s="187">
        <f>BS_Data!E83-SUM(C14:C16)</f>
        <v>4444520.6999999955</v>
      </c>
      <c r="D17" s="187">
        <f>BS_Data!F83-SUM(D14:D16)</f>
        <v>2058020.6600000039</v>
      </c>
      <c r="E17" s="187">
        <f>BS_Data!G83-SUM(E14:E16)</f>
        <v>2627054.0700000003</v>
      </c>
      <c r="F17" s="187">
        <f>BS_Data!H83-SUM(F14:F16)</f>
        <v>5843140.6600000039</v>
      </c>
      <c r="G17" s="187">
        <f>BS_Data!I83-SUM(G14:G16)</f>
        <v>6997334.2899999991</v>
      </c>
      <c r="H17" s="187">
        <f>BS_Data!J83-SUM(H14:H16)</f>
        <v>4000784.6900000051</v>
      </c>
      <c r="I17" s="92">
        <f>'Financials"A"'!H4-I16</f>
        <v>3523112.283388719</v>
      </c>
      <c r="J17" s="92">
        <f>'Financials"A"'!I4-J16</f>
        <v>3045439.8767774329</v>
      </c>
      <c r="K17" s="92">
        <f>'Financials"A"'!J4-K16</f>
        <v>3410642.912217278</v>
      </c>
      <c r="L17" s="92">
        <f>'Financials"A"'!K4-L16</f>
        <v>15433153.976759419</v>
      </c>
      <c r="M17" s="92">
        <f>'Financials"A"'!L4-M16</f>
        <v>13612746.924407169</v>
      </c>
      <c r="N17" s="92">
        <f>'Financials"A"'!M4-N16</f>
        <v>11792339.87205492</v>
      </c>
      <c r="O17" s="92">
        <f>'Financials"A"'!N4-O16</f>
        <v>26958710.226914853</v>
      </c>
      <c r="P17" s="92">
        <f>'Financials"A"'!O4-P16</f>
        <v>24169304.203185603</v>
      </c>
      <c r="Q17" s="92">
        <f>'Financials"A"'!P4-Q16</f>
        <v>21507410.361124039</v>
      </c>
      <c r="R17" s="92">
        <f>'Financials"A"'!Q4-R16</f>
        <v>19134917.71894455</v>
      </c>
      <c r="S17" s="92">
        <f>'Financials"A"'!R4-S16</f>
        <v>16823937.887221396</v>
      </c>
      <c r="T17" s="92">
        <f>'Financials"A"'!S4-T16</f>
        <v>15748174.92861034</v>
      </c>
      <c r="U17" s="92">
        <f>'Financials"A"'!T4-U16</f>
        <v>14648717.137007073</v>
      </c>
      <c r="V17" s="92">
        <f>'Financials"A"'!U4-V16</f>
        <v>13525090.615751728</v>
      </c>
      <c r="W17" s="92">
        <f>'Financials"A"'!V4-W16</f>
        <v>14075489.730972499</v>
      </c>
      <c r="X17" s="92">
        <f>'Financials"A"'!W4-X16</f>
        <v>14637227.63833046</v>
      </c>
      <c r="Y17" s="92">
        <f>'Financials"A"'!X4-Y16</f>
        <v>15210531.113668367</v>
      </c>
      <c r="Z17" s="92">
        <f>'Financials"A"'!Y4-Z16</f>
        <v>15795631.468345821</v>
      </c>
      <c r="AA17" s="92">
        <f>'Financials"A"'!Z4-AA16</f>
        <v>16392764.63994962</v>
      </c>
      <c r="AB17" s="92">
        <f>'Financials"A"'!AA4-AB16</f>
        <v>17002171.284818262</v>
      </c>
      <c r="AC17" s="92">
        <f>'Financials"A"'!AB4-AC16</f>
        <v>17624096.872417063</v>
      </c>
      <c r="AD17" s="4"/>
    </row>
    <row r="18" spans="1:30" ht="13.5" customHeight="1">
      <c r="A18" s="5">
        <v>1</v>
      </c>
      <c r="B18" s="93" t="s">
        <v>62</v>
      </c>
      <c r="C18" s="188">
        <f t="shared" ref="C18:V18" si="42">+C19+C20+C21</f>
        <v>0</v>
      </c>
      <c r="D18" s="188">
        <f t="shared" si="42"/>
        <v>0</v>
      </c>
      <c r="E18" s="188">
        <f t="shared" si="42"/>
        <v>0</v>
      </c>
      <c r="F18" s="188">
        <f t="shared" si="42"/>
        <v>0</v>
      </c>
      <c r="G18" s="188">
        <f t="shared" si="42"/>
        <v>0</v>
      </c>
      <c r="H18" s="188">
        <f t="shared" si="42"/>
        <v>0</v>
      </c>
      <c r="I18" s="95">
        <f t="shared" si="42"/>
        <v>0</v>
      </c>
      <c r="J18" s="95">
        <f t="shared" si="42"/>
        <v>0</v>
      </c>
      <c r="K18" s="95">
        <f t="shared" si="42"/>
        <v>0</v>
      </c>
      <c r="L18" s="95">
        <f t="shared" si="42"/>
        <v>0</v>
      </c>
      <c r="M18" s="95">
        <f t="shared" si="42"/>
        <v>0</v>
      </c>
      <c r="N18" s="95">
        <f t="shared" si="42"/>
        <v>0</v>
      </c>
      <c r="O18" s="95">
        <f t="shared" si="42"/>
        <v>0</v>
      </c>
      <c r="P18" s="95">
        <f t="shared" si="42"/>
        <v>0</v>
      </c>
      <c r="Q18" s="95">
        <f t="shared" si="42"/>
        <v>0</v>
      </c>
      <c r="R18" s="95">
        <f t="shared" si="42"/>
        <v>0</v>
      </c>
      <c r="S18" s="95">
        <f t="shared" si="42"/>
        <v>0</v>
      </c>
      <c r="T18" s="95">
        <f t="shared" si="42"/>
        <v>0</v>
      </c>
      <c r="U18" s="95">
        <f t="shared" si="42"/>
        <v>0</v>
      </c>
      <c r="V18" s="95">
        <f t="shared" si="42"/>
        <v>0</v>
      </c>
      <c r="W18" s="95">
        <f t="shared" ref="W18:AC18" si="43">+W19+W20+W21</f>
        <v>0</v>
      </c>
      <c r="X18" s="95">
        <f t="shared" si="43"/>
        <v>0</v>
      </c>
      <c r="Y18" s="95">
        <f t="shared" si="43"/>
        <v>0</v>
      </c>
      <c r="Z18" s="95">
        <f t="shared" si="43"/>
        <v>0</v>
      </c>
      <c r="AA18" s="95">
        <f t="shared" si="43"/>
        <v>0</v>
      </c>
      <c r="AB18" s="95">
        <f t="shared" si="43"/>
        <v>0</v>
      </c>
      <c r="AC18" s="95">
        <f t="shared" si="43"/>
        <v>0</v>
      </c>
      <c r="AD18" s="4"/>
    </row>
    <row r="19" spans="1:30" ht="13.5" customHeight="1">
      <c r="A19" s="5">
        <v>2</v>
      </c>
      <c r="B19" s="97" t="s">
        <v>81</v>
      </c>
      <c r="C19" s="187">
        <f>BS_Data!E96</f>
        <v>0</v>
      </c>
      <c r="D19" s="187">
        <f>BS_Data!F96</f>
        <v>0</v>
      </c>
      <c r="E19" s="187">
        <f>BS_Data!G96</f>
        <v>0</v>
      </c>
      <c r="F19" s="187">
        <f>BS_Data!H96</f>
        <v>0</v>
      </c>
      <c r="G19" s="187">
        <f>BS_Data!I96</f>
        <v>0</v>
      </c>
      <c r="H19" s="187">
        <f>BS_Data!J96</f>
        <v>0</v>
      </c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4"/>
    </row>
    <row r="20" spans="1:30" ht="13.5" customHeight="1">
      <c r="A20" s="5">
        <v>2</v>
      </c>
      <c r="B20" s="97" t="s">
        <v>82</v>
      </c>
      <c r="C20" s="187"/>
      <c r="D20" s="187"/>
      <c r="E20" s="187"/>
      <c r="F20" s="187"/>
      <c r="G20" s="187"/>
      <c r="H20" s="187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4"/>
    </row>
    <row r="21" spans="1:30" ht="13.5" customHeight="1">
      <c r="A21" s="5">
        <v>2</v>
      </c>
      <c r="B21" s="97" t="s">
        <v>83</v>
      </c>
      <c r="C21" s="187"/>
      <c r="D21" s="187"/>
      <c r="E21" s="187"/>
      <c r="F21" s="187"/>
      <c r="G21" s="187"/>
      <c r="H21" s="187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4"/>
    </row>
    <row r="22" spans="1:30" ht="13.5" customHeight="1">
      <c r="A22" s="5">
        <v>1</v>
      </c>
      <c r="B22" s="100" t="s">
        <v>84</v>
      </c>
      <c r="C22" s="185">
        <f t="shared" ref="C22:V22" si="44">+C23+C27+C33+C41</f>
        <v>17813780.34</v>
      </c>
      <c r="D22" s="185">
        <f t="shared" si="44"/>
        <v>17975387.16</v>
      </c>
      <c r="E22" s="185">
        <f t="shared" si="44"/>
        <v>20524385.48</v>
      </c>
      <c r="F22" s="185">
        <f t="shared" si="44"/>
        <v>27480234.030000001</v>
      </c>
      <c r="G22" s="185">
        <f t="shared" si="44"/>
        <v>30592866.770000003</v>
      </c>
      <c r="H22" s="185">
        <f t="shared" si="44"/>
        <v>57035388.629999995</v>
      </c>
      <c r="I22" s="102">
        <f t="shared" si="44"/>
        <v>58472479.706042364</v>
      </c>
      <c r="J22" s="102">
        <f t="shared" si="44"/>
        <v>58278508.487677068</v>
      </c>
      <c r="K22" s="102">
        <f t="shared" si="44"/>
        <v>59588346.975719944</v>
      </c>
      <c r="L22" s="102">
        <f t="shared" si="44"/>
        <v>62510933.30615852</v>
      </c>
      <c r="M22" s="102">
        <f t="shared" si="44"/>
        <v>65528308.160236023</v>
      </c>
      <c r="N22" s="102">
        <f t="shared" si="44"/>
        <v>68004367.318713263</v>
      </c>
      <c r="O22" s="102">
        <f t="shared" si="44"/>
        <v>72607338.34151347</v>
      </c>
      <c r="P22" s="102">
        <f t="shared" si="44"/>
        <v>79160476.73288615</v>
      </c>
      <c r="Q22" s="102">
        <f t="shared" si="44"/>
        <v>85793284.516137898</v>
      </c>
      <c r="R22" s="102">
        <f t="shared" si="44"/>
        <v>92536841.269915953</v>
      </c>
      <c r="S22" s="102">
        <f t="shared" si="44"/>
        <v>99420092.716335088</v>
      </c>
      <c r="T22" s="102">
        <f t="shared" si="44"/>
        <v>106422181.79165231</v>
      </c>
      <c r="U22" s="102">
        <f t="shared" si="44"/>
        <v>113530193.67696519</v>
      </c>
      <c r="V22" s="102">
        <f t="shared" si="44"/>
        <v>120749481.21677916</v>
      </c>
      <c r="W22" s="102">
        <f t="shared" ref="W22:AC22" si="45">+W23+W27+W33+W41</f>
        <v>96108547.925915122</v>
      </c>
      <c r="X22" s="102">
        <f t="shared" si="45"/>
        <v>71359524.560507968</v>
      </c>
      <c r="Y22" s="102">
        <f t="shared" si="45"/>
        <v>46500308.537030965</v>
      </c>
      <c r="Z22" s="102">
        <f t="shared" si="45"/>
        <v>21528755.220286697</v>
      </c>
      <c r="AA22" s="102">
        <f t="shared" si="45"/>
        <v>-3557322.9176264182</v>
      </c>
      <c r="AB22" s="102">
        <f t="shared" si="45"/>
        <v>-28760157.155167215</v>
      </c>
      <c r="AC22" s="102">
        <f t="shared" si="45"/>
        <v>-54082023.396364637</v>
      </c>
      <c r="AD22" s="4"/>
    </row>
    <row r="23" spans="1:30" ht="13.5" customHeight="1">
      <c r="A23" s="5">
        <v>1</v>
      </c>
      <c r="B23" s="93" t="s">
        <v>63</v>
      </c>
      <c r="C23" s="186">
        <f t="shared" ref="C23:V23" si="46">+C24+C25+C26</f>
        <v>1442726.95</v>
      </c>
      <c r="D23" s="186">
        <f t="shared" si="46"/>
        <v>1203133.25</v>
      </c>
      <c r="E23" s="186">
        <f t="shared" si="46"/>
        <v>1459004.77</v>
      </c>
      <c r="F23" s="186">
        <f t="shared" si="46"/>
        <v>2110789.23</v>
      </c>
      <c r="G23" s="186">
        <f t="shared" si="46"/>
        <v>4002460.69</v>
      </c>
      <c r="H23" s="186">
        <f t="shared" si="46"/>
        <v>6342517.6800000006</v>
      </c>
      <c r="I23" s="129">
        <f t="shared" si="46"/>
        <v>6676063.8935287297</v>
      </c>
      <c r="J23" s="129">
        <f t="shared" si="46"/>
        <v>6638142.7979529928</v>
      </c>
      <c r="K23" s="129">
        <f t="shared" si="46"/>
        <v>6850899.3296503285</v>
      </c>
      <c r="L23" s="129">
        <f t="shared" si="46"/>
        <v>7248454.6272614514</v>
      </c>
      <c r="M23" s="129">
        <f t="shared" si="46"/>
        <v>7541739.0701039145</v>
      </c>
      <c r="N23" s="129">
        <f t="shared" si="46"/>
        <v>7590597.6019815383</v>
      </c>
      <c r="O23" s="129">
        <f t="shared" si="46"/>
        <v>7802990.1481444398</v>
      </c>
      <c r="P23" s="129">
        <f t="shared" si="46"/>
        <v>8127476.9209075719</v>
      </c>
      <c r="Q23" s="129">
        <f t="shared" si="46"/>
        <v>8162015.2403702969</v>
      </c>
      <c r="R23" s="129">
        <f t="shared" si="46"/>
        <v>8192543.1183886277</v>
      </c>
      <c r="S23" s="129">
        <f t="shared" si="46"/>
        <v>8225041.349169516</v>
      </c>
      <c r="T23" s="129">
        <f t="shared" si="46"/>
        <v>8254907.1406193841</v>
      </c>
      <c r="U23" s="129">
        <f t="shared" si="46"/>
        <v>8279382.6985625084</v>
      </c>
      <c r="V23" s="129">
        <f t="shared" si="46"/>
        <v>8299723.1592008667</v>
      </c>
      <c r="W23" s="129">
        <f t="shared" ref="W23:AC23" si="47">+W24+W25+W26</f>
        <v>8192994.1428786535</v>
      </c>
      <c r="X23" s="129">
        <f t="shared" si="47"/>
        <v>8192994.1428786535</v>
      </c>
      <c r="Y23" s="129">
        <f t="shared" si="47"/>
        <v>8192994.1428786535</v>
      </c>
      <c r="Z23" s="129">
        <f t="shared" si="47"/>
        <v>8192994.1428786535</v>
      </c>
      <c r="AA23" s="129">
        <f t="shared" si="47"/>
        <v>8192994.1428786535</v>
      </c>
      <c r="AB23" s="129">
        <f t="shared" si="47"/>
        <v>8192994.1428786535</v>
      </c>
      <c r="AC23" s="129">
        <f t="shared" si="47"/>
        <v>8192994.1428786535</v>
      </c>
      <c r="AD23" s="7">
        <v>0.2</v>
      </c>
    </row>
    <row r="24" spans="1:30" ht="13.5" customHeight="1">
      <c r="A24" s="5">
        <v>2</v>
      </c>
      <c r="B24" s="97" t="s">
        <v>85</v>
      </c>
      <c r="C24" s="187">
        <f>BS_Data!E106</f>
        <v>1442726.95</v>
      </c>
      <c r="D24" s="187">
        <f>BS_Data!F106</f>
        <v>1203133.25</v>
      </c>
      <c r="E24" s="187">
        <f>BS_Data!G106</f>
        <v>1459004.77</v>
      </c>
      <c r="F24" s="187">
        <f>BS_Data!H106</f>
        <v>2110789.23</v>
      </c>
      <c r="G24" s="187">
        <f>BS_Data!I106</f>
        <v>4002460.69</v>
      </c>
      <c r="H24" s="187">
        <f>BS_Data!J106</f>
        <v>6342517.6800000006</v>
      </c>
      <c r="I24" s="92">
        <f>'Financials"A"'!H50</f>
        <v>6676063.8935287297</v>
      </c>
      <c r="J24" s="92">
        <f>'Financials"A"'!I50</f>
        <v>6638142.7979529928</v>
      </c>
      <c r="K24" s="92">
        <f>'Financials"A"'!J50</f>
        <v>6850899.3296503285</v>
      </c>
      <c r="L24" s="92">
        <f>'Financials"A"'!K50</f>
        <v>7248454.6272614514</v>
      </c>
      <c r="M24" s="92">
        <f>'Financials"A"'!L50</f>
        <v>7541739.0701039145</v>
      </c>
      <c r="N24" s="92">
        <f>'Financials"A"'!M50</f>
        <v>7590597.6019815383</v>
      </c>
      <c r="O24" s="92">
        <f>'Financials"A"'!N50</f>
        <v>7802990.1481444398</v>
      </c>
      <c r="P24" s="92">
        <f>'Financials"A"'!O50</f>
        <v>8127476.9209075719</v>
      </c>
      <c r="Q24" s="92">
        <f>'Financials"A"'!P50</f>
        <v>8162015.2403702969</v>
      </c>
      <c r="R24" s="92">
        <f>'Financials"A"'!Q50</f>
        <v>8192543.1183886277</v>
      </c>
      <c r="S24" s="92">
        <f>'Financials"A"'!R50</f>
        <v>8225041.349169516</v>
      </c>
      <c r="T24" s="92">
        <f>'Financials"A"'!S50</f>
        <v>8254907.1406193841</v>
      </c>
      <c r="U24" s="92">
        <f>'Financials"A"'!T50</f>
        <v>8279382.6985625084</v>
      </c>
      <c r="V24" s="92">
        <f>'Financials"A"'!U50</f>
        <v>8299723.1592008667</v>
      </c>
      <c r="W24" s="92">
        <f>'Financials"A"'!V50</f>
        <v>8192994.1428786535</v>
      </c>
      <c r="X24" s="92">
        <f>'Financials"A"'!W50</f>
        <v>8192994.1428786535</v>
      </c>
      <c r="Y24" s="92">
        <f>'Financials"A"'!X50</f>
        <v>8192994.1428786535</v>
      </c>
      <c r="Z24" s="92">
        <f>'Financials"A"'!Y50</f>
        <v>8192994.1428786535</v>
      </c>
      <c r="AA24" s="92">
        <f>'Financials"A"'!Z50</f>
        <v>8192994.1428786535</v>
      </c>
      <c r="AB24" s="92">
        <f>'Financials"A"'!AA50</f>
        <v>8192994.1428786535</v>
      </c>
      <c r="AC24" s="92">
        <f>'Financials"A"'!AB50</f>
        <v>8192994.1428786535</v>
      </c>
      <c r="AD24" s="7">
        <v>0.2</v>
      </c>
    </row>
    <row r="25" spans="1:30" ht="13.5" customHeight="1">
      <c r="A25" s="5">
        <v>2</v>
      </c>
      <c r="B25" s="97" t="s">
        <v>86</v>
      </c>
      <c r="C25" s="187"/>
      <c r="D25" s="187"/>
      <c r="E25" s="187"/>
      <c r="F25" s="187"/>
      <c r="G25" s="187"/>
      <c r="H25" s="187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0" ht="13.5" customHeight="1">
      <c r="A26" s="5">
        <v>2</v>
      </c>
      <c r="B26" s="97" t="s">
        <v>87</v>
      </c>
      <c r="C26" s="187"/>
      <c r="D26" s="187"/>
      <c r="E26" s="187"/>
      <c r="F26" s="187"/>
      <c r="G26" s="187"/>
      <c r="H26" s="187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7">
        <v>0.5</v>
      </c>
    </row>
    <row r="27" spans="1:30" ht="13.5" customHeight="1">
      <c r="A27" s="5">
        <v>1</v>
      </c>
      <c r="B27" s="93" t="s">
        <v>88</v>
      </c>
      <c r="C27" s="188">
        <f t="shared" ref="C27:V27" si="48">+C28+C29+C30+C31+C32</f>
        <v>0</v>
      </c>
      <c r="D27" s="188">
        <f t="shared" si="48"/>
        <v>0</v>
      </c>
      <c r="E27" s="188">
        <f t="shared" si="48"/>
        <v>0</v>
      </c>
      <c r="F27" s="188">
        <f t="shared" si="48"/>
        <v>0</v>
      </c>
      <c r="G27" s="188">
        <f t="shared" si="48"/>
        <v>0</v>
      </c>
      <c r="H27" s="188">
        <f t="shared" si="48"/>
        <v>0</v>
      </c>
      <c r="I27" s="95">
        <f t="shared" si="48"/>
        <v>0</v>
      </c>
      <c r="J27" s="95">
        <f t="shared" si="48"/>
        <v>0</v>
      </c>
      <c r="K27" s="95">
        <f t="shared" si="48"/>
        <v>0</v>
      </c>
      <c r="L27" s="95">
        <f t="shared" si="48"/>
        <v>0</v>
      </c>
      <c r="M27" s="95">
        <f t="shared" si="48"/>
        <v>0</v>
      </c>
      <c r="N27" s="95">
        <f t="shared" si="48"/>
        <v>0</v>
      </c>
      <c r="O27" s="95">
        <f t="shared" si="48"/>
        <v>0</v>
      </c>
      <c r="P27" s="95">
        <f t="shared" si="48"/>
        <v>0</v>
      </c>
      <c r="Q27" s="95">
        <f t="shared" si="48"/>
        <v>0</v>
      </c>
      <c r="R27" s="95">
        <f t="shared" si="48"/>
        <v>0</v>
      </c>
      <c r="S27" s="95">
        <f t="shared" si="48"/>
        <v>0</v>
      </c>
      <c r="T27" s="95">
        <f t="shared" si="48"/>
        <v>0</v>
      </c>
      <c r="U27" s="95">
        <f t="shared" si="48"/>
        <v>0</v>
      </c>
      <c r="V27" s="95">
        <f t="shared" si="48"/>
        <v>0</v>
      </c>
      <c r="W27" s="95">
        <f t="shared" ref="W27:AC27" si="49">+W28+W29+W30+W31+W32</f>
        <v>0</v>
      </c>
      <c r="X27" s="95">
        <f t="shared" si="49"/>
        <v>0</v>
      </c>
      <c r="Y27" s="95">
        <f t="shared" si="49"/>
        <v>0</v>
      </c>
      <c r="Z27" s="95">
        <f t="shared" si="49"/>
        <v>0</v>
      </c>
      <c r="AA27" s="95">
        <f t="shared" si="49"/>
        <v>0</v>
      </c>
      <c r="AB27" s="95">
        <f t="shared" si="49"/>
        <v>0</v>
      </c>
      <c r="AC27" s="95">
        <f t="shared" si="49"/>
        <v>0</v>
      </c>
      <c r="AD27" s="4"/>
    </row>
    <row r="28" spans="1:30" ht="13.5" customHeight="1">
      <c r="A28" s="5">
        <v>2</v>
      </c>
      <c r="B28" s="97" t="s">
        <v>89</v>
      </c>
      <c r="C28" s="187"/>
      <c r="D28" s="187"/>
      <c r="E28" s="187"/>
      <c r="F28" s="187"/>
      <c r="G28" s="187"/>
      <c r="H28" s="187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4"/>
    </row>
    <row r="29" spans="1:30" ht="13.5" customHeight="1">
      <c r="A29" s="5">
        <v>2</v>
      </c>
      <c r="B29" s="97" t="s">
        <v>90</v>
      </c>
      <c r="C29" s="187"/>
      <c r="D29" s="187"/>
      <c r="E29" s="187"/>
      <c r="F29" s="187"/>
      <c r="G29" s="187"/>
      <c r="H29" s="187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4"/>
    </row>
    <row r="30" spans="1:30" ht="13.5" customHeight="1">
      <c r="A30" s="5">
        <v>2</v>
      </c>
      <c r="B30" s="97" t="s">
        <v>91</v>
      </c>
      <c r="C30" s="187"/>
      <c r="D30" s="187"/>
      <c r="E30" s="187"/>
      <c r="F30" s="187"/>
      <c r="G30" s="187"/>
      <c r="H30" s="187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4"/>
    </row>
    <row r="31" spans="1:30" ht="13.5" customHeight="1">
      <c r="A31" s="5">
        <v>2</v>
      </c>
      <c r="B31" s="97" t="s">
        <v>92</v>
      </c>
      <c r="C31" s="187"/>
      <c r="D31" s="187"/>
      <c r="E31" s="187"/>
      <c r="F31" s="187"/>
      <c r="G31" s="187"/>
      <c r="H31" s="187"/>
      <c r="I31" s="283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7">
        <v>0</v>
      </c>
    </row>
    <row r="32" spans="1:30" ht="13.5" customHeight="1">
      <c r="A32" s="5">
        <v>2</v>
      </c>
      <c r="B32" s="97" t="s">
        <v>93</v>
      </c>
      <c r="C32" s="187"/>
      <c r="D32" s="187"/>
      <c r="E32" s="187"/>
      <c r="F32" s="187"/>
      <c r="G32" s="187"/>
      <c r="H32" s="187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4"/>
    </row>
    <row r="33" spans="1:30" ht="13.5" customHeight="1">
      <c r="A33" s="5">
        <v>1</v>
      </c>
      <c r="B33" s="93" t="s">
        <v>94</v>
      </c>
      <c r="C33" s="188">
        <f t="shared" ref="C33:V33" si="50">+C34+C35+C36+C37+C38+C39+C40</f>
        <v>15267843.76</v>
      </c>
      <c r="D33" s="188">
        <f t="shared" si="50"/>
        <v>15746243.470000001</v>
      </c>
      <c r="E33" s="188">
        <f t="shared" si="50"/>
        <v>16417296.23</v>
      </c>
      <c r="F33" s="188">
        <f t="shared" si="50"/>
        <v>15189953.449999999</v>
      </c>
      <c r="G33" s="188">
        <f t="shared" si="50"/>
        <v>15572853.699999999</v>
      </c>
      <c r="H33" s="188">
        <f t="shared" si="50"/>
        <v>22232908.839999996</v>
      </c>
      <c r="I33" s="95">
        <f t="shared" si="50"/>
        <v>23336453.702513635</v>
      </c>
      <c r="J33" s="95">
        <f t="shared" si="50"/>
        <v>23204402.744559769</v>
      </c>
      <c r="K33" s="95">
        <f t="shared" si="50"/>
        <v>23945275.42756189</v>
      </c>
      <c r="L33" s="95">
        <f t="shared" si="50"/>
        <v>25329664.699341625</v>
      </c>
      <c r="M33" s="95">
        <f t="shared" si="50"/>
        <v>26350956.174240191</v>
      </c>
      <c r="N33" s="95">
        <f t="shared" si="50"/>
        <v>26521094.084042251</v>
      </c>
      <c r="O33" s="95">
        <f t="shared" si="50"/>
        <v>27260699.276277717</v>
      </c>
      <c r="P33" s="95">
        <f t="shared" si="50"/>
        <v>28390645.247937534</v>
      </c>
      <c r="Q33" s="95">
        <f t="shared" si="50"/>
        <v>28510916.513889246</v>
      </c>
      <c r="R33" s="95">
        <f t="shared" si="50"/>
        <v>28617222.396549419</v>
      </c>
      <c r="S33" s="95">
        <f t="shared" si="50"/>
        <v>28730389.551697958</v>
      </c>
      <c r="T33" s="95">
        <f t="shared" si="50"/>
        <v>28834389.879513618</v>
      </c>
      <c r="U33" s="95">
        <f t="shared" si="50"/>
        <v>28919620.03501875</v>
      </c>
      <c r="V33" s="95">
        <f t="shared" si="50"/>
        <v>28990450.723629888</v>
      </c>
      <c r="W33" s="95">
        <f t="shared" ref="W33:AC33" si="51">+W34+W35+W36+W37+W38+W39+W40</f>
        <v>28618792.97923075</v>
      </c>
      <c r="X33" s="95">
        <f t="shared" si="51"/>
        <v>28618792.97923075</v>
      </c>
      <c r="Y33" s="95">
        <f t="shared" si="51"/>
        <v>28618792.97923075</v>
      </c>
      <c r="Z33" s="95">
        <f t="shared" si="51"/>
        <v>28618792.97923075</v>
      </c>
      <c r="AA33" s="95">
        <f t="shared" si="51"/>
        <v>28618792.97923075</v>
      </c>
      <c r="AB33" s="95">
        <f t="shared" si="51"/>
        <v>28618792.97923075</v>
      </c>
      <c r="AC33" s="95">
        <f t="shared" si="51"/>
        <v>28618792.97923075</v>
      </c>
      <c r="AD33" s="4"/>
    </row>
    <row r="34" spans="1:30" ht="13.5" customHeight="1">
      <c r="A34" s="5">
        <v>2</v>
      </c>
      <c r="B34" s="97" t="s">
        <v>89</v>
      </c>
      <c r="C34" s="187">
        <f>BS_Data!E133</f>
        <v>14959525.85</v>
      </c>
      <c r="D34" s="187">
        <f>BS_Data!F133</f>
        <v>15326629.039999999</v>
      </c>
      <c r="E34" s="187">
        <f>BS_Data!G133</f>
        <v>16084519.91</v>
      </c>
      <c r="F34" s="187">
        <f>BS_Data!H133</f>
        <v>14931860.189999999</v>
      </c>
      <c r="G34" s="187">
        <f>BS_Data!I133</f>
        <v>15184155.800000001</v>
      </c>
      <c r="H34" s="187">
        <f>BS_Data!J133</f>
        <v>22086269.469999999</v>
      </c>
      <c r="I34" s="92">
        <f>'Financials"A"'!H47</f>
        <v>23247762.732513636</v>
      </c>
      <c r="J34" s="92">
        <f>'Financials"A"'!I47</f>
        <v>23115711.77455977</v>
      </c>
      <c r="K34" s="92">
        <f>'Financials"A"'!J47</f>
        <v>23856584.457561892</v>
      </c>
      <c r="L34" s="92">
        <f>'Financials"A"'!K47</f>
        <v>25240973.729341626</v>
      </c>
      <c r="M34" s="92">
        <f>'Financials"A"'!L47</f>
        <v>26262265.204240192</v>
      </c>
      <c r="N34" s="92">
        <f>'Financials"A"'!M47</f>
        <v>26432403.114042252</v>
      </c>
      <c r="O34" s="92">
        <f>'Financials"A"'!N47</f>
        <v>27172008.306277718</v>
      </c>
      <c r="P34" s="92">
        <f>'Financials"A"'!O47</f>
        <v>28301954.277937535</v>
      </c>
      <c r="Q34" s="92">
        <f>'Financials"A"'!P47</f>
        <v>28422225.543889247</v>
      </c>
      <c r="R34" s="92">
        <f>'Financials"A"'!Q47</f>
        <v>28528531.42654942</v>
      </c>
      <c r="S34" s="92">
        <f>'Financials"A"'!R47</f>
        <v>28641698.581697959</v>
      </c>
      <c r="T34" s="92">
        <f>'Financials"A"'!S47</f>
        <v>28745698.909513619</v>
      </c>
      <c r="U34" s="92">
        <f>'Financials"A"'!T47</f>
        <v>28830929.065018751</v>
      </c>
      <c r="V34" s="92">
        <f>'Financials"A"'!U47</f>
        <v>28901759.753629889</v>
      </c>
      <c r="W34" s="92">
        <f>'Financials"A"'!V47</f>
        <v>28530102.009230752</v>
      </c>
      <c r="X34" s="92">
        <f>'Financials"A"'!W47</f>
        <v>28530102.009230752</v>
      </c>
      <c r="Y34" s="92">
        <f>'Financials"A"'!X47</f>
        <v>28530102.009230752</v>
      </c>
      <c r="Z34" s="92">
        <f>'Financials"A"'!Y47</f>
        <v>28530102.009230752</v>
      </c>
      <c r="AA34" s="92">
        <f>'Financials"A"'!Z47</f>
        <v>28530102.009230752</v>
      </c>
      <c r="AB34" s="92">
        <f>'Financials"A"'!AA47</f>
        <v>28530102.009230752</v>
      </c>
      <c r="AC34" s="92">
        <f>'Financials"A"'!AB47</f>
        <v>28530102.009230752</v>
      </c>
      <c r="AD34" s="7">
        <v>0.9</v>
      </c>
    </row>
    <row r="35" spans="1:30" ht="13.5" customHeight="1">
      <c r="A35" s="5">
        <v>2</v>
      </c>
      <c r="B35" s="97" t="s">
        <v>1033</v>
      </c>
      <c r="C35" s="187">
        <f>BS_Data!E142</f>
        <v>47545.25</v>
      </c>
      <c r="D35" s="187">
        <f>BS_Data!F142</f>
        <v>55927.51</v>
      </c>
      <c r="E35" s="187">
        <f>BS_Data!G142</f>
        <v>57261.48</v>
      </c>
      <c r="F35" s="187">
        <f>BS_Data!H142</f>
        <v>43692.959999999999</v>
      </c>
      <c r="G35" s="187">
        <f>BS_Data!I142</f>
        <v>77861.100000000006</v>
      </c>
      <c r="H35" s="187">
        <f>BS_Data!J142</f>
        <v>66110.240000000005</v>
      </c>
      <c r="I35" s="92">
        <f>H35</f>
        <v>66110.240000000005</v>
      </c>
      <c r="J35" s="92">
        <f t="shared" ref="J35:V35" si="52">I35</f>
        <v>66110.240000000005</v>
      </c>
      <c r="K35" s="92">
        <f t="shared" si="52"/>
        <v>66110.240000000005</v>
      </c>
      <c r="L35" s="92">
        <f t="shared" si="52"/>
        <v>66110.240000000005</v>
      </c>
      <c r="M35" s="92">
        <f t="shared" si="52"/>
        <v>66110.240000000005</v>
      </c>
      <c r="N35" s="92">
        <f t="shared" si="52"/>
        <v>66110.240000000005</v>
      </c>
      <c r="O35" s="92">
        <f t="shared" si="52"/>
        <v>66110.240000000005</v>
      </c>
      <c r="P35" s="92">
        <f t="shared" si="52"/>
        <v>66110.240000000005</v>
      </c>
      <c r="Q35" s="92">
        <f t="shared" si="52"/>
        <v>66110.240000000005</v>
      </c>
      <c r="R35" s="92">
        <f t="shared" si="52"/>
        <v>66110.240000000005</v>
      </c>
      <c r="S35" s="92">
        <f t="shared" si="52"/>
        <v>66110.240000000005</v>
      </c>
      <c r="T35" s="92">
        <f t="shared" si="52"/>
        <v>66110.240000000005</v>
      </c>
      <c r="U35" s="92">
        <f t="shared" si="52"/>
        <v>66110.240000000005</v>
      </c>
      <c r="V35" s="92">
        <f t="shared" si="52"/>
        <v>66110.240000000005</v>
      </c>
      <c r="W35" s="92">
        <f t="shared" ref="W35" si="53">V35</f>
        <v>66110.240000000005</v>
      </c>
      <c r="X35" s="92">
        <f t="shared" ref="X35" si="54">W35</f>
        <v>66110.240000000005</v>
      </c>
      <c r="Y35" s="92">
        <f t="shared" ref="Y35" si="55">X35</f>
        <v>66110.240000000005</v>
      </c>
      <c r="Z35" s="92">
        <f t="shared" ref="Z35" si="56">Y35</f>
        <v>66110.240000000005</v>
      </c>
      <c r="AA35" s="92">
        <f t="shared" ref="AA35" si="57">Z35</f>
        <v>66110.240000000005</v>
      </c>
      <c r="AB35" s="92">
        <f t="shared" ref="AB35" si="58">AA35</f>
        <v>66110.240000000005</v>
      </c>
      <c r="AC35" s="92">
        <f t="shared" ref="AC35" si="59">AB35</f>
        <v>66110.240000000005</v>
      </c>
      <c r="AD35" s="4"/>
    </row>
    <row r="36" spans="1:30" ht="13.5" customHeight="1">
      <c r="A36" s="5">
        <v>2</v>
      </c>
      <c r="B36" s="97" t="s">
        <v>91</v>
      </c>
      <c r="C36" s="187"/>
      <c r="D36" s="187"/>
      <c r="E36" s="187"/>
      <c r="F36" s="187"/>
      <c r="G36" s="187"/>
      <c r="H36" s="187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4"/>
    </row>
    <row r="37" spans="1:30" ht="13.5" customHeight="1">
      <c r="A37" s="5">
        <v>2</v>
      </c>
      <c r="B37" s="97" t="s">
        <v>95</v>
      </c>
      <c r="C37" s="187"/>
      <c r="D37" s="187"/>
      <c r="E37" s="187"/>
      <c r="F37" s="187"/>
      <c r="G37" s="187"/>
      <c r="H37" s="187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4"/>
    </row>
    <row r="38" spans="1:30" ht="13.5" customHeight="1">
      <c r="A38" s="5">
        <v>2</v>
      </c>
      <c r="B38" s="97" t="s">
        <v>96</v>
      </c>
      <c r="C38" s="187">
        <f>BS_Data!E144</f>
        <v>115765.05</v>
      </c>
      <c r="D38" s="187">
        <f>BS_Data!F144</f>
        <v>97250.85</v>
      </c>
      <c r="E38" s="187">
        <f>BS_Data!G144</f>
        <v>62188.08</v>
      </c>
      <c r="F38" s="187">
        <f>BS_Data!H144</f>
        <v>0</v>
      </c>
      <c r="G38" s="187">
        <f>BS_Data!I144</f>
        <v>86737.81</v>
      </c>
      <c r="H38" s="187">
        <f>BS_Data!J144</f>
        <v>22580.73</v>
      </c>
      <c r="I38" s="92">
        <f>H38</f>
        <v>22580.73</v>
      </c>
      <c r="J38" s="92">
        <f t="shared" ref="J38:V38" si="60">I38</f>
        <v>22580.73</v>
      </c>
      <c r="K38" s="92">
        <f t="shared" si="60"/>
        <v>22580.73</v>
      </c>
      <c r="L38" s="92">
        <f t="shared" si="60"/>
        <v>22580.73</v>
      </c>
      <c r="M38" s="92">
        <f t="shared" si="60"/>
        <v>22580.73</v>
      </c>
      <c r="N38" s="92">
        <f t="shared" si="60"/>
        <v>22580.73</v>
      </c>
      <c r="O38" s="92">
        <f t="shared" si="60"/>
        <v>22580.73</v>
      </c>
      <c r="P38" s="92">
        <f t="shared" si="60"/>
        <v>22580.73</v>
      </c>
      <c r="Q38" s="92">
        <f t="shared" si="60"/>
        <v>22580.73</v>
      </c>
      <c r="R38" s="92">
        <f t="shared" si="60"/>
        <v>22580.73</v>
      </c>
      <c r="S38" s="92">
        <f t="shared" si="60"/>
        <v>22580.73</v>
      </c>
      <c r="T38" s="92">
        <f t="shared" si="60"/>
        <v>22580.73</v>
      </c>
      <c r="U38" s="92">
        <f t="shared" si="60"/>
        <v>22580.73</v>
      </c>
      <c r="V38" s="92">
        <f t="shared" si="60"/>
        <v>22580.73</v>
      </c>
      <c r="W38" s="92">
        <f t="shared" ref="W38" si="61">V38</f>
        <v>22580.73</v>
      </c>
      <c r="X38" s="92">
        <f t="shared" ref="X38" si="62">W38</f>
        <v>22580.73</v>
      </c>
      <c r="Y38" s="92">
        <f t="shared" ref="Y38" si="63">X38</f>
        <v>22580.73</v>
      </c>
      <c r="Z38" s="92">
        <f t="shared" ref="Z38" si="64">Y38</f>
        <v>22580.73</v>
      </c>
      <c r="AA38" s="92">
        <f t="shared" ref="AA38" si="65">Z38</f>
        <v>22580.73</v>
      </c>
      <c r="AB38" s="92">
        <f t="shared" ref="AB38" si="66">AA38</f>
        <v>22580.73</v>
      </c>
      <c r="AC38" s="92">
        <f t="shared" ref="AC38" si="67">AB38</f>
        <v>22580.73</v>
      </c>
      <c r="AD38" s="7">
        <v>0</v>
      </c>
    </row>
    <row r="39" spans="1:30" ht="13.5" customHeight="1">
      <c r="A39" s="5">
        <v>2</v>
      </c>
      <c r="B39" s="97" t="s">
        <v>97</v>
      </c>
      <c r="C39" s="187"/>
      <c r="D39" s="187"/>
      <c r="E39" s="187"/>
      <c r="F39" s="187"/>
      <c r="G39" s="187"/>
      <c r="H39" s="187"/>
      <c r="I39" s="283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4"/>
    </row>
    <row r="40" spans="1:30" ht="13.5" customHeight="1">
      <c r="A40" s="5">
        <v>2</v>
      </c>
      <c r="B40" s="97" t="s">
        <v>98</v>
      </c>
      <c r="C40" s="187">
        <f>BS_Data!E132-SUM(C34:C39)</f>
        <v>145007.6099999994</v>
      </c>
      <c r="D40" s="187">
        <f>BS_Data!F132-SUM(D34:D39)</f>
        <v>266436.07000000216</v>
      </c>
      <c r="E40" s="187">
        <f>BS_Data!G132-SUM(E34:E39)</f>
        <v>213326.75999999978</v>
      </c>
      <c r="F40" s="187">
        <f>BS_Data!H132-SUM(F34:F39)</f>
        <v>214400.29999999888</v>
      </c>
      <c r="G40" s="187">
        <f>BS_Data!I132-SUM(G34:G39)</f>
        <v>224098.98999999836</v>
      </c>
      <c r="H40" s="187">
        <f>BS_Data!J132-SUM(H34:H39)</f>
        <v>57948.39999999851</v>
      </c>
      <c r="I40" s="283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7">
        <v>0</v>
      </c>
    </row>
    <row r="41" spans="1:30" ht="13.5" customHeight="1">
      <c r="A41" s="5">
        <v>1</v>
      </c>
      <c r="B41" s="93" t="s">
        <v>99</v>
      </c>
      <c r="C41" s="189">
        <f>BS_Data!E157</f>
        <v>1103209.6299999999</v>
      </c>
      <c r="D41" s="189">
        <f>BS_Data!F157</f>
        <v>1026010.44</v>
      </c>
      <c r="E41" s="189">
        <f>BS_Data!G157</f>
        <v>2648084.48</v>
      </c>
      <c r="F41" s="189">
        <f>BS_Data!H157</f>
        <v>10179491.35</v>
      </c>
      <c r="G41" s="189">
        <f>BS_Data!I157</f>
        <v>11017552.380000001</v>
      </c>
      <c r="H41" s="189">
        <f>BS_Data!J157</f>
        <v>28459962.109999999</v>
      </c>
      <c r="I41" s="190">
        <f>'CF"A"'!H32</f>
        <v>28459962.109999999</v>
      </c>
      <c r="J41" s="190">
        <f>'CF"A"'!I32</f>
        <v>28435962.945164308</v>
      </c>
      <c r="K41" s="190">
        <f>'CF"A"'!J32</f>
        <v>28792172.218507722</v>
      </c>
      <c r="L41" s="190">
        <f>'CF"A"'!K32</f>
        <v>29932813.979555443</v>
      </c>
      <c r="M41" s="190">
        <f>'CF"A"'!L32</f>
        <v>31635612.915891916</v>
      </c>
      <c r="N41" s="190">
        <f>'CF"A"'!M32</f>
        <v>33892675.632689476</v>
      </c>
      <c r="O41" s="190">
        <f>'CF"A"'!N32</f>
        <v>37543648.91709131</v>
      </c>
      <c r="P41" s="190">
        <f>'CF"A"'!O32</f>
        <v>42642354.564041048</v>
      </c>
      <c r="Q41" s="190">
        <f>'CF"A"'!P32</f>
        <v>49120352.761878364</v>
      </c>
      <c r="R41" s="190">
        <f>'CF"A"'!Q32</f>
        <v>55727075.754977904</v>
      </c>
      <c r="S41" s="190">
        <f>'CF"A"'!R32</f>
        <v>62464661.815467611</v>
      </c>
      <c r="T41" s="190">
        <f>'CF"A"'!S32</f>
        <v>69332884.771519303</v>
      </c>
      <c r="U41" s="190">
        <f>'CF"A"'!T32</f>
        <v>76331190.943383932</v>
      </c>
      <c r="V41" s="190">
        <f>'CF"A"'!U32</f>
        <v>83459307.333948404</v>
      </c>
      <c r="W41" s="190">
        <f>'CF"A"'!V32</f>
        <v>59296760.803805709</v>
      </c>
      <c r="X41" s="190">
        <f>'CF"A"'!W32</f>
        <v>34547737.438398562</v>
      </c>
      <c r="Y41" s="190">
        <f>'CF"A"'!X32</f>
        <v>9688521.4149215594</v>
      </c>
      <c r="Z41" s="190">
        <f>'CF"A"'!Y32</f>
        <v>-15283031.901822709</v>
      </c>
      <c r="AA41" s="190">
        <f>'CF"A"'!Z32</f>
        <v>-40369110.039735824</v>
      </c>
      <c r="AB41" s="190">
        <f>'CF"A"'!AA32</f>
        <v>-65571944.27727662</v>
      </c>
      <c r="AC41" s="190">
        <f>'CF"A"'!AB32</f>
        <v>-90893810.518474042</v>
      </c>
      <c r="AD41" s="7">
        <v>1</v>
      </c>
    </row>
    <row r="42" spans="1:30" ht="13.5" customHeight="1">
      <c r="A42" s="5">
        <v>1</v>
      </c>
      <c r="B42" s="100" t="s">
        <v>100</v>
      </c>
      <c r="C42" s="185">
        <f t="shared" ref="C42:V42" si="68">+C43+C44</f>
        <v>35576.81</v>
      </c>
      <c r="D42" s="185">
        <f t="shared" si="68"/>
        <v>1617285.04</v>
      </c>
      <c r="E42" s="185">
        <f t="shared" si="68"/>
        <v>9882.09</v>
      </c>
      <c r="F42" s="185">
        <f t="shared" si="68"/>
        <v>31993.05</v>
      </c>
      <c r="G42" s="185">
        <f t="shared" si="68"/>
        <v>1622130.17</v>
      </c>
      <c r="H42" s="185">
        <f t="shared" si="68"/>
        <v>2088756.98</v>
      </c>
      <c r="I42" s="102">
        <f t="shared" si="68"/>
        <v>2088756.98</v>
      </c>
      <c r="J42" s="102">
        <f t="shared" si="68"/>
        <v>2088756.98</v>
      </c>
      <c r="K42" s="102">
        <f t="shared" si="68"/>
        <v>2088756.98</v>
      </c>
      <c r="L42" s="102">
        <f t="shared" si="68"/>
        <v>2088756.98</v>
      </c>
      <c r="M42" s="102">
        <f t="shared" si="68"/>
        <v>2088756.98</v>
      </c>
      <c r="N42" s="102">
        <f t="shared" si="68"/>
        <v>2088756.98</v>
      </c>
      <c r="O42" s="102">
        <f t="shared" si="68"/>
        <v>2088756.98</v>
      </c>
      <c r="P42" s="102">
        <f t="shared" si="68"/>
        <v>2088756.98</v>
      </c>
      <c r="Q42" s="102">
        <f t="shared" si="68"/>
        <v>2088756.98</v>
      </c>
      <c r="R42" s="102">
        <f t="shared" si="68"/>
        <v>2088756.98</v>
      </c>
      <c r="S42" s="102">
        <f t="shared" si="68"/>
        <v>2088756.98</v>
      </c>
      <c r="T42" s="102">
        <f t="shared" si="68"/>
        <v>2088756.98</v>
      </c>
      <c r="U42" s="102">
        <f t="shared" si="68"/>
        <v>2088756.98</v>
      </c>
      <c r="V42" s="102">
        <f t="shared" si="68"/>
        <v>2088756.98</v>
      </c>
      <c r="W42" s="102">
        <f t="shared" ref="W42:AC42" si="69">+W43+W44</f>
        <v>2088756.98</v>
      </c>
      <c r="X42" s="102">
        <f t="shared" si="69"/>
        <v>2088756.98</v>
      </c>
      <c r="Y42" s="102">
        <f t="shared" si="69"/>
        <v>2088756.98</v>
      </c>
      <c r="Z42" s="102">
        <f t="shared" si="69"/>
        <v>2088756.98</v>
      </c>
      <c r="AA42" s="102">
        <f t="shared" si="69"/>
        <v>2088756.98</v>
      </c>
      <c r="AB42" s="102">
        <f t="shared" si="69"/>
        <v>2088756.98</v>
      </c>
      <c r="AC42" s="102">
        <f t="shared" si="69"/>
        <v>2088756.98</v>
      </c>
      <c r="AD42" s="4"/>
    </row>
    <row r="43" spans="1:30" ht="13.5" customHeight="1">
      <c r="A43" s="5">
        <v>2</v>
      </c>
      <c r="B43" s="97" t="s">
        <v>101</v>
      </c>
      <c r="C43" s="187">
        <f>BS_Data!E183</f>
        <v>27867.52</v>
      </c>
      <c r="D43" s="187">
        <f>BS_Data!F183</f>
        <v>6033.24</v>
      </c>
      <c r="E43" s="187">
        <f>BS_Data!G183</f>
        <v>7847.3</v>
      </c>
      <c r="F43" s="187">
        <f>BS_Data!H183</f>
        <v>31993.05</v>
      </c>
      <c r="G43" s="187">
        <f>BS_Data!I183</f>
        <v>18963.919999999998</v>
      </c>
      <c r="H43" s="187">
        <f>BS_Data!J183</f>
        <v>28915.05</v>
      </c>
      <c r="I43" s="283">
        <f>H43</f>
        <v>28915.05</v>
      </c>
      <c r="J43" s="92">
        <f t="shared" ref="J43:V44" si="70">I43</f>
        <v>28915.05</v>
      </c>
      <c r="K43" s="92">
        <f t="shared" si="70"/>
        <v>28915.05</v>
      </c>
      <c r="L43" s="92">
        <f t="shared" si="70"/>
        <v>28915.05</v>
      </c>
      <c r="M43" s="92">
        <f t="shared" si="70"/>
        <v>28915.05</v>
      </c>
      <c r="N43" s="92">
        <f t="shared" si="70"/>
        <v>28915.05</v>
      </c>
      <c r="O43" s="92">
        <f t="shared" si="70"/>
        <v>28915.05</v>
      </c>
      <c r="P43" s="92">
        <f t="shared" si="70"/>
        <v>28915.05</v>
      </c>
      <c r="Q43" s="92">
        <f t="shared" si="70"/>
        <v>28915.05</v>
      </c>
      <c r="R43" s="92">
        <f t="shared" si="70"/>
        <v>28915.05</v>
      </c>
      <c r="S43" s="92">
        <f t="shared" si="70"/>
        <v>28915.05</v>
      </c>
      <c r="T43" s="92">
        <f t="shared" si="70"/>
        <v>28915.05</v>
      </c>
      <c r="U43" s="92">
        <f t="shared" si="70"/>
        <v>28915.05</v>
      </c>
      <c r="V43" s="92">
        <f t="shared" si="70"/>
        <v>28915.05</v>
      </c>
      <c r="W43" s="92">
        <f t="shared" ref="W43:W44" si="71">V43</f>
        <v>28915.05</v>
      </c>
      <c r="X43" s="92">
        <f t="shared" ref="X43:X44" si="72">W43</f>
        <v>28915.05</v>
      </c>
      <c r="Y43" s="92">
        <f t="shared" ref="Y43:Y44" si="73">X43</f>
        <v>28915.05</v>
      </c>
      <c r="Z43" s="92">
        <f t="shared" ref="Z43:Z44" si="74">Y43</f>
        <v>28915.05</v>
      </c>
      <c r="AA43" s="92">
        <f t="shared" ref="AA43:AA44" si="75">Z43</f>
        <v>28915.05</v>
      </c>
      <c r="AB43" s="92">
        <f t="shared" ref="AB43:AB44" si="76">AA43</f>
        <v>28915.05</v>
      </c>
      <c r="AC43" s="92">
        <f t="shared" ref="AC43:AC44" si="77">AB43</f>
        <v>28915.05</v>
      </c>
      <c r="AD43" s="7">
        <v>0</v>
      </c>
    </row>
    <row r="44" spans="1:30" ht="13.5" customHeight="1">
      <c r="A44" s="5">
        <v>2</v>
      </c>
      <c r="B44" s="97" t="s">
        <v>102</v>
      </c>
      <c r="C44" s="187">
        <f>BS_Data!E185</f>
        <v>7709.29</v>
      </c>
      <c r="D44" s="187">
        <f>BS_Data!F185</f>
        <v>1611251.8</v>
      </c>
      <c r="E44" s="187">
        <f>BS_Data!G185</f>
        <v>2034.79</v>
      </c>
      <c r="F44" s="187">
        <f>BS_Data!H185</f>
        <v>0</v>
      </c>
      <c r="G44" s="187">
        <f>BS_Data!I185</f>
        <v>1603166.25</v>
      </c>
      <c r="H44" s="187">
        <f>BS_Data!J185</f>
        <v>2059841.93</v>
      </c>
      <c r="I44" s="283">
        <f>H44</f>
        <v>2059841.93</v>
      </c>
      <c r="J44" s="92">
        <f t="shared" si="70"/>
        <v>2059841.93</v>
      </c>
      <c r="K44" s="92">
        <f t="shared" si="70"/>
        <v>2059841.93</v>
      </c>
      <c r="L44" s="92">
        <f t="shared" si="70"/>
        <v>2059841.93</v>
      </c>
      <c r="M44" s="92">
        <f t="shared" si="70"/>
        <v>2059841.93</v>
      </c>
      <c r="N44" s="92">
        <f t="shared" si="70"/>
        <v>2059841.93</v>
      </c>
      <c r="O44" s="92">
        <f t="shared" si="70"/>
        <v>2059841.93</v>
      </c>
      <c r="P44" s="92">
        <f t="shared" si="70"/>
        <v>2059841.93</v>
      </c>
      <c r="Q44" s="92">
        <f t="shared" si="70"/>
        <v>2059841.93</v>
      </c>
      <c r="R44" s="92">
        <f t="shared" si="70"/>
        <v>2059841.93</v>
      </c>
      <c r="S44" s="92">
        <f t="shared" si="70"/>
        <v>2059841.93</v>
      </c>
      <c r="T44" s="92">
        <f t="shared" si="70"/>
        <v>2059841.93</v>
      </c>
      <c r="U44" s="92">
        <f t="shared" si="70"/>
        <v>2059841.93</v>
      </c>
      <c r="V44" s="92">
        <f t="shared" si="70"/>
        <v>2059841.93</v>
      </c>
      <c r="W44" s="92">
        <f t="shared" si="71"/>
        <v>2059841.93</v>
      </c>
      <c r="X44" s="92">
        <f t="shared" si="72"/>
        <v>2059841.93</v>
      </c>
      <c r="Y44" s="92">
        <f t="shared" si="73"/>
        <v>2059841.93</v>
      </c>
      <c r="Z44" s="92">
        <f t="shared" si="74"/>
        <v>2059841.93</v>
      </c>
      <c r="AA44" s="92">
        <f t="shared" si="75"/>
        <v>2059841.93</v>
      </c>
      <c r="AB44" s="92">
        <f t="shared" si="76"/>
        <v>2059841.93</v>
      </c>
      <c r="AC44" s="92">
        <f t="shared" si="77"/>
        <v>2059841.93</v>
      </c>
      <c r="AD44" s="7">
        <v>0</v>
      </c>
    </row>
    <row r="45" spans="1:30" ht="13.5" customHeight="1">
      <c r="A45" s="5">
        <v>1</v>
      </c>
      <c r="B45" s="191" t="s">
        <v>103</v>
      </c>
      <c r="C45" s="192"/>
      <c r="D45" s="192"/>
      <c r="E45" s="192"/>
      <c r="F45" s="192"/>
      <c r="G45" s="192"/>
      <c r="H45" s="192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4"/>
    </row>
    <row r="46" spans="1:30" ht="13.5" customHeight="1" thickBot="1">
      <c r="A46" s="5">
        <v>1</v>
      </c>
      <c r="B46" s="85" t="s">
        <v>104</v>
      </c>
      <c r="C46" s="182">
        <f t="shared" ref="C46:V46" si="78">+C5</f>
        <v>42735</v>
      </c>
      <c r="D46" s="182">
        <f t="shared" si="78"/>
        <v>43100</v>
      </c>
      <c r="E46" s="182">
        <f t="shared" si="78"/>
        <v>43465</v>
      </c>
      <c r="F46" s="182">
        <f t="shared" si="78"/>
        <v>43830</v>
      </c>
      <c r="G46" s="182">
        <f t="shared" si="78"/>
        <v>44196</v>
      </c>
      <c r="H46" s="182">
        <f t="shared" si="78"/>
        <v>44561</v>
      </c>
      <c r="I46" s="87">
        <f t="shared" si="78"/>
        <v>44926</v>
      </c>
      <c r="J46" s="87">
        <f t="shared" si="78"/>
        <v>45291</v>
      </c>
      <c r="K46" s="87">
        <f t="shared" si="78"/>
        <v>45657</v>
      </c>
      <c r="L46" s="87">
        <f t="shared" si="78"/>
        <v>46022</v>
      </c>
      <c r="M46" s="87">
        <f t="shared" si="78"/>
        <v>46387</v>
      </c>
      <c r="N46" s="87">
        <f t="shared" si="78"/>
        <v>46752</v>
      </c>
      <c r="O46" s="87">
        <f t="shared" si="78"/>
        <v>47118</v>
      </c>
      <c r="P46" s="87">
        <f t="shared" si="78"/>
        <v>47483</v>
      </c>
      <c r="Q46" s="87">
        <f t="shared" si="78"/>
        <v>47848</v>
      </c>
      <c r="R46" s="87">
        <f t="shared" si="78"/>
        <v>48213</v>
      </c>
      <c r="S46" s="87">
        <f t="shared" si="78"/>
        <v>48579</v>
      </c>
      <c r="T46" s="87">
        <f t="shared" si="78"/>
        <v>48944</v>
      </c>
      <c r="U46" s="87">
        <f t="shared" si="78"/>
        <v>49309</v>
      </c>
      <c r="V46" s="87">
        <f t="shared" si="78"/>
        <v>49674</v>
      </c>
      <c r="W46" s="87">
        <f t="shared" ref="W46:AC46" si="79">+W5</f>
        <v>50040</v>
      </c>
      <c r="X46" s="87">
        <f t="shared" si="79"/>
        <v>50405</v>
      </c>
      <c r="Y46" s="87">
        <f t="shared" si="79"/>
        <v>50770</v>
      </c>
      <c r="Z46" s="87">
        <f t="shared" si="79"/>
        <v>51135</v>
      </c>
      <c r="AA46" s="87">
        <f t="shared" si="79"/>
        <v>51501</v>
      </c>
      <c r="AB46" s="87">
        <f t="shared" si="79"/>
        <v>51866</v>
      </c>
      <c r="AC46" s="87">
        <f t="shared" si="79"/>
        <v>52231</v>
      </c>
      <c r="AD46" s="4"/>
    </row>
    <row r="47" spans="1:30" ht="13.5" customHeight="1">
      <c r="A47" s="5">
        <v>1</v>
      </c>
      <c r="B47" s="194" t="s">
        <v>104</v>
      </c>
      <c r="C47" s="195">
        <f t="shared" ref="C47:V47" si="80">+C48+C60+C83</f>
        <v>75239391.570000008</v>
      </c>
      <c r="D47" s="195">
        <f t="shared" si="80"/>
        <v>74921159.649999991</v>
      </c>
      <c r="E47" s="195">
        <f t="shared" si="80"/>
        <v>74249383.920000002</v>
      </c>
      <c r="F47" s="195">
        <f t="shared" si="80"/>
        <v>86997527.139999971</v>
      </c>
      <c r="G47" s="195">
        <f t="shared" si="80"/>
        <v>95898522.270000011</v>
      </c>
      <c r="H47" s="195">
        <f t="shared" si="80"/>
        <v>121548556.33000004</v>
      </c>
      <c r="I47" s="125">
        <f t="shared" si="80"/>
        <v>144133112.46828726</v>
      </c>
      <c r="J47" s="125">
        <f t="shared" si="80"/>
        <v>271898424.44461775</v>
      </c>
      <c r="K47" s="125">
        <f t="shared" si="80"/>
        <v>436580031.17876202</v>
      </c>
      <c r="L47" s="125">
        <f t="shared" si="80"/>
        <v>562758459.86713982</v>
      </c>
      <c r="M47" s="125">
        <f t="shared" si="80"/>
        <v>623447537.35082901</v>
      </c>
      <c r="N47" s="125">
        <f t="shared" si="80"/>
        <v>801959805.47127306</v>
      </c>
      <c r="O47" s="125">
        <f t="shared" si="80"/>
        <v>897336417.33527577</v>
      </c>
      <c r="P47" s="125">
        <f t="shared" si="80"/>
        <v>867869569.40366638</v>
      </c>
      <c r="Q47" s="125">
        <f t="shared" si="80"/>
        <v>839282063.12213516</v>
      </c>
      <c r="R47" s="125">
        <f t="shared" si="80"/>
        <v>812620239.16109335</v>
      </c>
      <c r="S47" s="125">
        <f t="shared" si="80"/>
        <v>786483877.64760399</v>
      </c>
      <c r="T47" s="125">
        <f t="shared" si="80"/>
        <v>768212818.87221706</v>
      </c>
      <c r="U47" s="125">
        <f t="shared" si="80"/>
        <v>749899084.550506</v>
      </c>
      <c r="V47" s="125">
        <f t="shared" si="80"/>
        <v>731545055.55985022</v>
      </c>
      <c r="W47" s="125">
        <f t="shared" ref="W47:AC47" si="81">+W48+W60+W83</f>
        <v>691829189.84187126</v>
      </c>
      <c r="X47" s="125">
        <f t="shared" si="81"/>
        <v>652076343.47117066</v>
      </c>
      <c r="Y47" s="125">
        <f t="shared" si="81"/>
        <v>612909819.99265838</v>
      </c>
      <c r="Z47" s="125">
        <f t="shared" si="81"/>
        <v>574634170.68334198</v>
      </c>
      <c r="AA47" s="125">
        <f t="shared" si="81"/>
        <v>536319458.44016945</v>
      </c>
      <c r="AB47" s="125">
        <f t="shared" si="81"/>
        <v>497964961.22242785</v>
      </c>
      <c r="AC47" s="125">
        <f t="shared" si="81"/>
        <v>459569942.54858959</v>
      </c>
      <c r="AD47" s="4"/>
    </row>
    <row r="48" spans="1:30" ht="13.5" customHeight="1">
      <c r="A48" s="5">
        <v>1</v>
      </c>
      <c r="B48" s="100" t="s">
        <v>105</v>
      </c>
      <c r="C48" s="185">
        <f t="shared" ref="C48:V48" si="82">+C49+C52+C55+C58+C59</f>
        <v>-53444000.619999997</v>
      </c>
      <c r="D48" s="185">
        <f t="shared" si="82"/>
        <v>-70157249.460000008</v>
      </c>
      <c r="E48" s="185">
        <f t="shared" si="82"/>
        <v>-69006459.099999994</v>
      </c>
      <c r="F48" s="185">
        <f t="shared" si="82"/>
        <v>-69143779.850000009</v>
      </c>
      <c r="G48" s="185">
        <f t="shared" si="82"/>
        <v>-94991475.929999992</v>
      </c>
      <c r="H48" s="185">
        <f t="shared" si="82"/>
        <v>-114802698.06999993</v>
      </c>
      <c r="I48" s="102">
        <f t="shared" si="82"/>
        <v>-95207461.049628973</v>
      </c>
      <c r="J48" s="102">
        <f t="shared" si="82"/>
        <v>33311539.44331228</v>
      </c>
      <c r="K48" s="102">
        <f t="shared" si="82"/>
        <v>195113843.72556826</v>
      </c>
      <c r="L48" s="102">
        <f t="shared" si="82"/>
        <v>316874045.0392102</v>
      </c>
      <c r="M48" s="102">
        <f t="shared" si="82"/>
        <v>374724449.70930314</v>
      </c>
      <c r="N48" s="102">
        <f t="shared" si="82"/>
        <v>553867846.47869658</v>
      </c>
      <c r="O48" s="102">
        <f t="shared" si="82"/>
        <v>648381172.62249863</v>
      </c>
      <c r="P48" s="102">
        <f t="shared" si="82"/>
        <v>615787622.76762271</v>
      </c>
      <c r="Q48" s="102">
        <f t="shared" si="82"/>
        <v>589402930.33404124</v>
      </c>
      <c r="R48" s="102">
        <f t="shared" si="82"/>
        <v>562563287.65193737</v>
      </c>
      <c r="S48" s="102">
        <f t="shared" si="82"/>
        <v>536224380.21504909</v>
      </c>
      <c r="T48" s="102">
        <f t="shared" si="82"/>
        <v>517787181.7112419</v>
      </c>
      <c r="U48" s="102">
        <f t="shared" si="82"/>
        <v>499379935.46050644</v>
      </c>
      <c r="V48" s="102">
        <f t="shared" si="82"/>
        <v>480988009.37591386</v>
      </c>
      <c r="W48" s="102">
        <f t="shared" ref="W48:AC48" si="83">+W49+W52+W55+W58+W59</f>
        <v>441272143.65793484</v>
      </c>
      <c r="X48" s="102">
        <f t="shared" si="83"/>
        <v>401519297.28723431</v>
      </c>
      <c r="Y48" s="102">
        <f t="shared" si="83"/>
        <v>362352773.80872196</v>
      </c>
      <c r="Z48" s="102">
        <f t="shared" si="83"/>
        <v>324077124.49940562</v>
      </c>
      <c r="AA48" s="102">
        <f t="shared" si="83"/>
        <v>285762412.2562331</v>
      </c>
      <c r="AB48" s="102">
        <f t="shared" si="83"/>
        <v>247407915.03849149</v>
      </c>
      <c r="AC48" s="102">
        <f t="shared" si="83"/>
        <v>209012896.36465317</v>
      </c>
      <c r="AD48" s="4"/>
    </row>
    <row r="49" spans="1:30" ht="13.5" customHeight="1">
      <c r="A49" s="5">
        <v>1</v>
      </c>
      <c r="B49" s="93" t="s">
        <v>106</v>
      </c>
      <c r="C49" s="188">
        <f t="shared" ref="C49:V49" si="84">+C50+C51</f>
        <v>0</v>
      </c>
      <c r="D49" s="188">
        <f t="shared" si="84"/>
        <v>0</v>
      </c>
      <c r="E49" s="188">
        <f t="shared" si="84"/>
        <v>0</v>
      </c>
      <c r="F49" s="188">
        <f t="shared" si="84"/>
        <v>0</v>
      </c>
      <c r="G49" s="188">
        <f t="shared" si="84"/>
        <v>0</v>
      </c>
      <c r="H49" s="188">
        <f t="shared" si="84"/>
        <v>0</v>
      </c>
      <c r="I49" s="95">
        <f t="shared" si="84"/>
        <v>0</v>
      </c>
      <c r="J49" s="95">
        <f t="shared" si="84"/>
        <v>0</v>
      </c>
      <c r="K49" s="95">
        <f t="shared" si="84"/>
        <v>0</v>
      </c>
      <c r="L49" s="95">
        <f t="shared" si="84"/>
        <v>0</v>
      </c>
      <c r="M49" s="95">
        <f t="shared" si="84"/>
        <v>0</v>
      </c>
      <c r="N49" s="95">
        <f t="shared" si="84"/>
        <v>0</v>
      </c>
      <c r="O49" s="95">
        <f t="shared" si="84"/>
        <v>0</v>
      </c>
      <c r="P49" s="95">
        <f t="shared" si="84"/>
        <v>0</v>
      </c>
      <c r="Q49" s="95">
        <f t="shared" si="84"/>
        <v>0</v>
      </c>
      <c r="R49" s="95">
        <f t="shared" si="84"/>
        <v>0</v>
      </c>
      <c r="S49" s="95">
        <f t="shared" si="84"/>
        <v>0</v>
      </c>
      <c r="T49" s="95">
        <f t="shared" si="84"/>
        <v>0</v>
      </c>
      <c r="U49" s="95">
        <f t="shared" si="84"/>
        <v>0</v>
      </c>
      <c r="V49" s="95">
        <f t="shared" si="84"/>
        <v>0</v>
      </c>
      <c r="W49" s="95">
        <f t="shared" ref="W49:AC49" si="85">+W50+W51</f>
        <v>0</v>
      </c>
      <c r="X49" s="95">
        <f t="shared" si="85"/>
        <v>0</v>
      </c>
      <c r="Y49" s="95">
        <f t="shared" si="85"/>
        <v>0</v>
      </c>
      <c r="Z49" s="95">
        <f t="shared" si="85"/>
        <v>0</v>
      </c>
      <c r="AA49" s="95">
        <f t="shared" si="85"/>
        <v>0</v>
      </c>
      <c r="AB49" s="95">
        <f t="shared" si="85"/>
        <v>0</v>
      </c>
      <c r="AC49" s="95">
        <f t="shared" si="85"/>
        <v>0</v>
      </c>
      <c r="AD49" s="4"/>
    </row>
    <row r="50" spans="1:30" ht="13.5" customHeight="1">
      <c r="A50" s="5">
        <v>2</v>
      </c>
      <c r="B50" s="97" t="s">
        <v>106</v>
      </c>
      <c r="C50" s="187"/>
      <c r="D50" s="187"/>
      <c r="E50" s="187"/>
      <c r="F50" s="187"/>
      <c r="G50" s="187"/>
      <c r="H50" s="187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4"/>
    </row>
    <row r="51" spans="1:30" ht="13.5" customHeight="1">
      <c r="A51" s="5">
        <v>2</v>
      </c>
      <c r="B51" s="97" t="s">
        <v>107</v>
      </c>
      <c r="C51" s="187"/>
      <c r="D51" s="187"/>
      <c r="E51" s="187"/>
      <c r="F51" s="187"/>
      <c r="G51" s="187"/>
      <c r="H51" s="187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4"/>
    </row>
    <row r="52" spans="1:30" ht="13.5" customHeight="1">
      <c r="A52" s="5">
        <v>1</v>
      </c>
      <c r="B52" s="93" t="s">
        <v>108</v>
      </c>
      <c r="C52" s="188">
        <f t="shared" ref="C52:V52" si="86">+C53+C54</f>
        <v>0</v>
      </c>
      <c r="D52" s="188">
        <f t="shared" si="86"/>
        <v>0</v>
      </c>
      <c r="E52" s="188">
        <f t="shared" si="86"/>
        <v>0</v>
      </c>
      <c r="F52" s="188">
        <f t="shared" si="86"/>
        <v>0</v>
      </c>
      <c r="G52" s="188">
        <f t="shared" si="86"/>
        <v>0</v>
      </c>
      <c r="H52" s="188">
        <f t="shared" si="86"/>
        <v>0</v>
      </c>
      <c r="I52" s="95">
        <f t="shared" si="86"/>
        <v>69517006.778497204</v>
      </c>
      <c r="J52" s="95">
        <f t="shared" si="86"/>
        <v>248264218.59936082</v>
      </c>
      <c r="K52" s="95">
        <f t="shared" si="86"/>
        <v>463074922.95519352</v>
      </c>
      <c r="L52" s="95">
        <f t="shared" si="86"/>
        <v>639427735.93675864</v>
      </c>
      <c r="M52" s="95">
        <f t="shared" si="86"/>
        <v>758103216.52688599</v>
      </c>
      <c r="N52" s="95">
        <f t="shared" si="86"/>
        <v>996943975.07663321</v>
      </c>
      <c r="O52" s="95">
        <f t="shared" si="86"/>
        <v>1150559081.3645668</v>
      </c>
      <c r="P52" s="95">
        <f t="shared" si="86"/>
        <v>1183793275.0989909</v>
      </c>
      <c r="Q52" s="95">
        <f t="shared" si="86"/>
        <v>1217229416.4657273</v>
      </c>
      <c r="R52" s="95">
        <f t="shared" si="86"/>
        <v>1247950168.2821877</v>
      </c>
      <c r="S52" s="95">
        <f t="shared" si="86"/>
        <v>1278334994.9088955</v>
      </c>
      <c r="T52" s="95">
        <f t="shared" si="86"/>
        <v>1308428079.0996256</v>
      </c>
      <c r="U52" s="95">
        <f t="shared" si="86"/>
        <v>1338261780.7089038</v>
      </c>
      <c r="V52" s="95">
        <f t="shared" si="86"/>
        <v>1367831922.1613283</v>
      </c>
      <c r="W52" s="95">
        <f t="shared" ref="W52:AC52" si="87">+W53+W54</f>
        <v>1367831922.1613283</v>
      </c>
      <c r="X52" s="95">
        <f t="shared" si="87"/>
        <v>1367831922.1613283</v>
      </c>
      <c r="Y52" s="95">
        <f t="shared" si="87"/>
        <v>1367831922.1613283</v>
      </c>
      <c r="Z52" s="95">
        <f t="shared" si="87"/>
        <v>1367831922.1613283</v>
      </c>
      <c r="AA52" s="95">
        <f t="shared" si="87"/>
        <v>1367831922.1613283</v>
      </c>
      <c r="AB52" s="95">
        <f t="shared" si="87"/>
        <v>1367831922.1613283</v>
      </c>
      <c r="AC52" s="95">
        <f t="shared" si="87"/>
        <v>1367831922.1613283</v>
      </c>
      <c r="AD52" s="4"/>
    </row>
    <row r="53" spans="1:30" ht="13.5" customHeight="1">
      <c r="A53" s="5">
        <v>2</v>
      </c>
      <c r="B53" s="97" t="s">
        <v>108</v>
      </c>
      <c r="C53" s="187"/>
      <c r="D53" s="187"/>
      <c r="E53" s="187"/>
      <c r="F53" s="187"/>
      <c r="G53" s="187"/>
      <c r="H53" s="187"/>
      <c r="I53" s="92">
        <f>H53-'FCFs"A"'!C33</f>
        <v>69517006.778497204</v>
      </c>
      <c r="J53" s="92">
        <f>I53-'FCFs"A"'!D33</f>
        <v>248264218.59936082</v>
      </c>
      <c r="K53" s="92">
        <f>J53-'FCFs"A"'!E33</f>
        <v>463074922.95519352</v>
      </c>
      <c r="L53" s="92">
        <f>K53-'FCFs"A"'!F33</f>
        <v>639427735.93675864</v>
      </c>
      <c r="M53" s="92">
        <f>L53-'FCFs"A"'!G33</f>
        <v>758103216.52688599</v>
      </c>
      <c r="N53" s="92">
        <f>M53-'FCFs"A"'!H33</f>
        <v>996943975.07663321</v>
      </c>
      <c r="O53" s="92">
        <f>N53-'FCFs"A"'!I33</f>
        <v>1150559081.3645668</v>
      </c>
      <c r="P53" s="92">
        <f>O53-'FCFs"A"'!J33</f>
        <v>1183793275.0989909</v>
      </c>
      <c r="Q53" s="92">
        <f>P53-'FCFs"A"'!K33</f>
        <v>1217229416.4657273</v>
      </c>
      <c r="R53" s="92">
        <f>Q53-'FCFs"A"'!L33</f>
        <v>1247950168.2821877</v>
      </c>
      <c r="S53" s="92">
        <f>R53-'FCFs"A"'!M33</f>
        <v>1278334994.9088955</v>
      </c>
      <c r="T53" s="92">
        <f>S53-'FCFs"A"'!N33</f>
        <v>1308428079.0996256</v>
      </c>
      <c r="U53" s="92">
        <f>T53-'FCFs"A"'!O33</f>
        <v>1338261780.7089038</v>
      </c>
      <c r="V53" s="92">
        <f>U53-'FCFs"A"'!P33</f>
        <v>1367831922.1613283</v>
      </c>
      <c r="W53" s="92">
        <f>V53-'FCFs"A"'!Q33</f>
        <v>1367831922.1613283</v>
      </c>
      <c r="X53" s="92">
        <f>W53-'FCFs"A"'!R33</f>
        <v>1367831922.1613283</v>
      </c>
      <c r="Y53" s="92">
        <f>X53-'FCFs"A"'!S33</f>
        <v>1367831922.1613283</v>
      </c>
      <c r="Z53" s="92">
        <f>Y53-'FCFs"A"'!T33</f>
        <v>1367831922.1613283</v>
      </c>
      <c r="AA53" s="92">
        <f>Z53-'FCFs"A"'!U33</f>
        <v>1367831922.1613283</v>
      </c>
      <c r="AB53" s="92">
        <f>AA53-'FCFs"A"'!V33</f>
        <v>1367831922.1613283</v>
      </c>
      <c r="AC53" s="92">
        <f>AB53-'FCFs"A"'!W33</f>
        <v>1367831922.1613283</v>
      </c>
      <c r="AD53" s="4"/>
    </row>
    <row r="54" spans="1:30" ht="13.5" customHeight="1">
      <c r="A54" s="5">
        <v>2</v>
      </c>
      <c r="B54" s="97" t="s">
        <v>109</v>
      </c>
      <c r="C54" s="187"/>
      <c r="D54" s="187"/>
      <c r="E54" s="187"/>
      <c r="F54" s="187"/>
      <c r="G54" s="187"/>
      <c r="H54" s="187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4"/>
    </row>
    <row r="55" spans="1:30" ht="13.5" customHeight="1">
      <c r="A55" s="5">
        <v>1</v>
      </c>
      <c r="B55" s="93" t="s">
        <v>110</v>
      </c>
      <c r="C55" s="188">
        <f t="shared" ref="C55:V55" si="88">+C56+C57</f>
        <v>0</v>
      </c>
      <c r="D55" s="188">
        <f t="shared" si="88"/>
        <v>0</v>
      </c>
      <c r="E55" s="188">
        <f t="shared" si="88"/>
        <v>0</v>
      </c>
      <c r="F55" s="188">
        <f t="shared" si="88"/>
        <v>0</v>
      </c>
      <c r="G55" s="188">
        <f t="shared" si="88"/>
        <v>0</v>
      </c>
      <c r="H55" s="188">
        <f t="shared" si="88"/>
        <v>0</v>
      </c>
      <c r="I55" s="95">
        <f t="shared" si="88"/>
        <v>0</v>
      </c>
      <c r="J55" s="95">
        <f t="shared" si="88"/>
        <v>0</v>
      </c>
      <c r="K55" s="95">
        <f t="shared" si="88"/>
        <v>0</v>
      </c>
      <c r="L55" s="95">
        <f t="shared" si="88"/>
        <v>0</v>
      </c>
      <c r="M55" s="95">
        <f t="shared" si="88"/>
        <v>0</v>
      </c>
      <c r="N55" s="95">
        <f t="shared" si="88"/>
        <v>0</v>
      </c>
      <c r="O55" s="95">
        <f t="shared" si="88"/>
        <v>0</v>
      </c>
      <c r="P55" s="95">
        <f t="shared" si="88"/>
        <v>0</v>
      </c>
      <c r="Q55" s="95">
        <f t="shared" si="88"/>
        <v>0</v>
      </c>
      <c r="R55" s="95">
        <f t="shared" si="88"/>
        <v>0</v>
      </c>
      <c r="S55" s="95">
        <f t="shared" si="88"/>
        <v>0</v>
      </c>
      <c r="T55" s="95">
        <f t="shared" si="88"/>
        <v>0</v>
      </c>
      <c r="U55" s="95">
        <f t="shared" si="88"/>
        <v>0</v>
      </c>
      <c r="V55" s="95">
        <f t="shared" si="88"/>
        <v>0</v>
      </c>
      <c r="W55" s="95">
        <f t="shared" ref="W55:AC55" si="89">+W56+W57</f>
        <v>0</v>
      </c>
      <c r="X55" s="95">
        <f t="shared" si="89"/>
        <v>0</v>
      </c>
      <c r="Y55" s="95">
        <f t="shared" si="89"/>
        <v>0</v>
      </c>
      <c r="Z55" s="95">
        <f t="shared" si="89"/>
        <v>0</v>
      </c>
      <c r="AA55" s="95">
        <f t="shared" si="89"/>
        <v>0</v>
      </c>
      <c r="AB55" s="95">
        <f t="shared" si="89"/>
        <v>0</v>
      </c>
      <c r="AC55" s="95">
        <f t="shared" si="89"/>
        <v>0</v>
      </c>
      <c r="AD55" s="4"/>
    </row>
    <row r="56" spans="1:30" ht="13.5" customHeight="1">
      <c r="A56" s="5">
        <v>2</v>
      </c>
      <c r="B56" s="97" t="s">
        <v>111</v>
      </c>
      <c r="C56" s="187"/>
      <c r="D56" s="187"/>
      <c r="E56" s="187"/>
      <c r="F56" s="187"/>
      <c r="G56" s="187"/>
      <c r="H56" s="187"/>
      <c r="I56" s="283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"/>
    </row>
    <row r="57" spans="1:30" ht="13.5" customHeight="1">
      <c r="A57" s="5">
        <v>2</v>
      </c>
      <c r="B57" s="97" t="s">
        <v>112</v>
      </c>
      <c r="C57" s="187"/>
      <c r="D57" s="187"/>
      <c r="E57" s="187"/>
      <c r="F57" s="187"/>
      <c r="G57" s="187"/>
      <c r="H57" s="187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"/>
    </row>
    <row r="58" spans="1:30" ht="13.5" customHeight="1">
      <c r="A58" s="5">
        <v>1</v>
      </c>
      <c r="B58" s="93" t="s">
        <v>113</v>
      </c>
      <c r="C58" s="188">
        <f>BS_Data!E12</f>
        <v>-34934574.479999997</v>
      </c>
      <c r="D58" s="188">
        <f>BS_Data!F12</f>
        <v>-52824437.450000003</v>
      </c>
      <c r="E58" s="188">
        <f>BS_Data!G12</f>
        <v>-71384596.780000001</v>
      </c>
      <c r="F58" s="188">
        <f>BS_Data!H12</f>
        <v>-68802116.540000007</v>
      </c>
      <c r="G58" s="188">
        <f>BS_Data!I12</f>
        <v>-69911174.849999994</v>
      </c>
      <c r="H58" s="188">
        <f>BS_Data!J12</f>
        <v>-95395229.810000002</v>
      </c>
      <c r="I58" s="95">
        <f>H58+H59-IFERROR('FCFs"A"'!D32,0)</f>
        <v>-114802698.06999993</v>
      </c>
      <c r="J58" s="95">
        <f>I58+I59-IFERROR('FCFs"A"'!E32,0)</f>
        <v>-164724467.82812616</v>
      </c>
      <c r="K58" s="95">
        <f>J58+J59-IFERROR('FCFs"A"'!F32,0)</f>
        <v>-214952679.15604854</v>
      </c>
      <c r="L58" s="95">
        <f>K58+K59-IFERROR('FCFs"A"'!G32,0)</f>
        <v>-267961079.22962525</v>
      </c>
      <c r="M58" s="95">
        <f>L58+L59-IFERROR('FCFs"A"'!H32,0)</f>
        <v>-322553690.89754844</v>
      </c>
      <c r="N58" s="95">
        <f>M58+M59-IFERROR('FCFs"A"'!I32,0)</f>
        <v>-383378766.81758285</v>
      </c>
      <c r="O58" s="95">
        <f>N58+N59-IFERROR('FCFs"A"'!J32,0)</f>
        <v>-443076128.59793663</v>
      </c>
      <c r="P58" s="95">
        <f>O58+O59-IFERROR('FCFs"A"'!K32,0)</f>
        <v>-502177908.74206817</v>
      </c>
      <c r="Q58" s="95">
        <f>P58+P59-IFERROR('FCFs"A"'!#REF!,0)</f>
        <v>-568005652.33136821</v>
      </c>
      <c r="R58" s="95">
        <f>Q58+Q59-IFERROR('FCFs"A"'!L32,0)</f>
        <v>-627826486.13168609</v>
      </c>
      <c r="S58" s="95">
        <f>R58+R59-IFERROR('FCFs"A"'!M32,0)</f>
        <v>-685386880.63025033</v>
      </c>
      <c r="T58" s="95">
        <f>S58+S59-IFERROR('FCFs"A"'!X32,0)</f>
        <v>-742110614.69384646</v>
      </c>
      <c r="U58" s="95">
        <f>T58+T59-IFERROR('FCFs"A"'!Y32,0)</f>
        <v>-790640897.38838375</v>
      </c>
      <c r="V58" s="95">
        <f>U58+U59-IFERROR('FCFs"A"'!Z32,0)</f>
        <v>-838881845.24839735</v>
      </c>
      <c r="W58" s="95">
        <f>V58+V59-IFERROR('FCFs"A"'!AA32,0)</f>
        <v>-886843912.78541446</v>
      </c>
      <c r="X58" s="95">
        <f>W58+W59-IFERROR('FCFs"A"'!AB32,0)</f>
        <v>-926559778.50339353</v>
      </c>
      <c r="Y58" s="95">
        <f>X58+X59-IFERROR('FCFs"A"'!AC32,0)</f>
        <v>-966312624.87409401</v>
      </c>
      <c r="Z58" s="95">
        <f>Y58+Y59-IFERROR('FCFs"A"'!AD32,0)</f>
        <v>-1005479148.3526063</v>
      </c>
      <c r="AA58" s="95">
        <f>Z58+Z59-IFERROR('FCFs"A"'!AE32,0)</f>
        <v>-1043754797.6619227</v>
      </c>
      <c r="AB58" s="95">
        <f>AA58+AA59-IFERROR('FCFs"A"'!AF32,0)</f>
        <v>-1082069509.9050951</v>
      </c>
      <c r="AC58" s="95">
        <f>AB58+AB59-IFERROR('FCFs"A"'!AG32,0)</f>
        <v>-1120424007.1228368</v>
      </c>
      <c r="AD58" s="4"/>
    </row>
    <row r="59" spans="1:30" ht="13.5" customHeight="1">
      <c r="A59" s="5">
        <v>1</v>
      </c>
      <c r="B59" s="93" t="s">
        <v>114</v>
      </c>
      <c r="C59" s="188">
        <f>BS_Data!E13</f>
        <v>-18509426.140000001</v>
      </c>
      <c r="D59" s="188">
        <f>BS_Data!F13</f>
        <v>-17332812.010000002</v>
      </c>
      <c r="E59" s="188">
        <f>BS_Data!G13</f>
        <v>2378137.6800000002</v>
      </c>
      <c r="F59" s="188">
        <f>BS_Data!H13</f>
        <v>-341663.31</v>
      </c>
      <c r="G59" s="188">
        <f>BS_Data!I13</f>
        <v>-25080301.079999998</v>
      </c>
      <c r="H59" s="188">
        <f>BS_Data!J13</f>
        <v>-19407468.259999931</v>
      </c>
      <c r="I59" s="95">
        <f>+'PL"A"'!I55</f>
        <v>-49921769.758126236</v>
      </c>
      <c r="J59" s="95">
        <f>+'PL"A"'!J55</f>
        <v>-50228211.327922381</v>
      </c>
      <c r="K59" s="95">
        <f>+'PL"A"'!K55</f>
        <v>-53008400.073576719</v>
      </c>
      <c r="L59" s="95">
        <f>+'PL"A"'!L55</f>
        <v>-54592611.667923182</v>
      </c>
      <c r="M59" s="95">
        <f>+'PL"A"'!M55</f>
        <v>-60825075.920034438</v>
      </c>
      <c r="N59" s="95">
        <f>+'PL"A"'!N55</f>
        <v>-59697361.780353814</v>
      </c>
      <c r="O59" s="95">
        <f>+'PL"A"'!O55</f>
        <v>-59101780.144131541</v>
      </c>
      <c r="P59" s="95">
        <f>+'PL"A"'!P55</f>
        <v>-65827743.589300014</v>
      </c>
      <c r="Q59" s="95">
        <f>+'PL"A"'!Q55</f>
        <v>-59820833.800317883</v>
      </c>
      <c r="R59" s="95">
        <f>+'PL"A"'!R55</f>
        <v>-57560394.498564228</v>
      </c>
      <c r="S59" s="95">
        <f>+'PL"A"'!S55</f>
        <v>-56723734.063596085</v>
      </c>
      <c r="T59" s="95">
        <f>+'PL"A"'!T55</f>
        <v>-48530282.694537245</v>
      </c>
      <c r="U59" s="95">
        <f>+'PL"A"'!U55</f>
        <v>-48240947.860013597</v>
      </c>
      <c r="V59" s="95">
        <f>+'PL"A"'!V55</f>
        <v>-47962067.537017129</v>
      </c>
      <c r="W59" s="95">
        <f>+'PL"A"'!W55</f>
        <v>-39715865.717979029</v>
      </c>
      <c r="X59" s="95">
        <f>+'PL"A"'!X55</f>
        <v>-39752846.370700471</v>
      </c>
      <c r="Y59" s="95">
        <f>+'PL"A"'!Y55</f>
        <v>-39166523.478512324</v>
      </c>
      <c r="Z59" s="95">
        <f>+'PL"A"'!Z55</f>
        <v>-38275649.309316374</v>
      </c>
      <c r="AA59" s="95">
        <f>+'PL"A"'!AA55</f>
        <v>-38314712.243172511</v>
      </c>
      <c r="AB59" s="95">
        <f>+'PL"A"'!AB55</f>
        <v>-38354497.217741728</v>
      </c>
      <c r="AC59" s="95">
        <f>+'PL"A"'!AC55</f>
        <v>-38395018.673838325</v>
      </c>
      <c r="AD59" s="4"/>
    </row>
    <row r="60" spans="1:30" ht="13.5" customHeight="1">
      <c r="A60" s="5">
        <v>1</v>
      </c>
      <c r="B60" s="100" t="s">
        <v>64</v>
      </c>
      <c r="C60" s="185">
        <f t="shared" ref="C60:V60" si="90">+C61+C65+C71+C79</f>
        <v>128460286.45999999</v>
      </c>
      <c r="D60" s="185">
        <f t="shared" si="90"/>
        <v>144867923.59999999</v>
      </c>
      <c r="E60" s="185">
        <f t="shared" si="90"/>
        <v>143032587.25</v>
      </c>
      <c r="F60" s="185">
        <f t="shared" si="90"/>
        <v>155916886.98999998</v>
      </c>
      <c r="G60" s="185">
        <f t="shared" si="90"/>
        <v>190499596.78</v>
      </c>
      <c r="H60" s="185">
        <f t="shared" si="90"/>
        <v>234862372.89999998</v>
      </c>
      <c r="I60" s="102">
        <f t="shared" si="90"/>
        <v>237851692.01791623</v>
      </c>
      <c r="J60" s="102">
        <f t="shared" si="90"/>
        <v>237098003.50130549</v>
      </c>
      <c r="K60" s="102">
        <f t="shared" si="90"/>
        <v>239977305.95319375</v>
      </c>
      <c r="L60" s="102">
        <f t="shared" si="90"/>
        <v>244395533.32792959</v>
      </c>
      <c r="M60" s="102">
        <f t="shared" si="90"/>
        <v>247234206.14152589</v>
      </c>
      <c r="N60" s="102">
        <f t="shared" si="90"/>
        <v>246603077.49257651</v>
      </c>
      <c r="O60" s="102">
        <f t="shared" si="90"/>
        <v>247466363.21277711</v>
      </c>
      <c r="P60" s="102">
        <f t="shared" si="90"/>
        <v>250593065.13604364</v>
      </c>
      <c r="Q60" s="102">
        <f t="shared" si="90"/>
        <v>248390251.28809389</v>
      </c>
      <c r="R60" s="102">
        <f t="shared" si="90"/>
        <v>248568070.00915596</v>
      </c>
      <c r="S60" s="102">
        <f t="shared" si="90"/>
        <v>248770615.93255493</v>
      </c>
      <c r="T60" s="102">
        <f t="shared" si="90"/>
        <v>248936755.66097519</v>
      </c>
      <c r="U60" s="102">
        <f t="shared" si="90"/>
        <v>249030267.58999959</v>
      </c>
      <c r="V60" s="102">
        <f t="shared" si="90"/>
        <v>249068164.68393639</v>
      </c>
      <c r="W60" s="102">
        <f t="shared" ref="W60:AC60" si="91">+W61+W65+W71+W79</f>
        <v>249068164.68393639</v>
      </c>
      <c r="X60" s="102">
        <f t="shared" si="91"/>
        <v>249068164.68393639</v>
      </c>
      <c r="Y60" s="102">
        <f t="shared" si="91"/>
        <v>249068164.68393639</v>
      </c>
      <c r="Z60" s="102">
        <f t="shared" si="91"/>
        <v>249068164.68393639</v>
      </c>
      <c r="AA60" s="102">
        <f t="shared" si="91"/>
        <v>249068164.68393639</v>
      </c>
      <c r="AB60" s="102">
        <f t="shared" si="91"/>
        <v>249068164.68393639</v>
      </c>
      <c r="AC60" s="102">
        <f t="shared" si="91"/>
        <v>249068164.68393639</v>
      </c>
      <c r="AD60" s="4"/>
    </row>
    <row r="61" spans="1:30" ht="13.5" customHeight="1">
      <c r="A61" s="5">
        <v>1</v>
      </c>
      <c r="B61" s="93" t="s">
        <v>65</v>
      </c>
      <c r="C61" s="188">
        <f t="shared" ref="C61:V61" si="92">+C62+C63+C64</f>
        <v>3133695.12</v>
      </c>
      <c r="D61" s="188">
        <f t="shared" si="92"/>
        <v>1086936.94</v>
      </c>
      <c r="E61" s="188">
        <f t="shared" si="92"/>
        <v>2786331.6</v>
      </c>
      <c r="F61" s="188">
        <f t="shared" si="92"/>
        <v>3198032.23</v>
      </c>
      <c r="G61" s="188">
        <f t="shared" si="92"/>
        <v>20104621.569999997</v>
      </c>
      <c r="H61" s="188">
        <f t="shared" si="92"/>
        <v>29441022.129999999</v>
      </c>
      <c r="I61" s="95">
        <f t="shared" si="92"/>
        <v>29441022.129999999</v>
      </c>
      <c r="J61" s="95">
        <f t="shared" si="92"/>
        <v>29441022.129999999</v>
      </c>
      <c r="K61" s="95">
        <f t="shared" si="92"/>
        <v>29441022.129999999</v>
      </c>
      <c r="L61" s="95">
        <f t="shared" si="92"/>
        <v>29441022.129999999</v>
      </c>
      <c r="M61" s="95">
        <f t="shared" si="92"/>
        <v>29441022.129999999</v>
      </c>
      <c r="N61" s="95">
        <f t="shared" si="92"/>
        <v>29441022.129999999</v>
      </c>
      <c r="O61" s="95">
        <f t="shared" si="92"/>
        <v>29441022.129999999</v>
      </c>
      <c r="P61" s="95">
        <f t="shared" si="92"/>
        <v>29441022.129999999</v>
      </c>
      <c r="Q61" s="95">
        <f t="shared" si="92"/>
        <v>29441022.129999999</v>
      </c>
      <c r="R61" s="95">
        <f t="shared" si="92"/>
        <v>29441022.129999999</v>
      </c>
      <c r="S61" s="95">
        <f t="shared" si="92"/>
        <v>29441022.129999999</v>
      </c>
      <c r="T61" s="95">
        <f t="shared" si="92"/>
        <v>29441022.129999999</v>
      </c>
      <c r="U61" s="95">
        <f t="shared" si="92"/>
        <v>29441022.129999999</v>
      </c>
      <c r="V61" s="95">
        <f t="shared" si="92"/>
        <v>29441022.129999999</v>
      </c>
      <c r="W61" s="95">
        <f t="shared" ref="W61:AC61" si="93">+W62+W63+W64</f>
        <v>29441022.129999999</v>
      </c>
      <c r="X61" s="95">
        <f t="shared" si="93"/>
        <v>29441022.129999999</v>
      </c>
      <c r="Y61" s="95">
        <f t="shared" si="93"/>
        <v>29441022.129999999</v>
      </c>
      <c r="Z61" s="95">
        <f t="shared" si="93"/>
        <v>29441022.129999999</v>
      </c>
      <c r="AA61" s="95">
        <f t="shared" si="93"/>
        <v>29441022.129999999</v>
      </c>
      <c r="AB61" s="95">
        <f t="shared" si="93"/>
        <v>29441022.129999999</v>
      </c>
      <c r="AC61" s="95">
        <f t="shared" si="93"/>
        <v>29441022.129999999</v>
      </c>
      <c r="AD61" s="4"/>
    </row>
    <row r="62" spans="1:30" ht="13.5" customHeight="1">
      <c r="A62" s="5">
        <v>2</v>
      </c>
      <c r="B62" s="97" t="s">
        <v>115</v>
      </c>
      <c r="C62" s="187">
        <f>BS_Data!E18</f>
        <v>33326</v>
      </c>
      <c r="D62" s="187">
        <f>BS_Data!F18</f>
        <v>18014</v>
      </c>
      <c r="E62" s="187">
        <f>BS_Data!G18</f>
        <v>20631.599999999999</v>
      </c>
      <c r="F62" s="187">
        <f>BS_Data!H18</f>
        <v>25745.26</v>
      </c>
      <c r="G62" s="187">
        <f>BS_Data!I18</f>
        <v>286709.33</v>
      </c>
      <c r="H62" s="187">
        <f>BS_Data!J18</f>
        <v>251595.33</v>
      </c>
      <c r="I62" s="283">
        <f>H62</f>
        <v>251595.33</v>
      </c>
      <c r="J62" s="92">
        <f t="shared" ref="J62:V62" si="94">I62</f>
        <v>251595.33</v>
      </c>
      <c r="K62" s="92">
        <f t="shared" si="94"/>
        <v>251595.33</v>
      </c>
      <c r="L62" s="92">
        <f t="shared" si="94"/>
        <v>251595.33</v>
      </c>
      <c r="M62" s="92">
        <f t="shared" si="94"/>
        <v>251595.33</v>
      </c>
      <c r="N62" s="92">
        <f t="shared" si="94"/>
        <v>251595.33</v>
      </c>
      <c r="O62" s="92">
        <f t="shared" si="94"/>
        <v>251595.33</v>
      </c>
      <c r="P62" s="92">
        <f t="shared" si="94"/>
        <v>251595.33</v>
      </c>
      <c r="Q62" s="92">
        <f t="shared" si="94"/>
        <v>251595.33</v>
      </c>
      <c r="R62" s="92">
        <f t="shared" si="94"/>
        <v>251595.33</v>
      </c>
      <c r="S62" s="92">
        <f t="shared" si="94"/>
        <v>251595.33</v>
      </c>
      <c r="T62" s="92">
        <f t="shared" si="94"/>
        <v>251595.33</v>
      </c>
      <c r="U62" s="92">
        <f t="shared" si="94"/>
        <v>251595.33</v>
      </c>
      <c r="V62" s="92">
        <f t="shared" si="94"/>
        <v>251595.33</v>
      </c>
      <c r="W62" s="92">
        <f t="shared" ref="W62" si="95">V62</f>
        <v>251595.33</v>
      </c>
      <c r="X62" s="92">
        <f t="shared" ref="X62" si="96">W62</f>
        <v>251595.33</v>
      </c>
      <c r="Y62" s="92">
        <f t="shared" ref="Y62" si="97">X62</f>
        <v>251595.33</v>
      </c>
      <c r="Z62" s="92">
        <f t="shared" ref="Z62" si="98">Y62</f>
        <v>251595.33</v>
      </c>
      <c r="AA62" s="92">
        <f t="shared" ref="AA62" si="99">Z62</f>
        <v>251595.33</v>
      </c>
      <c r="AB62" s="92">
        <f t="shared" ref="AB62" si="100">AA62</f>
        <v>251595.33</v>
      </c>
      <c r="AC62" s="92">
        <f t="shared" ref="AC62" si="101">AB62</f>
        <v>251595.33</v>
      </c>
      <c r="AD62" s="7">
        <v>0</v>
      </c>
    </row>
    <row r="63" spans="1:30" ht="13.5" customHeight="1">
      <c r="A63" s="5">
        <v>2</v>
      </c>
      <c r="B63" s="97" t="s">
        <v>116</v>
      </c>
      <c r="C63" s="187"/>
      <c r="D63" s="187"/>
      <c r="E63" s="187"/>
      <c r="F63" s="187"/>
      <c r="G63" s="187"/>
      <c r="H63" s="187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</row>
    <row r="64" spans="1:30" ht="13.5" customHeight="1">
      <c r="A64" s="5">
        <v>2</v>
      </c>
      <c r="B64" s="97" t="s">
        <v>117</v>
      </c>
      <c r="C64" s="187">
        <f>BS_Data!E19</f>
        <v>3100369.12</v>
      </c>
      <c r="D64" s="187">
        <f>BS_Data!F19</f>
        <v>1068922.94</v>
      </c>
      <c r="E64" s="187">
        <f>BS_Data!G19</f>
        <v>2765700</v>
      </c>
      <c r="F64" s="187">
        <f>BS_Data!H19</f>
        <v>3172286.97</v>
      </c>
      <c r="G64" s="187">
        <f>BS_Data!I19</f>
        <v>19817912.239999998</v>
      </c>
      <c r="H64" s="187">
        <f>BS_Data!J19</f>
        <v>29189426.800000001</v>
      </c>
      <c r="I64" s="283">
        <f>H64</f>
        <v>29189426.800000001</v>
      </c>
      <c r="J64" s="92">
        <f t="shared" ref="J64:V64" si="102">I64</f>
        <v>29189426.800000001</v>
      </c>
      <c r="K64" s="92">
        <f t="shared" si="102"/>
        <v>29189426.800000001</v>
      </c>
      <c r="L64" s="92">
        <f t="shared" si="102"/>
        <v>29189426.800000001</v>
      </c>
      <c r="M64" s="92">
        <f t="shared" si="102"/>
        <v>29189426.800000001</v>
      </c>
      <c r="N64" s="92">
        <f t="shared" si="102"/>
        <v>29189426.800000001</v>
      </c>
      <c r="O64" s="92">
        <f t="shared" si="102"/>
        <v>29189426.800000001</v>
      </c>
      <c r="P64" s="92">
        <f t="shared" si="102"/>
        <v>29189426.800000001</v>
      </c>
      <c r="Q64" s="92">
        <f t="shared" si="102"/>
        <v>29189426.800000001</v>
      </c>
      <c r="R64" s="92">
        <f t="shared" si="102"/>
        <v>29189426.800000001</v>
      </c>
      <c r="S64" s="92">
        <f t="shared" si="102"/>
        <v>29189426.800000001</v>
      </c>
      <c r="T64" s="92">
        <f t="shared" si="102"/>
        <v>29189426.800000001</v>
      </c>
      <c r="U64" s="92">
        <f t="shared" si="102"/>
        <v>29189426.800000001</v>
      </c>
      <c r="V64" s="92">
        <f t="shared" si="102"/>
        <v>29189426.800000001</v>
      </c>
      <c r="W64" s="92">
        <f t="shared" ref="W64" si="103">V64</f>
        <v>29189426.800000001</v>
      </c>
      <c r="X64" s="92">
        <f t="shared" ref="X64" si="104">W64</f>
        <v>29189426.800000001</v>
      </c>
      <c r="Y64" s="92">
        <f t="shared" ref="Y64" si="105">X64</f>
        <v>29189426.800000001</v>
      </c>
      <c r="Z64" s="92">
        <f t="shared" ref="Z64" si="106">Y64</f>
        <v>29189426.800000001</v>
      </c>
      <c r="AA64" s="92">
        <f t="shared" ref="AA64" si="107">Z64</f>
        <v>29189426.800000001</v>
      </c>
      <c r="AB64" s="92">
        <f t="shared" ref="AB64" si="108">AA64</f>
        <v>29189426.800000001</v>
      </c>
      <c r="AC64" s="92">
        <f t="shared" ref="AC64" si="109">AB64</f>
        <v>29189426.800000001</v>
      </c>
      <c r="AD64" s="7">
        <v>0</v>
      </c>
    </row>
    <row r="65" spans="1:269" ht="13.5" customHeight="1">
      <c r="A65" s="5">
        <v>1</v>
      </c>
      <c r="B65" s="93" t="s">
        <v>118</v>
      </c>
      <c r="C65" s="188">
        <f t="shared" ref="C65:V65" si="110">+C66+C67+C68+C69+C70</f>
        <v>32880332.34</v>
      </c>
      <c r="D65" s="188">
        <f t="shared" si="110"/>
        <v>31084587.289999999</v>
      </c>
      <c r="E65" s="188">
        <f t="shared" si="110"/>
        <v>30330172.23</v>
      </c>
      <c r="F65" s="188">
        <f t="shared" si="110"/>
        <v>39691054.050000004</v>
      </c>
      <c r="G65" s="188">
        <f t="shared" si="110"/>
        <v>43215358.289999999</v>
      </c>
      <c r="H65" s="188">
        <f t="shared" si="110"/>
        <v>50287820.559999995</v>
      </c>
      <c r="I65" s="95">
        <f t="shared" si="110"/>
        <v>50287820.559999995</v>
      </c>
      <c r="J65" s="95">
        <f t="shared" si="110"/>
        <v>50287820.559999995</v>
      </c>
      <c r="K65" s="95">
        <f t="shared" si="110"/>
        <v>50287820.559999995</v>
      </c>
      <c r="L65" s="95">
        <f t="shared" si="110"/>
        <v>50287820.559999995</v>
      </c>
      <c r="M65" s="95">
        <f t="shared" si="110"/>
        <v>50287820.559999995</v>
      </c>
      <c r="N65" s="95">
        <f t="shared" si="110"/>
        <v>50287820.559999995</v>
      </c>
      <c r="O65" s="95">
        <f t="shared" si="110"/>
        <v>50287820.559999995</v>
      </c>
      <c r="P65" s="95">
        <f t="shared" si="110"/>
        <v>50287820.559999995</v>
      </c>
      <c r="Q65" s="95">
        <f t="shared" si="110"/>
        <v>50287820.559999995</v>
      </c>
      <c r="R65" s="95">
        <f t="shared" si="110"/>
        <v>50287820.559999995</v>
      </c>
      <c r="S65" s="95">
        <f t="shared" si="110"/>
        <v>50287820.559999995</v>
      </c>
      <c r="T65" s="95">
        <f t="shared" si="110"/>
        <v>50287820.559999995</v>
      </c>
      <c r="U65" s="95">
        <f t="shared" si="110"/>
        <v>50287820.559999995</v>
      </c>
      <c r="V65" s="95">
        <f t="shared" si="110"/>
        <v>50287820.559999995</v>
      </c>
      <c r="W65" s="95">
        <f t="shared" ref="W65:AC65" si="111">+W66+W67+W68+W69+W70</f>
        <v>50287820.559999995</v>
      </c>
      <c r="X65" s="95">
        <f t="shared" si="111"/>
        <v>50287820.559999995</v>
      </c>
      <c r="Y65" s="95">
        <f t="shared" si="111"/>
        <v>50287820.559999995</v>
      </c>
      <c r="Z65" s="95">
        <f t="shared" si="111"/>
        <v>50287820.559999995</v>
      </c>
      <c r="AA65" s="95">
        <f t="shared" si="111"/>
        <v>50287820.559999995</v>
      </c>
      <c r="AB65" s="95">
        <f t="shared" si="111"/>
        <v>50287820.559999995</v>
      </c>
      <c r="AC65" s="95">
        <f t="shared" si="111"/>
        <v>50287820.559999995</v>
      </c>
      <c r="AD65" s="4"/>
    </row>
    <row r="66" spans="1:269" ht="13.5" customHeight="1">
      <c r="A66" s="5">
        <v>2</v>
      </c>
      <c r="B66" s="97" t="s">
        <v>119</v>
      </c>
      <c r="C66" s="187"/>
      <c r="D66" s="187"/>
      <c r="E66" s="187"/>
      <c r="F66" s="187"/>
      <c r="G66" s="187"/>
      <c r="H66" s="187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4"/>
    </row>
    <row r="67" spans="1:269" s="731" customFormat="1" ht="13.5" customHeight="1">
      <c r="A67" s="727"/>
      <c r="B67" s="728" t="s">
        <v>1034</v>
      </c>
      <c r="C67" s="729">
        <f>BS_Data!E22</f>
        <v>32853786.66</v>
      </c>
      <c r="D67" s="729">
        <f>BS_Data!F22</f>
        <v>31063760.27</v>
      </c>
      <c r="E67" s="729">
        <f>BS_Data!G22</f>
        <v>30281763.219999999</v>
      </c>
      <c r="F67" s="729">
        <f>BS_Data!H22</f>
        <v>39388919.100000001</v>
      </c>
      <c r="G67" s="729">
        <f>BS_Data!I22</f>
        <v>42897420.07</v>
      </c>
      <c r="H67" s="729">
        <f>BS_Data!J22</f>
        <v>50056147.979999997</v>
      </c>
      <c r="I67" s="730">
        <f>'Financials"A"'!H54</f>
        <v>50056147.979999997</v>
      </c>
      <c r="J67" s="730">
        <f>'Financials"A"'!I54</f>
        <v>50056147.979999997</v>
      </c>
      <c r="K67" s="730">
        <f>'Financials"A"'!J54</f>
        <v>50056147.979999997</v>
      </c>
      <c r="L67" s="730">
        <f>'Financials"A"'!K54</f>
        <v>50056147.979999997</v>
      </c>
      <c r="M67" s="730">
        <f>'Financials"A"'!L54</f>
        <v>50056147.979999997</v>
      </c>
      <c r="N67" s="730">
        <f>'Financials"A"'!M54</f>
        <v>50056147.979999997</v>
      </c>
      <c r="O67" s="730">
        <f>'Financials"A"'!N54</f>
        <v>50056147.979999997</v>
      </c>
      <c r="P67" s="730">
        <f>'Financials"A"'!O54</f>
        <v>50056147.979999997</v>
      </c>
      <c r="Q67" s="730">
        <f>'Financials"A"'!P54</f>
        <v>50056147.979999997</v>
      </c>
      <c r="R67" s="730">
        <f>'Financials"A"'!Q54</f>
        <v>50056147.979999997</v>
      </c>
      <c r="S67" s="730">
        <f>'Financials"A"'!R54</f>
        <v>50056147.979999997</v>
      </c>
      <c r="T67" s="730">
        <f>'Financials"A"'!S54</f>
        <v>50056147.979999997</v>
      </c>
      <c r="U67" s="730">
        <f>'Financials"A"'!T54</f>
        <v>50056147.979999997</v>
      </c>
      <c r="V67" s="730">
        <f>'Financials"A"'!U54</f>
        <v>50056147.979999997</v>
      </c>
      <c r="W67" s="730">
        <f>'Financials"A"'!V54</f>
        <v>50056147.979999997</v>
      </c>
      <c r="X67" s="730">
        <f>'Financials"A"'!W54</f>
        <v>50056147.979999997</v>
      </c>
      <c r="Y67" s="730">
        <f>'Financials"A"'!X54</f>
        <v>50056147.979999997</v>
      </c>
      <c r="Z67" s="730">
        <f>'Financials"A"'!Y54</f>
        <v>50056147.979999997</v>
      </c>
      <c r="AA67" s="730">
        <f>'Financials"A"'!Z54</f>
        <v>50056147.979999997</v>
      </c>
      <c r="AB67" s="730">
        <f>'Financials"A"'!AA54</f>
        <v>50056147.979999997</v>
      </c>
      <c r="AC67" s="730">
        <f>'Financials"A"'!AB54</f>
        <v>50056147.979999997</v>
      </c>
      <c r="AD67" s="727"/>
      <c r="AE67" s="727"/>
      <c r="AF67" s="727"/>
      <c r="AG67" s="727"/>
      <c r="AH67" s="727"/>
      <c r="AI67" s="727"/>
      <c r="AJ67" s="727"/>
      <c r="AK67" s="727"/>
      <c r="AL67" s="727"/>
      <c r="AM67" s="727"/>
      <c r="AN67" s="727"/>
      <c r="AO67" s="727"/>
      <c r="AP67" s="727"/>
      <c r="AQ67" s="727"/>
      <c r="AR67" s="727"/>
      <c r="AS67" s="727"/>
      <c r="AT67" s="727"/>
      <c r="AU67" s="727"/>
      <c r="AV67" s="727"/>
      <c r="AW67" s="727"/>
      <c r="AX67" s="727"/>
      <c r="AY67" s="727"/>
      <c r="AZ67" s="727"/>
      <c r="BA67" s="727"/>
      <c r="BB67" s="727"/>
      <c r="BC67" s="727"/>
      <c r="BD67" s="727"/>
      <c r="BE67" s="727"/>
      <c r="BF67" s="727"/>
      <c r="BG67" s="727"/>
      <c r="BH67" s="727"/>
      <c r="BI67" s="727"/>
      <c r="BJ67" s="727"/>
      <c r="BK67" s="727"/>
      <c r="BL67" s="727"/>
      <c r="BM67" s="727"/>
      <c r="BN67" s="727"/>
      <c r="BO67" s="727"/>
      <c r="BP67" s="727"/>
      <c r="BQ67" s="727"/>
      <c r="BR67" s="727"/>
      <c r="BS67" s="727"/>
      <c r="BT67" s="727"/>
      <c r="BU67" s="727"/>
      <c r="BV67" s="727"/>
      <c r="BW67" s="727"/>
      <c r="BX67" s="727"/>
      <c r="BY67" s="727"/>
      <c r="BZ67" s="727"/>
      <c r="CA67" s="727"/>
      <c r="CB67" s="727"/>
      <c r="CC67" s="727"/>
      <c r="CD67" s="727"/>
      <c r="CE67" s="727"/>
      <c r="CF67" s="727"/>
      <c r="CG67" s="727"/>
      <c r="CH67" s="727"/>
      <c r="CI67" s="727"/>
      <c r="CJ67" s="727"/>
      <c r="CK67" s="727"/>
      <c r="CL67" s="727"/>
      <c r="CM67" s="727"/>
      <c r="CN67" s="727"/>
      <c r="CO67" s="727"/>
      <c r="CP67" s="727"/>
      <c r="CQ67" s="727"/>
      <c r="CR67" s="727"/>
      <c r="CS67" s="727"/>
      <c r="CT67" s="727"/>
      <c r="CU67" s="727"/>
      <c r="CV67" s="727"/>
      <c r="CW67" s="727"/>
      <c r="CX67" s="727"/>
      <c r="CY67" s="727"/>
      <c r="CZ67" s="727"/>
      <c r="DA67" s="727"/>
      <c r="DB67" s="727"/>
      <c r="DC67" s="727"/>
      <c r="DD67" s="727"/>
      <c r="DE67" s="727"/>
      <c r="DF67" s="727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727"/>
      <c r="FT67" s="727"/>
      <c r="FU67" s="727"/>
      <c r="FV67" s="727"/>
      <c r="FW67" s="727"/>
      <c r="FX67" s="727"/>
      <c r="FY67" s="727"/>
      <c r="FZ67" s="727"/>
      <c r="GA67" s="727"/>
      <c r="GB67" s="727"/>
      <c r="GC67" s="727"/>
      <c r="GD67" s="727"/>
      <c r="GE67" s="727"/>
      <c r="GF67" s="727"/>
      <c r="GG67" s="727"/>
      <c r="GH67" s="727"/>
      <c r="GI67" s="727"/>
      <c r="GJ67" s="727"/>
      <c r="GK67" s="727"/>
      <c r="GL67" s="727"/>
      <c r="GM67" s="727"/>
      <c r="GN67" s="727"/>
      <c r="GO67" s="727"/>
      <c r="GP67" s="727"/>
      <c r="GQ67" s="727"/>
      <c r="GR67" s="727"/>
      <c r="GS67" s="727"/>
      <c r="GT67" s="727"/>
      <c r="GU67" s="727"/>
      <c r="GV67" s="727"/>
      <c r="GW67" s="727"/>
      <c r="GX67" s="727"/>
      <c r="GY67" s="727"/>
      <c r="GZ67" s="727"/>
      <c r="HA67" s="727"/>
      <c r="HB67" s="727"/>
      <c r="HC67" s="727"/>
      <c r="HD67" s="727"/>
      <c r="HE67" s="727"/>
      <c r="HF67" s="727"/>
      <c r="HG67" s="727"/>
      <c r="HH67" s="727"/>
      <c r="HI67" s="727"/>
      <c r="HJ67" s="727"/>
      <c r="HK67" s="727"/>
      <c r="HL67" s="727"/>
      <c r="HM67" s="727"/>
      <c r="HN67" s="727"/>
      <c r="HO67" s="727"/>
      <c r="HP67" s="727"/>
      <c r="HQ67" s="727"/>
      <c r="HR67" s="727"/>
      <c r="HS67" s="727"/>
      <c r="HT67" s="727"/>
      <c r="HU67" s="727"/>
      <c r="HV67" s="727"/>
      <c r="HW67" s="727"/>
      <c r="HX67" s="727"/>
      <c r="HY67" s="727"/>
      <c r="HZ67" s="727"/>
      <c r="IA67" s="727"/>
      <c r="IB67" s="727"/>
      <c r="IC67" s="727"/>
      <c r="ID67" s="727"/>
      <c r="IE67" s="727"/>
      <c r="IF67" s="727"/>
      <c r="IG67" s="727"/>
      <c r="IH67" s="727"/>
      <c r="II67" s="727"/>
      <c r="IJ67" s="727"/>
      <c r="IK67" s="727"/>
      <c r="IL67" s="727"/>
      <c r="IM67" s="727"/>
      <c r="IN67" s="727"/>
      <c r="IO67" s="727"/>
      <c r="IP67" s="727"/>
      <c r="IQ67" s="727"/>
      <c r="IR67" s="727"/>
      <c r="IS67" s="727"/>
      <c r="IT67" s="727"/>
      <c r="IU67" s="727"/>
      <c r="IV67" s="727"/>
      <c r="IW67" s="727"/>
      <c r="IX67" s="727"/>
      <c r="IY67" s="727"/>
      <c r="IZ67" s="727"/>
      <c r="JA67" s="727"/>
      <c r="JB67" s="727"/>
      <c r="JC67" s="727"/>
      <c r="JD67" s="727"/>
      <c r="JE67" s="727"/>
      <c r="JF67" s="727"/>
      <c r="JG67" s="727"/>
      <c r="JH67" s="727"/>
      <c r="JI67" s="727"/>
    </row>
    <row r="68" spans="1:269" ht="13.5" customHeight="1">
      <c r="A68" s="5">
        <v>2</v>
      </c>
      <c r="B68" s="99" t="s">
        <v>221</v>
      </c>
      <c r="C68" s="187">
        <f>BS_Data!E32</f>
        <v>26545.68</v>
      </c>
      <c r="D68" s="187">
        <f>BS_Data!F32</f>
        <v>20827.02</v>
      </c>
      <c r="E68" s="187">
        <f>BS_Data!G32</f>
        <v>48409.01</v>
      </c>
      <c r="F68" s="187">
        <f>BS_Data!H32</f>
        <v>107654.27</v>
      </c>
      <c r="G68" s="187">
        <f>BS_Data!I32</f>
        <v>121526.14</v>
      </c>
      <c r="H68" s="187">
        <f>BS_Data!J32</f>
        <v>231672.58</v>
      </c>
      <c r="I68" s="92">
        <f>H68</f>
        <v>231672.58</v>
      </c>
      <c r="J68" s="92">
        <f t="shared" ref="J68:V68" si="112">I68</f>
        <v>231672.58</v>
      </c>
      <c r="K68" s="92">
        <f t="shared" si="112"/>
        <v>231672.58</v>
      </c>
      <c r="L68" s="92">
        <f t="shared" si="112"/>
        <v>231672.58</v>
      </c>
      <c r="M68" s="92">
        <f t="shared" si="112"/>
        <v>231672.58</v>
      </c>
      <c r="N68" s="92">
        <f t="shared" si="112"/>
        <v>231672.58</v>
      </c>
      <c r="O68" s="92">
        <f t="shared" si="112"/>
        <v>231672.58</v>
      </c>
      <c r="P68" s="92">
        <f t="shared" si="112"/>
        <v>231672.58</v>
      </c>
      <c r="Q68" s="92">
        <f t="shared" si="112"/>
        <v>231672.58</v>
      </c>
      <c r="R68" s="92">
        <f t="shared" si="112"/>
        <v>231672.58</v>
      </c>
      <c r="S68" s="92">
        <f t="shared" si="112"/>
        <v>231672.58</v>
      </c>
      <c r="T68" s="92">
        <f t="shared" si="112"/>
        <v>231672.58</v>
      </c>
      <c r="U68" s="92">
        <f t="shared" si="112"/>
        <v>231672.58</v>
      </c>
      <c r="V68" s="92">
        <f t="shared" si="112"/>
        <v>231672.58</v>
      </c>
      <c r="W68" s="92">
        <f t="shared" ref="W68" si="113">V68</f>
        <v>231672.58</v>
      </c>
      <c r="X68" s="92">
        <f t="shared" ref="X68" si="114">W68</f>
        <v>231672.58</v>
      </c>
      <c r="Y68" s="92">
        <f t="shared" ref="Y68" si="115">X68</f>
        <v>231672.58</v>
      </c>
      <c r="Z68" s="92">
        <f t="shared" ref="Z68" si="116">Y68</f>
        <v>231672.58</v>
      </c>
      <c r="AA68" s="92">
        <f t="shared" ref="AA68" si="117">Z68</f>
        <v>231672.58</v>
      </c>
      <c r="AB68" s="92">
        <f t="shared" ref="AB68" si="118">AA68</f>
        <v>231672.58</v>
      </c>
      <c r="AC68" s="92">
        <f t="shared" ref="AC68" si="119">AB68</f>
        <v>231672.58</v>
      </c>
      <c r="AD68" s="7">
        <v>0</v>
      </c>
    </row>
    <row r="69" spans="1:269" ht="13.5" customHeight="1">
      <c r="A69" s="5">
        <v>2</v>
      </c>
      <c r="B69" s="97" t="s">
        <v>120</v>
      </c>
      <c r="C69" s="187"/>
      <c r="D69" s="187"/>
      <c r="E69" s="187"/>
      <c r="F69" s="187"/>
      <c r="G69" s="187"/>
      <c r="H69" s="187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4"/>
    </row>
    <row r="70" spans="1:269" ht="13.5" customHeight="1">
      <c r="A70" s="5">
        <v>2</v>
      </c>
      <c r="B70" s="97" t="s">
        <v>121</v>
      </c>
      <c r="C70" s="187"/>
      <c r="D70" s="187"/>
      <c r="E70" s="187"/>
      <c r="F70" s="187">
        <f>BS_Data!H29</f>
        <v>194480.68</v>
      </c>
      <c r="G70" s="187">
        <f>BS_Data!I29</f>
        <v>196412.08</v>
      </c>
      <c r="H70" s="187"/>
      <c r="I70" s="283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4"/>
    </row>
    <row r="71" spans="1:269" ht="13.5" customHeight="1">
      <c r="A71" s="5">
        <v>1</v>
      </c>
      <c r="B71" s="93" t="s">
        <v>122</v>
      </c>
      <c r="C71" s="188">
        <f t="shared" ref="C71:V71" si="120">+C72+C73+C74+C75+C76+C77+C78</f>
        <v>91837385.269999996</v>
      </c>
      <c r="D71" s="188">
        <f t="shared" si="120"/>
        <v>112087525.64</v>
      </c>
      <c r="E71" s="188">
        <f t="shared" si="120"/>
        <v>109307209.69</v>
      </c>
      <c r="F71" s="188">
        <f t="shared" si="120"/>
        <v>112418926.98</v>
      </c>
      <c r="G71" s="188">
        <f t="shared" si="120"/>
        <v>126570743.19</v>
      </c>
      <c r="H71" s="188">
        <f t="shared" si="120"/>
        <v>154524656.47999999</v>
      </c>
      <c r="I71" s="95">
        <f t="shared" si="120"/>
        <v>157513975.59791625</v>
      </c>
      <c r="J71" s="95">
        <f t="shared" si="120"/>
        <v>156760287.0813055</v>
      </c>
      <c r="K71" s="95">
        <f t="shared" si="120"/>
        <v>159639589.53319377</v>
      </c>
      <c r="L71" s="95">
        <f t="shared" si="120"/>
        <v>164057816.9079296</v>
      </c>
      <c r="M71" s="95">
        <f t="shared" si="120"/>
        <v>166896489.72152591</v>
      </c>
      <c r="N71" s="95">
        <f t="shared" si="120"/>
        <v>166265361.07257652</v>
      </c>
      <c r="O71" s="95">
        <f t="shared" si="120"/>
        <v>167128646.79277712</v>
      </c>
      <c r="P71" s="95">
        <f t="shared" si="120"/>
        <v>170255348.71604365</v>
      </c>
      <c r="Q71" s="95">
        <f t="shared" si="120"/>
        <v>168052534.86809391</v>
      </c>
      <c r="R71" s="95">
        <f t="shared" si="120"/>
        <v>168230353.58915597</v>
      </c>
      <c r="S71" s="95">
        <f t="shared" si="120"/>
        <v>168432899.51255494</v>
      </c>
      <c r="T71" s="95">
        <f t="shared" si="120"/>
        <v>168599039.2409752</v>
      </c>
      <c r="U71" s="95">
        <f t="shared" si="120"/>
        <v>168692551.1699996</v>
      </c>
      <c r="V71" s="95">
        <f t="shared" si="120"/>
        <v>168730448.2639364</v>
      </c>
      <c r="W71" s="95">
        <f t="shared" ref="W71:AC71" si="121">+W72+W73+W74+W75+W76+W77+W78</f>
        <v>168730448.2639364</v>
      </c>
      <c r="X71" s="95">
        <f t="shared" si="121"/>
        <v>168730448.2639364</v>
      </c>
      <c r="Y71" s="95">
        <f t="shared" si="121"/>
        <v>168730448.2639364</v>
      </c>
      <c r="Z71" s="95">
        <f t="shared" si="121"/>
        <v>168730448.2639364</v>
      </c>
      <c r="AA71" s="95">
        <f t="shared" si="121"/>
        <v>168730448.2639364</v>
      </c>
      <c r="AB71" s="95">
        <f t="shared" si="121"/>
        <v>168730448.2639364</v>
      </c>
      <c r="AC71" s="95">
        <f t="shared" si="121"/>
        <v>168730448.2639364</v>
      </c>
      <c r="AD71" s="4"/>
    </row>
    <row r="72" spans="1:269" ht="13.5" customHeight="1">
      <c r="A72" s="5">
        <v>2</v>
      </c>
      <c r="B72" s="97" t="s">
        <v>119</v>
      </c>
      <c r="C72" s="187">
        <f>BS_Data!E40</f>
        <v>80516005.370000005</v>
      </c>
      <c r="D72" s="187">
        <f>BS_Data!F40</f>
        <v>88478742.439999998</v>
      </c>
      <c r="E72" s="187">
        <f>BS_Data!G40</f>
        <v>74291543.040000007</v>
      </c>
      <c r="F72" s="187">
        <f>BS_Data!H40</f>
        <v>45280650.93</v>
      </c>
      <c r="G72" s="187">
        <f>BS_Data!I40</f>
        <v>62512564.100000001</v>
      </c>
      <c r="H72" s="187">
        <f>BS_Data!J40</f>
        <v>65614825.579999998</v>
      </c>
      <c r="I72" s="92">
        <f>'Financials"A"'!H49</f>
        <v>68604144.69791624</v>
      </c>
      <c r="J72" s="92">
        <f>'Financials"A"'!I49</f>
        <v>68201351.035740435</v>
      </c>
      <c r="K72" s="92">
        <f>'Financials"A"'!J49</f>
        <v>69751904.381822512</v>
      </c>
      <c r="L72" s="92">
        <f>'Financials"A"'!K49</f>
        <v>72730092.579542145</v>
      </c>
      <c r="M72" s="92">
        <f>'Financials"A"'!L49</f>
        <v>74886719.468749717</v>
      </c>
      <c r="N72" s="92">
        <f>'Financials"A"'!M49</f>
        <v>75142732.408669338</v>
      </c>
      <c r="O72" s="92">
        <f>'Financials"A"'!N49</f>
        <v>76658768.119186044</v>
      </c>
      <c r="P72" s="92">
        <f>'Financials"A"'!O49</f>
        <v>79032348.851660118</v>
      </c>
      <c r="Q72" s="92">
        <f>'Financials"A"'!P49</f>
        <v>77796745.036961555</v>
      </c>
      <c r="R72" s="92">
        <f>'Financials"A"'!Q49</f>
        <v>77901085.975655779</v>
      </c>
      <c r="S72" s="92">
        <f>'Financials"A"'!R49</f>
        <v>78019523.392790258</v>
      </c>
      <c r="T72" s="92">
        <f>'Financials"A"'!S49</f>
        <v>78117187.86095199</v>
      </c>
      <c r="U72" s="92">
        <f>'Financials"A"'!T49</f>
        <v>78173413.908453509</v>
      </c>
      <c r="V72" s="92">
        <f>'Financials"A"'!U49</f>
        <v>78197900.675133035</v>
      </c>
      <c r="W72" s="92">
        <f>'Financials"A"'!V49</f>
        <v>78197900.675133035</v>
      </c>
      <c r="X72" s="92">
        <f>'Financials"A"'!W49</f>
        <v>78197900.675133035</v>
      </c>
      <c r="Y72" s="92">
        <f>'Financials"A"'!X49</f>
        <v>78197900.675133035</v>
      </c>
      <c r="Z72" s="92">
        <f>'Financials"A"'!Y49</f>
        <v>78197900.675133035</v>
      </c>
      <c r="AA72" s="92">
        <f>'Financials"A"'!Z49</f>
        <v>78197900.675133035</v>
      </c>
      <c r="AB72" s="92">
        <f>'Financials"A"'!AA49</f>
        <v>78197900.675133035</v>
      </c>
      <c r="AC72" s="92">
        <f>'Financials"A"'!AB49</f>
        <v>78197900.675133035</v>
      </c>
      <c r="AD72" s="7">
        <v>-1</v>
      </c>
    </row>
    <row r="73" spans="1:269" ht="13.5" customHeight="1">
      <c r="A73" s="5">
        <v>2</v>
      </c>
      <c r="B73" s="97" t="s">
        <v>123</v>
      </c>
      <c r="C73" s="187"/>
      <c r="D73" s="187"/>
      <c r="E73" s="187"/>
      <c r="F73" s="301"/>
      <c r="G73" s="301"/>
      <c r="H73" s="301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7">
        <v>-1</v>
      </c>
    </row>
    <row r="74" spans="1:269" ht="13.5" customHeight="1">
      <c r="A74" s="5">
        <v>2</v>
      </c>
      <c r="B74" s="97" t="s">
        <v>124</v>
      </c>
      <c r="C74" s="187"/>
      <c r="D74" s="187"/>
      <c r="E74" s="187"/>
      <c r="F74" s="187"/>
      <c r="G74" s="187"/>
      <c r="H74" s="187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7">
        <v>-1</v>
      </c>
    </row>
    <row r="75" spans="1:269" ht="13.5" customHeight="1">
      <c r="A75" s="5">
        <v>2</v>
      </c>
      <c r="B75" s="97" t="s">
        <v>125</v>
      </c>
      <c r="C75" s="187">
        <f>BS_Data!E51+BS_Data!E52</f>
        <v>2954370.2199999997</v>
      </c>
      <c r="D75" s="187">
        <f>BS_Data!F51+BS_Data!F52</f>
        <v>3147518.6399999997</v>
      </c>
      <c r="E75" s="187">
        <f>BS_Data!G51+BS_Data!G52</f>
        <v>3198066.48</v>
      </c>
      <c r="F75" s="187">
        <f>BS_Data!H51+BS_Data!H52</f>
        <v>3549735.1599999997</v>
      </c>
      <c r="G75" s="187">
        <f>BS_Data!I51+BS_Data!I52</f>
        <v>4092868.52</v>
      </c>
      <c r="H75" s="187">
        <f>BS_Data!J51+BS_Data!J52</f>
        <v>6008320.0699999994</v>
      </c>
      <c r="I75" s="92">
        <f>H75/SUM(H75:H76)*'Financials"A"'!H48</f>
        <v>6008320.0699999984</v>
      </c>
      <c r="J75" s="92">
        <f>I75/SUM(I75:I76)*'Financials"A"'!I48</f>
        <v>5971005.2668628348</v>
      </c>
      <c r="K75" s="92">
        <f>J75/SUM(J75:J76)*'Financials"A"'!J48</f>
        <v>6112306.8866363289</v>
      </c>
      <c r="L75" s="92">
        <f>K75/SUM(K75:K76)*'Financials"A"'!K48</f>
        <v>6265443.2969342135</v>
      </c>
      <c r="M75" s="92">
        <f>L75/SUM(L75:L76)*'Financials"A"'!L48</f>
        <v>6337973.3129130909</v>
      </c>
      <c r="N75" s="92">
        <f>M75/SUM(M75:M76)*'Financials"A"'!M48</f>
        <v>6243633.0473747198</v>
      </c>
      <c r="O75" s="92">
        <f>N75/SUM(N75:N76)*'Financials"A"'!N48</f>
        <v>6174218.4148186091</v>
      </c>
      <c r="P75" s="92">
        <f>O75/SUM(O75:O76)*'Financials"A"'!O48</f>
        <v>6254306.7051359536</v>
      </c>
      <c r="Q75" s="92">
        <f>P75/SUM(P75:P76)*'Financials"A"'!P48</f>
        <v>6151451.8141995287</v>
      </c>
      <c r="R75" s="92">
        <f>Q75/SUM(Q75:Q76)*'Financials"A"'!Q48</f>
        <v>6159265.5764971497</v>
      </c>
      <c r="S75" s="92">
        <f>R75/SUM(R75:R76)*'Financials"A"'!R48</f>
        <v>6168209.8294941727</v>
      </c>
      <c r="T75" s="92">
        <f>S75/SUM(S75:S76)*'Financials"A"'!S48</f>
        <v>6175491.6144050024</v>
      </c>
      <c r="U75" s="92">
        <f>T75/SUM(T75:T76)*'Financials"A"'!T48</f>
        <v>6179456.6635108506</v>
      </c>
      <c r="V75" s="92">
        <f>U75/SUM(U75:U76)*'Financials"A"'!U48</f>
        <v>6180882.7423355635</v>
      </c>
      <c r="W75" s="92">
        <f>V75/SUM(V75:V76)*'Financials"A"'!V48</f>
        <v>6180882.7423355635</v>
      </c>
      <c r="X75" s="92">
        <f>W75/SUM(W75:W76)*'Financials"A"'!W48</f>
        <v>6180882.7423355635</v>
      </c>
      <c r="Y75" s="92">
        <f>X75/SUM(X75:X76)*'Financials"A"'!X48</f>
        <v>6180882.7423355635</v>
      </c>
      <c r="Z75" s="92">
        <f>Y75/SUM(Y75:Y76)*'Financials"A"'!Y48</f>
        <v>6180882.7423355635</v>
      </c>
      <c r="AA75" s="92">
        <f>Z75/SUM(Z75:Z76)*'Financials"A"'!Z48</f>
        <v>6180882.7423355635</v>
      </c>
      <c r="AB75" s="92">
        <f>AA75/SUM(AA75:AA76)*'Financials"A"'!AA48</f>
        <v>6180882.7423355635</v>
      </c>
      <c r="AC75" s="92">
        <f>AB75/SUM(AB75:AB76)*'Financials"A"'!AB48</f>
        <v>6180882.7423355635</v>
      </c>
      <c r="AD75" s="7">
        <v>-1</v>
      </c>
    </row>
    <row r="76" spans="1:269" ht="13.5" customHeight="1">
      <c r="A76" s="5">
        <v>2</v>
      </c>
      <c r="B76" s="97" t="s">
        <v>126</v>
      </c>
      <c r="C76" s="187">
        <f>BS_Data!E53</f>
        <v>6606420.3499999996</v>
      </c>
      <c r="D76" s="187">
        <f>BS_Data!F53</f>
        <v>18679206.289999999</v>
      </c>
      <c r="E76" s="187">
        <f>BS_Data!G53</f>
        <v>27396220.379999999</v>
      </c>
      <c r="F76" s="187">
        <f>BS_Data!H53</f>
        <v>41010999.780000001</v>
      </c>
      <c r="G76" s="187">
        <f>BS_Data!I53</f>
        <v>33861051.729999997</v>
      </c>
      <c r="H76" s="187">
        <f>BS_Data!J53</f>
        <v>50491739.399999999</v>
      </c>
      <c r="I76" s="92">
        <f>'Financials"A"'!H48-I75</f>
        <v>50491739.399999991</v>
      </c>
      <c r="J76" s="92">
        <f>'Financials"A"'!I48-J75</f>
        <v>50178159.348702237</v>
      </c>
      <c r="K76" s="92">
        <f>'Financials"A"'!J48-K75</f>
        <v>51365606.834734902</v>
      </c>
      <c r="L76" s="92">
        <f>'Financials"A"'!K48-L75</f>
        <v>52652509.60145323</v>
      </c>
      <c r="M76" s="92">
        <f>'Financials"A"'!L48-M75</f>
        <v>53262025.509863108</v>
      </c>
      <c r="N76" s="92">
        <f>'Financials"A"'!M48-N75</f>
        <v>52469224.186532438</v>
      </c>
      <c r="O76" s="92">
        <f>'Financials"A"'!N48-O75</f>
        <v>51885888.828772455</v>
      </c>
      <c r="P76" s="92">
        <f>'Financials"A"'!O48-P75</f>
        <v>52558921.729247555</v>
      </c>
      <c r="Q76" s="92">
        <f>'Financials"A"'!P48-Q75</f>
        <v>51694566.586932808</v>
      </c>
      <c r="R76" s="92">
        <f>'Financials"A"'!Q48-R75</f>
        <v>51760230.60700307</v>
      </c>
      <c r="S76" s="92">
        <f>'Financials"A"'!R48-S75</f>
        <v>51835394.860270523</v>
      </c>
      <c r="T76" s="92">
        <f>'Financials"A"'!S48-T75</f>
        <v>51896588.335618183</v>
      </c>
      <c r="U76" s="92">
        <f>'Financials"A"'!T48-U75</f>
        <v>51929909.168035276</v>
      </c>
      <c r="V76" s="92">
        <f>'Financials"A"'!U48-V75</f>
        <v>51941893.416467838</v>
      </c>
      <c r="W76" s="92">
        <f>'Financials"A"'!V48-W75</f>
        <v>51941893.416467838</v>
      </c>
      <c r="X76" s="92">
        <f>'Financials"A"'!W48-X75</f>
        <v>51941893.416467838</v>
      </c>
      <c r="Y76" s="92">
        <f>'Financials"A"'!X48-Y75</f>
        <v>51941893.416467838</v>
      </c>
      <c r="Z76" s="92">
        <f>'Financials"A"'!Y48-Z75</f>
        <v>51941893.416467838</v>
      </c>
      <c r="AA76" s="92">
        <f>'Financials"A"'!Z48-AA75</f>
        <v>51941893.416467838</v>
      </c>
      <c r="AB76" s="92">
        <f>'Financials"A"'!AA48-AB75</f>
        <v>51941893.416467838</v>
      </c>
      <c r="AC76" s="92">
        <f>'Financials"A"'!AB48-AC75</f>
        <v>51941893.416467838</v>
      </c>
      <c r="AD76" s="7">
        <v>-1</v>
      </c>
    </row>
    <row r="77" spans="1:269" ht="13.5" customHeight="1">
      <c r="A77" s="5">
        <v>2</v>
      </c>
      <c r="B77" s="97" t="s">
        <v>127</v>
      </c>
      <c r="C77" s="187">
        <f>BS_Data!E55+BS_Data!E56</f>
        <v>524541.92000000004</v>
      </c>
      <c r="D77" s="187">
        <f>BS_Data!F55+BS_Data!F56</f>
        <v>550153.63</v>
      </c>
      <c r="E77" s="187">
        <f>BS_Data!G55+BS_Data!G56</f>
        <v>587222.31999999995</v>
      </c>
      <c r="F77" s="187">
        <f>BS_Data!H55+BS_Data!H56</f>
        <v>664523.77999999991</v>
      </c>
      <c r="G77" s="187">
        <f>BS_Data!I55+BS_Data!I56</f>
        <v>741587.01</v>
      </c>
      <c r="H77" s="187">
        <f>BS_Data!J55+BS_Data!J56</f>
        <v>1208832.45</v>
      </c>
      <c r="I77" s="283">
        <f>H77</f>
        <v>1208832.45</v>
      </c>
      <c r="J77" s="283">
        <f t="shared" ref="J77:V77" si="122">I77</f>
        <v>1208832.45</v>
      </c>
      <c r="K77" s="92">
        <f t="shared" si="122"/>
        <v>1208832.45</v>
      </c>
      <c r="L77" s="92">
        <f t="shared" si="122"/>
        <v>1208832.45</v>
      </c>
      <c r="M77" s="92">
        <f t="shared" si="122"/>
        <v>1208832.45</v>
      </c>
      <c r="N77" s="92">
        <f t="shared" si="122"/>
        <v>1208832.45</v>
      </c>
      <c r="O77" s="92">
        <f t="shared" si="122"/>
        <v>1208832.45</v>
      </c>
      <c r="P77" s="92">
        <f t="shared" si="122"/>
        <v>1208832.45</v>
      </c>
      <c r="Q77" s="92">
        <f t="shared" si="122"/>
        <v>1208832.45</v>
      </c>
      <c r="R77" s="92">
        <f t="shared" si="122"/>
        <v>1208832.45</v>
      </c>
      <c r="S77" s="92">
        <f t="shared" si="122"/>
        <v>1208832.45</v>
      </c>
      <c r="T77" s="92">
        <f t="shared" si="122"/>
        <v>1208832.45</v>
      </c>
      <c r="U77" s="92">
        <f t="shared" si="122"/>
        <v>1208832.45</v>
      </c>
      <c r="V77" s="92">
        <f t="shared" si="122"/>
        <v>1208832.45</v>
      </c>
      <c r="W77" s="92">
        <f t="shared" ref="W77" si="123">V77</f>
        <v>1208832.45</v>
      </c>
      <c r="X77" s="92">
        <f t="shared" ref="X77" si="124">W77</f>
        <v>1208832.45</v>
      </c>
      <c r="Y77" s="92">
        <f t="shared" ref="Y77" si="125">X77</f>
        <v>1208832.45</v>
      </c>
      <c r="Z77" s="92">
        <f t="shared" ref="Z77" si="126">Y77</f>
        <v>1208832.45</v>
      </c>
      <c r="AA77" s="92">
        <f t="shared" ref="AA77" si="127">Z77</f>
        <v>1208832.45</v>
      </c>
      <c r="AB77" s="92">
        <f t="shared" ref="AB77" si="128">AA77</f>
        <v>1208832.45</v>
      </c>
      <c r="AC77" s="92">
        <f t="shared" ref="AC77" si="129">AB77</f>
        <v>1208832.45</v>
      </c>
      <c r="AD77" s="7">
        <v>-1</v>
      </c>
    </row>
    <row r="78" spans="1:269" ht="13.5" customHeight="1">
      <c r="A78" s="5">
        <v>2</v>
      </c>
      <c r="B78" s="97" t="s">
        <v>128</v>
      </c>
      <c r="C78" s="187">
        <f>BS_Data!E39-SUM(C72:C77)</f>
        <v>1236047.4099999964</v>
      </c>
      <c r="D78" s="187">
        <f>BS_Data!F39-SUM(D72:D77)</f>
        <v>1231904.6400000006</v>
      </c>
      <c r="E78" s="187">
        <f>BS_Data!G39-SUM(E72:E77)</f>
        <v>3834157.4699999988</v>
      </c>
      <c r="F78" s="187">
        <f>BS_Data!H39-SUM(F72:F77)</f>
        <v>21913017.329999998</v>
      </c>
      <c r="G78" s="187">
        <f>BS_Data!I39-SUM(G72:G77)</f>
        <v>25362671.829999998</v>
      </c>
      <c r="H78" s="187">
        <f>BS_Data!J39-SUM(H72:H77)</f>
        <v>31200938.980000004</v>
      </c>
      <c r="I78" s="92">
        <f>'Financials"A"'!H56</f>
        <v>31200938.980000004</v>
      </c>
      <c r="J78" s="92">
        <f>'Financials"A"'!I56</f>
        <v>31200938.980000004</v>
      </c>
      <c r="K78" s="92">
        <f>'Financials"A"'!J56</f>
        <v>31200938.980000004</v>
      </c>
      <c r="L78" s="92">
        <f>'Financials"A"'!K56</f>
        <v>31200938.980000004</v>
      </c>
      <c r="M78" s="92">
        <f>'Financials"A"'!L56</f>
        <v>31200938.980000004</v>
      </c>
      <c r="N78" s="92">
        <f>'Financials"A"'!M56</f>
        <v>31200938.980000004</v>
      </c>
      <c r="O78" s="92">
        <f>'Financials"A"'!N56</f>
        <v>31200938.980000004</v>
      </c>
      <c r="P78" s="92">
        <f>'Financials"A"'!O56</f>
        <v>31200938.980000004</v>
      </c>
      <c r="Q78" s="92">
        <f>'Financials"A"'!P56</f>
        <v>31200938.980000004</v>
      </c>
      <c r="R78" s="92">
        <f>'Financials"A"'!Q56</f>
        <v>31200938.980000004</v>
      </c>
      <c r="S78" s="92">
        <f>'Financials"A"'!R56</f>
        <v>31200938.980000004</v>
      </c>
      <c r="T78" s="92">
        <f>'Financials"A"'!S56</f>
        <v>31200938.980000004</v>
      </c>
      <c r="U78" s="92">
        <f>'Financials"A"'!T56</f>
        <v>31200938.980000004</v>
      </c>
      <c r="V78" s="92">
        <f>'Financials"A"'!U56</f>
        <v>31200938.980000004</v>
      </c>
      <c r="W78" s="92">
        <f>'Financials"A"'!V56</f>
        <v>31200938.980000004</v>
      </c>
      <c r="X78" s="92">
        <f>'Financials"A"'!W56</f>
        <v>31200938.980000004</v>
      </c>
      <c r="Y78" s="92">
        <f>'Financials"A"'!X56</f>
        <v>31200938.980000004</v>
      </c>
      <c r="Z78" s="92">
        <f>'Financials"A"'!Y56</f>
        <v>31200938.980000004</v>
      </c>
      <c r="AA78" s="92">
        <f>'Financials"A"'!Z56</f>
        <v>31200938.980000004</v>
      </c>
      <c r="AB78" s="92">
        <f>'Financials"A"'!AA56</f>
        <v>31200938.980000004</v>
      </c>
      <c r="AC78" s="92">
        <f>'Financials"A"'!AB56</f>
        <v>31200938.980000004</v>
      </c>
      <c r="AD78" s="7">
        <v>-1</v>
      </c>
    </row>
    <row r="79" spans="1:269" ht="13.5" customHeight="1">
      <c r="A79" s="5">
        <v>1</v>
      </c>
      <c r="B79" s="93" t="s">
        <v>58</v>
      </c>
      <c r="C79" s="188">
        <f t="shared" ref="C79:V79" si="130">SUM(C80:C82)</f>
        <v>608873.73</v>
      </c>
      <c r="D79" s="188">
        <f t="shared" si="130"/>
        <v>608873.73</v>
      </c>
      <c r="E79" s="188">
        <f t="shared" si="130"/>
        <v>608873.73</v>
      </c>
      <c r="F79" s="188">
        <f t="shared" si="130"/>
        <v>608873.73</v>
      </c>
      <c r="G79" s="188">
        <f t="shared" si="130"/>
        <v>608873.73</v>
      </c>
      <c r="H79" s="188">
        <f t="shared" si="130"/>
        <v>608873.73</v>
      </c>
      <c r="I79" s="95">
        <f t="shared" si="130"/>
        <v>608873.73</v>
      </c>
      <c r="J79" s="95">
        <f t="shared" si="130"/>
        <v>608873.73</v>
      </c>
      <c r="K79" s="95">
        <f t="shared" si="130"/>
        <v>608873.73</v>
      </c>
      <c r="L79" s="95">
        <f t="shared" si="130"/>
        <v>608873.73</v>
      </c>
      <c r="M79" s="95">
        <f t="shared" si="130"/>
        <v>608873.73</v>
      </c>
      <c r="N79" s="95">
        <f t="shared" si="130"/>
        <v>608873.73</v>
      </c>
      <c r="O79" s="95">
        <f t="shared" si="130"/>
        <v>608873.73</v>
      </c>
      <c r="P79" s="95">
        <f t="shared" si="130"/>
        <v>608873.73</v>
      </c>
      <c r="Q79" s="95">
        <f t="shared" si="130"/>
        <v>608873.73</v>
      </c>
      <c r="R79" s="95">
        <f t="shared" si="130"/>
        <v>608873.73</v>
      </c>
      <c r="S79" s="95">
        <f t="shared" si="130"/>
        <v>608873.73</v>
      </c>
      <c r="T79" s="95">
        <f t="shared" si="130"/>
        <v>608873.73</v>
      </c>
      <c r="U79" s="95">
        <f t="shared" si="130"/>
        <v>608873.73</v>
      </c>
      <c r="V79" s="95">
        <f t="shared" si="130"/>
        <v>608873.73</v>
      </c>
      <c r="W79" s="95">
        <f t="shared" ref="W79:AC79" si="131">SUM(W80:W82)</f>
        <v>608873.73</v>
      </c>
      <c r="X79" s="95">
        <f t="shared" si="131"/>
        <v>608873.73</v>
      </c>
      <c r="Y79" s="95">
        <f t="shared" si="131"/>
        <v>608873.73</v>
      </c>
      <c r="Z79" s="95">
        <f t="shared" si="131"/>
        <v>608873.73</v>
      </c>
      <c r="AA79" s="95">
        <f t="shared" si="131"/>
        <v>608873.73</v>
      </c>
      <c r="AB79" s="95">
        <f t="shared" si="131"/>
        <v>608873.73</v>
      </c>
      <c r="AC79" s="95">
        <f t="shared" si="131"/>
        <v>608873.73</v>
      </c>
    </row>
    <row r="80" spans="1:269" ht="13.5" customHeight="1">
      <c r="A80" s="5">
        <v>2</v>
      </c>
      <c r="B80" s="97" t="s">
        <v>1035</v>
      </c>
      <c r="C80" s="187"/>
      <c r="D80" s="187"/>
      <c r="E80" s="187"/>
      <c r="F80" s="187"/>
      <c r="G80" s="187"/>
      <c r="H80" s="187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7">
        <v>-1</v>
      </c>
    </row>
    <row r="81" spans="1:269" ht="13.5" customHeight="1">
      <c r="B81" s="97" t="s">
        <v>1036</v>
      </c>
      <c r="C81" s="187">
        <f>BS_Data!E66</f>
        <v>608873.73</v>
      </c>
      <c r="D81" s="187">
        <f>BS_Data!F66</f>
        <v>608873.73</v>
      </c>
      <c r="E81" s="187">
        <f>BS_Data!G66</f>
        <v>608873.73</v>
      </c>
      <c r="F81" s="187">
        <f>BS_Data!H66</f>
        <v>608873.73</v>
      </c>
      <c r="G81" s="187">
        <f>BS_Data!I66</f>
        <v>608873.73</v>
      </c>
      <c r="H81" s="187">
        <f>BS_Data!J66</f>
        <v>608873.73</v>
      </c>
      <c r="I81" s="92">
        <f>'Financials"A"'!H55</f>
        <v>608873.73</v>
      </c>
      <c r="J81" s="92">
        <f>'Financials"A"'!I55</f>
        <v>608873.73</v>
      </c>
      <c r="K81" s="92">
        <f>'Financials"A"'!J55</f>
        <v>608873.73</v>
      </c>
      <c r="L81" s="92">
        <f>'Financials"A"'!K55</f>
        <v>608873.73</v>
      </c>
      <c r="M81" s="92">
        <f>'Financials"A"'!L55</f>
        <v>608873.73</v>
      </c>
      <c r="N81" s="92">
        <f>'Financials"A"'!M55</f>
        <v>608873.73</v>
      </c>
      <c r="O81" s="92">
        <f>'Financials"A"'!N55</f>
        <v>608873.73</v>
      </c>
      <c r="P81" s="92">
        <f>'Financials"A"'!O55</f>
        <v>608873.73</v>
      </c>
      <c r="Q81" s="92">
        <f>'Financials"A"'!P55</f>
        <v>608873.73</v>
      </c>
      <c r="R81" s="92">
        <f>'Financials"A"'!Q55</f>
        <v>608873.73</v>
      </c>
      <c r="S81" s="92">
        <f>'Financials"A"'!R55</f>
        <v>608873.73</v>
      </c>
      <c r="T81" s="92">
        <f>'Financials"A"'!S55</f>
        <v>608873.73</v>
      </c>
      <c r="U81" s="92">
        <f>'Financials"A"'!T55</f>
        <v>608873.73</v>
      </c>
      <c r="V81" s="92">
        <f>'Financials"A"'!U55</f>
        <v>608873.73</v>
      </c>
      <c r="W81" s="92">
        <f>'Financials"A"'!V55</f>
        <v>608873.73</v>
      </c>
      <c r="X81" s="92">
        <f>'Financials"A"'!W55</f>
        <v>608873.73</v>
      </c>
      <c r="Y81" s="92">
        <f>'Financials"A"'!X55</f>
        <v>608873.73</v>
      </c>
      <c r="Z81" s="92">
        <f>'Financials"A"'!Y55</f>
        <v>608873.73</v>
      </c>
      <c r="AA81" s="92">
        <f>'Financials"A"'!Z55</f>
        <v>608873.73</v>
      </c>
      <c r="AB81" s="92">
        <f>'Financials"A"'!AA55</f>
        <v>608873.73</v>
      </c>
      <c r="AC81" s="92">
        <f>'Financials"A"'!AB55</f>
        <v>608873.73</v>
      </c>
      <c r="AD81" s="7">
        <v>-1</v>
      </c>
    </row>
    <row r="82" spans="1:269" ht="13.5" customHeight="1">
      <c r="A82" s="5">
        <v>2</v>
      </c>
      <c r="B82" s="97" t="s">
        <v>1037</v>
      </c>
      <c r="C82" s="187">
        <f>BS_Data!E61-SUM(C80,C81)</f>
        <v>0</v>
      </c>
      <c r="D82" s="187">
        <f>BS_Data!F61-SUM(D80,D81)</f>
        <v>0</v>
      </c>
      <c r="E82" s="187">
        <f>BS_Data!G61-SUM(E80,E81)</f>
        <v>0</v>
      </c>
      <c r="F82" s="187">
        <f>BS_Data!H61-SUM(F80,F81)</f>
        <v>0</v>
      </c>
      <c r="G82" s="187">
        <f>BS_Data!I61-SUM(G80,G81)</f>
        <v>0</v>
      </c>
      <c r="H82" s="187">
        <f>BS_Data!J61-SUM(H80,H81)</f>
        <v>0</v>
      </c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7">
        <v>-1</v>
      </c>
    </row>
    <row r="83" spans="1:269" ht="13.5" customHeight="1">
      <c r="A83" s="5">
        <v>1</v>
      </c>
      <c r="B83" s="100" t="s">
        <v>129</v>
      </c>
      <c r="C83" s="185">
        <f t="shared" ref="C83:V83" si="132">+C84+C85</f>
        <v>223105.73</v>
      </c>
      <c r="D83" s="185">
        <f t="shared" si="132"/>
        <v>210485.51</v>
      </c>
      <c r="E83" s="185">
        <f t="shared" si="132"/>
        <v>223255.77000000002</v>
      </c>
      <c r="F83" s="185">
        <f t="shared" si="132"/>
        <v>224420</v>
      </c>
      <c r="G83" s="185">
        <f t="shared" si="132"/>
        <v>390401.42</v>
      </c>
      <c r="H83" s="185">
        <f t="shared" si="132"/>
        <v>1488881.5</v>
      </c>
      <c r="I83" s="102">
        <f t="shared" si="132"/>
        <v>1488881.5</v>
      </c>
      <c r="J83" s="102">
        <f t="shared" si="132"/>
        <v>1488881.5</v>
      </c>
      <c r="K83" s="102">
        <f t="shared" si="132"/>
        <v>1488881.5</v>
      </c>
      <c r="L83" s="102">
        <f t="shared" si="132"/>
        <v>1488881.5</v>
      </c>
      <c r="M83" s="102">
        <f t="shared" si="132"/>
        <v>1488881.5</v>
      </c>
      <c r="N83" s="102">
        <f t="shared" si="132"/>
        <v>1488881.5</v>
      </c>
      <c r="O83" s="102">
        <f t="shared" si="132"/>
        <v>1488881.5</v>
      </c>
      <c r="P83" s="102">
        <f t="shared" si="132"/>
        <v>1488881.5</v>
      </c>
      <c r="Q83" s="102">
        <f t="shared" si="132"/>
        <v>1488881.5</v>
      </c>
      <c r="R83" s="102">
        <f t="shared" si="132"/>
        <v>1488881.5</v>
      </c>
      <c r="S83" s="102">
        <f t="shared" si="132"/>
        <v>1488881.5</v>
      </c>
      <c r="T83" s="102">
        <f t="shared" si="132"/>
        <v>1488881.5</v>
      </c>
      <c r="U83" s="102">
        <f t="shared" si="132"/>
        <v>1488881.5</v>
      </c>
      <c r="V83" s="102">
        <f t="shared" si="132"/>
        <v>1488881.5</v>
      </c>
      <c r="W83" s="102">
        <f t="shared" ref="W83:AC83" si="133">+W84+W85</f>
        <v>1488881.5</v>
      </c>
      <c r="X83" s="102">
        <f t="shared" si="133"/>
        <v>1488881.5</v>
      </c>
      <c r="Y83" s="102">
        <f t="shared" si="133"/>
        <v>1488881.5</v>
      </c>
      <c r="Z83" s="102">
        <f t="shared" si="133"/>
        <v>1488881.5</v>
      </c>
      <c r="AA83" s="102">
        <f t="shared" si="133"/>
        <v>1488881.5</v>
      </c>
      <c r="AB83" s="102">
        <f t="shared" si="133"/>
        <v>1488881.5</v>
      </c>
      <c r="AC83" s="102">
        <f t="shared" si="133"/>
        <v>1488881.5</v>
      </c>
    </row>
    <row r="84" spans="1:269" ht="13.5" customHeight="1">
      <c r="A84" s="5">
        <v>2</v>
      </c>
      <c r="B84" s="97" t="s">
        <v>101</v>
      </c>
      <c r="C84" s="187">
        <f>BS_Data!E69</f>
        <v>4.5</v>
      </c>
      <c r="D84" s="187">
        <f>BS_Data!F69</f>
        <v>0</v>
      </c>
      <c r="E84" s="187">
        <f>BS_Data!G69</f>
        <v>35.35</v>
      </c>
      <c r="F84" s="187">
        <f>BS_Data!H69</f>
        <v>0</v>
      </c>
      <c r="G84" s="187">
        <f>BS_Data!I69</f>
        <v>0</v>
      </c>
      <c r="H84" s="187">
        <f>BS_Data!J69</f>
        <v>387.29</v>
      </c>
      <c r="I84" s="283">
        <f>H84</f>
        <v>387.29</v>
      </c>
      <c r="J84" s="92">
        <f t="shared" ref="J84:V85" si="134">I84</f>
        <v>387.29</v>
      </c>
      <c r="K84" s="92">
        <f t="shared" si="134"/>
        <v>387.29</v>
      </c>
      <c r="L84" s="92">
        <f t="shared" si="134"/>
        <v>387.29</v>
      </c>
      <c r="M84" s="92">
        <f t="shared" si="134"/>
        <v>387.29</v>
      </c>
      <c r="N84" s="92">
        <f t="shared" si="134"/>
        <v>387.29</v>
      </c>
      <c r="O84" s="92">
        <f t="shared" si="134"/>
        <v>387.29</v>
      </c>
      <c r="P84" s="92">
        <f t="shared" si="134"/>
        <v>387.29</v>
      </c>
      <c r="Q84" s="92">
        <f t="shared" si="134"/>
        <v>387.29</v>
      </c>
      <c r="R84" s="92">
        <f t="shared" si="134"/>
        <v>387.29</v>
      </c>
      <c r="S84" s="92">
        <f t="shared" si="134"/>
        <v>387.29</v>
      </c>
      <c r="T84" s="92">
        <f t="shared" si="134"/>
        <v>387.29</v>
      </c>
      <c r="U84" s="92">
        <f t="shared" si="134"/>
        <v>387.29</v>
      </c>
      <c r="V84" s="92">
        <f t="shared" si="134"/>
        <v>387.29</v>
      </c>
      <c r="W84" s="92">
        <f t="shared" ref="W84:W85" si="135">V84</f>
        <v>387.29</v>
      </c>
      <c r="X84" s="92">
        <f t="shared" ref="X84:X85" si="136">W84</f>
        <v>387.29</v>
      </c>
      <c r="Y84" s="92">
        <f t="shared" ref="Y84:Y85" si="137">X84</f>
        <v>387.29</v>
      </c>
      <c r="Z84" s="92">
        <f t="shared" ref="Z84:Z85" si="138">Y84</f>
        <v>387.29</v>
      </c>
      <c r="AA84" s="92">
        <f t="shared" ref="AA84:AA85" si="139">Z84</f>
        <v>387.29</v>
      </c>
      <c r="AB84" s="92">
        <f t="shared" ref="AB84:AB85" si="140">AA84</f>
        <v>387.29</v>
      </c>
      <c r="AC84" s="92">
        <f t="shared" ref="AC84:AC85" si="141">AB84</f>
        <v>387.29</v>
      </c>
      <c r="AD84" s="7">
        <v>-1</v>
      </c>
    </row>
    <row r="85" spans="1:269" ht="13.5" customHeight="1">
      <c r="A85" s="5">
        <v>2</v>
      </c>
      <c r="B85" s="97" t="s">
        <v>130</v>
      </c>
      <c r="C85" s="187">
        <f>BS_Data!E70</f>
        <v>223101.23</v>
      </c>
      <c r="D85" s="187">
        <f>BS_Data!F70</f>
        <v>210485.51</v>
      </c>
      <c r="E85" s="187">
        <f>BS_Data!G70</f>
        <v>223220.42</v>
      </c>
      <c r="F85" s="187">
        <f>BS_Data!H70</f>
        <v>224420</v>
      </c>
      <c r="G85" s="187">
        <f>BS_Data!I70</f>
        <v>390401.42</v>
      </c>
      <c r="H85" s="187">
        <f>BS_Data!J70</f>
        <v>1488494.21</v>
      </c>
      <c r="I85" s="283">
        <f>H85</f>
        <v>1488494.21</v>
      </c>
      <c r="J85" s="92">
        <f t="shared" si="134"/>
        <v>1488494.21</v>
      </c>
      <c r="K85" s="92">
        <f t="shared" si="134"/>
        <v>1488494.21</v>
      </c>
      <c r="L85" s="92">
        <f t="shared" si="134"/>
        <v>1488494.21</v>
      </c>
      <c r="M85" s="92">
        <f t="shared" si="134"/>
        <v>1488494.21</v>
      </c>
      <c r="N85" s="92">
        <f t="shared" si="134"/>
        <v>1488494.21</v>
      </c>
      <c r="O85" s="92">
        <f t="shared" si="134"/>
        <v>1488494.21</v>
      </c>
      <c r="P85" s="92">
        <f t="shared" si="134"/>
        <v>1488494.21</v>
      </c>
      <c r="Q85" s="92">
        <f t="shared" si="134"/>
        <v>1488494.21</v>
      </c>
      <c r="R85" s="92">
        <f t="shared" si="134"/>
        <v>1488494.21</v>
      </c>
      <c r="S85" s="92">
        <f t="shared" si="134"/>
        <v>1488494.21</v>
      </c>
      <c r="T85" s="92">
        <f t="shared" si="134"/>
        <v>1488494.21</v>
      </c>
      <c r="U85" s="92">
        <f t="shared" si="134"/>
        <v>1488494.21</v>
      </c>
      <c r="V85" s="92">
        <f t="shared" si="134"/>
        <v>1488494.21</v>
      </c>
      <c r="W85" s="92">
        <f t="shared" si="135"/>
        <v>1488494.21</v>
      </c>
      <c r="X85" s="92">
        <f t="shared" si="136"/>
        <v>1488494.21</v>
      </c>
      <c r="Y85" s="92">
        <f t="shared" si="137"/>
        <v>1488494.21</v>
      </c>
      <c r="Z85" s="92">
        <f t="shared" si="138"/>
        <v>1488494.21</v>
      </c>
      <c r="AA85" s="92">
        <f t="shared" si="139"/>
        <v>1488494.21</v>
      </c>
      <c r="AB85" s="92">
        <f t="shared" si="140"/>
        <v>1488494.21</v>
      </c>
      <c r="AC85" s="92">
        <f t="shared" si="141"/>
        <v>1488494.21</v>
      </c>
      <c r="AD85" s="7">
        <v>-1</v>
      </c>
    </row>
    <row r="86" spans="1:269" ht="13.5" customHeight="1">
      <c r="B86" s="196"/>
      <c r="C86" s="197"/>
      <c r="D86" s="197"/>
      <c r="E86" s="197"/>
      <c r="F86" s="197"/>
      <c r="G86" s="197"/>
      <c r="H86" s="197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4"/>
    </row>
    <row r="87" spans="1:269" s="6" customFormat="1" ht="13">
      <c r="A87" s="198">
        <v>1</v>
      </c>
      <c r="B87" s="199" t="s">
        <v>131</v>
      </c>
      <c r="C87" s="200">
        <f t="shared" ref="C87:V87" si="142">C6-C47</f>
        <v>0</v>
      </c>
      <c r="D87" s="200">
        <f t="shared" si="142"/>
        <v>0</v>
      </c>
      <c r="E87" s="200">
        <f t="shared" si="142"/>
        <v>0</v>
      </c>
      <c r="F87" s="200">
        <f t="shared" si="142"/>
        <v>0</v>
      </c>
      <c r="G87" s="200">
        <f t="shared" si="142"/>
        <v>0</v>
      </c>
      <c r="H87" s="200">
        <f t="shared" si="142"/>
        <v>131807.43999998271</v>
      </c>
      <c r="I87" s="201">
        <f t="shared" si="142"/>
        <v>131807.43999993801</v>
      </c>
      <c r="J87" s="201">
        <f t="shared" si="142"/>
        <v>131807.43999999762</v>
      </c>
      <c r="K87" s="201">
        <f t="shared" si="142"/>
        <v>131807.43999993801</v>
      </c>
      <c r="L87" s="201">
        <f t="shared" si="142"/>
        <v>131807.43999993801</v>
      </c>
      <c r="M87" s="201">
        <f t="shared" si="142"/>
        <v>131807.43999993801</v>
      </c>
      <c r="N87" s="201">
        <f t="shared" si="142"/>
        <v>131807.43999993801</v>
      </c>
      <c r="O87" s="201">
        <f t="shared" si="142"/>
        <v>131807.43999993801</v>
      </c>
      <c r="P87" s="201">
        <f t="shared" si="142"/>
        <v>131807.43999993801</v>
      </c>
      <c r="Q87" s="201">
        <f t="shared" si="142"/>
        <v>131807.4399998188</v>
      </c>
      <c r="R87" s="201">
        <f t="shared" si="142"/>
        <v>131807.43999993801</v>
      </c>
      <c r="S87" s="201">
        <f t="shared" si="142"/>
        <v>131807.43999993801</v>
      </c>
      <c r="T87" s="201">
        <f t="shared" si="142"/>
        <v>131807.43999993801</v>
      </c>
      <c r="U87" s="201">
        <f t="shared" si="142"/>
        <v>131807.44000005722</v>
      </c>
      <c r="V87" s="201">
        <f t="shared" si="142"/>
        <v>131807.43999993801</v>
      </c>
      <c r="W87" s="201">
        <f t="shared" ref="W87:AC87" si="143">W6-W47</f>
        <v>131807.43999993801</v>
      </c>
      <c r="X87" s="201">
        <f t="shared" si="143"/>
        <v>131807.44000005722</v>
      </c>
      <c r="Y87" s="201">
        <f t="shared" si="143"/>
        <v>131807.43999993801</v>
      </c>
      <c r="Z87" s="201">
        <f t="shared" si="143"/>
        <v>131807.44000005722</v>
      </c>
      <c r="AA87" s="201">
        <f t="shared" si="143"/>
        <v>131807.43999999762</v>
      </c>
      <c r="AB87" s="201">
        <f t="shared" si="143"/>
        <v>131807.43999999762</v>
      </c>
      <c r="AC87" s="201">
        <f t="shared" si="143"/>
        <v>131807.43999993801</v>
      </c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</row>
    <row r="88" spans="1:269">
      <c r="AD88" s="4"/>
    </row>
    <row r="89" spans="1:269">
      <c r="C89" s="202"/>
      <c r="D89" s="202"/>
      <c r="E89" s="202"/>
      <c r="F89" s="202"/>
      <c r="G89" s="202"/>
      <c r="H89" s="202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4"/>
    </row>
    <row r="90" spans="1:269" ht="13.5" customHeight="1">
      <c r="A90" s="5">
        <v>1</v>
      </c>
      <c r="B90" s="100" t="s">
        <v>132</v>
      </c>
      <c r="C90" s="185">
        <f t="shared" ref="C90:H90" si="144">SUMPRODUCT(C6:C85,$AD$6:$AD$85)</f>
        <v>-35891661.454999991</v>
      </c>
      <c r="D90" s="185">
        <f t="shared" si="144"/>
        <v>-56663977.807999998</v>
      </c>
      <c r="E90" s="185">
        <f t="shared" si="144"/>
        <v>-52894210.219000004</v>
      </c>
      <c r="F90" s="185">
        <f t="shared" si="144"/>
        <v>-43953099.68500001</v>
      </c>
      <c r="G90" s="185">
        <f t="shared" si="144"/>
        <v>-51744455.992000006</v>
      </c>
      <c r="H90" s="185">
        <f t="shared" si="144"/>
        <v>-55651705.038999997</v>
      </c>
      <c r="I90" s="76">
        <f t="shared" ref="I90:R90" si="145">SUMPRODUCT(I6:I85,$AD$6:$AD$85)</f>
        <v>-46284566.925028779</v>
      </c>
      <c r="J90" s="76">
        <f t="shared" si="145"/>
        <v>29575893.816041771</v>
      </c>
      <c r="K90" s="76">
        <f t="shared" si="145"/>
        <v>126982815.25586912</v>
      </c>
      <c r="L90" s="76">
        <f t="shared" si="145"/>
        <v>237088554.33077237</v>
      </c>
      <c r="M90" s="76">
        <f t="shared" si="145"/>
        <v>265834587.31920955</v>
      </c>
      <c r="N90" s="76">
        <f t="shared" si="145"/>
        <v>368759580.77709365</v>
      </c>
      <c r="O90" s="76">
        <f t="shared" si="145"/>
        <v>474730312.27616853</v>
      </c>
      <c r="P90" s="76">
        <f t="shared" si="145"/>
        <v>447414725.59192818</v>
      </c>
      <c r="Q90" s="76">
        <f t="shared" si="145"/>
        <v>426666360.01417285</v>
      </c>
      <c r="R90" s="76">
        <f t="shared" si="145"/>
        <v>405656192.94115412</v>
      </c>
      <c r="S90" s="76">
        <f t="shared" ref="S90:V90" si="146">SUMPRODUCT(S6:S85,$AD$6:$AD$85)</f>
        <v>385185138.63915318</v>
      </c>
      <c r="T90" s="76">
        <f t="shared" si="146"/>
        <v>373426452.31453866</v>
      </c>
      <c r="U90" s="76">
        <f t="shared" si="146"/>
        <v>361687326.62886256</v>
      </c>
      <c r="V90" s="76">
        <f t="shared" si="146"/>
        <v>349951629.28750366</v>
      </c>
      <c r="W90" s="76">
        <f t="shared" ref="W90:AC90" si="147">SUMPRODUCT(W6:W85,$AD$6:$AD$85)</f>
        <v>318107744.28102094</v>
      </c>
      <c r="X90" s="76">
        <f t="shared" si="147"/>
        <v>286133094.04666543</v>
      </c>
      <c r="Y90" s="76">
        <f t="shared" si="147"/>
        <v>254502740.10976186</v>
      </c>
      <c r="Z90" s="76">
        <f t="shared" si="147"/>
        <v>223399286.97494325</v>
      </c>
      <c r="AA90" s="76">
        <f t="shared" si="147"/>
        <v>192264643.59357497</v>
      </c>
      <c r="AB90" s="76">
        <f t="shared" si="147"/>
        <v>161098245.37869057</v>
      </c>
      <c r="AC90" s="76">
        <f t="shared" si="147"/>
        <v>129899516.4515833</v>
      </c>
      <c r="AD90" s="4"/>
    </row>
    <row r="91" spans="1:269">
      <c r="F91" s="202"/>
      <c r="G91" s="202"/>
      <c r="H91" s="202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4"/>
    </row>
    <row r="92" spans="1:269">
      <c r="C92" s="202"/>
      <c r="D92" s="202"/>
      <c r="E92" s="202"/>
      <c r="F92" s="202"/>
      <c r="G92" s="202"/>
      <c r="H92" s="202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4"/>
    </row>
    <row r="93" spans="1:269">
      <c r="AD93" s="4"/>
    </row>
    <row r="94" spans="1:269">
      <c r="AD94" s="4"/>
    </row>
    <row r="95" spans="1:269">
      <c r="AD95" s="4"/>
    </row>
    <row r="96" spans="1:269">
      <c r="AD96" s="4"/>
    </row>
    <row r="97" spans="30:30">
      <c r="AD97" s="4"/>
    </row>
    <row r="98" spans="30:30">
      <c r="AD98" s="4"/>
    </row>
    <row r="99" spans="30:30">
      <c r="AD99" s="4"/>
    </row>
    <row r="100" spans="30:30">
      <c r="AD100" s="4"/>
    </row>
    <row r="101" spans="30:30">
      <c r="AD101" s="4"/>
    </row>
    <row r="102" spans="30:30">
      <c r="AD102" s="4"/>
    </row>
    <row r="103" spans="30:30">
      <c r="AD103" s="4"/>
    </row>
    <row r="104" spans="30:30">
      <c r="AD104" s="4"/>
    </row>
    <row r="105" spans="30:30">
      <c r="AD105" s="4"/>
    </row>
    <row r="106" spans="30:30">
      <c r="AD106" s="4"/>
    </row>
    <row r="107" spans="30:30">
      <c r="AD107" s="4"/>
    </row>
    <row r="108" spans="30:30">
      <c r="AD108" s="4"/>
    </row>
    <row r="109" spans="30:30">
      <c r="AD109" s="4"/>
    </row>
    <row r="110" spans="30:30">
      <c r="AD110" s="4"/>
    </row>
    <row r="111" spans="30:30">
      <c r="AD111" s="4"/>
    </row>
    <row r="112" spans="30:30">
      <c r="AD112" s="4"/>
    </row>
    <row r="113" spans="30:30">
      <c r="AD113" s="4"/>
    </row>
    <row r="114" spans="30:30">
      <c r="AD114" s="4"/>
    </row>
    <row r="115" spans="30:30">
      <c r="AD115" s="4"/>
    </row>
    <row r="116" spans="30:30">
      <c r="AD116" s="4"/>
    </row>
    <row r="117" spans="30:30">
      <c r="AD117" s="4"/>
    </row>
    <row r="118" spans="30:30">
      <c r="AD118" s="4"/>
    </row>
    <row r="119" spans="30:30">
      <c r="AD119" s="4"/>
    </row>
    <row r="120" spans="30:30">
      <c r="AD120" s="4"/>
    </row>
    <row r="121" spans="30:30">
      <c r="AD121" s="4"/>
    </row>
    <row r="122" spans="30:30">
      <c r="AD122" s="4"/>
    </row>
    <row r="123" spans="30:30">
      <c r="AD123" s="4"/>
    </row>
    <row r="124" spans="30:30">
      <c r="AD124" s="4"/>
    </row>
    <row r="125" spans="30:30">
      <c r="AD125" s="4"/>
    </row>
    <row r="126" spans="30:30">
      <c r="AD126" s="4"/>
    </row>
    <row r="127" spans="30:30">
      <c r="AD127" s="4"/>
    </row>
    <row r="128" spans="30:30">
      <c r="AD128" s="4"/>
    </row>
    <row r="129" spans="30:30">
      <c r="AD129" s="4"/>
    </row>
    <row r="130" spans="30:30">
      <c r="AD130" s="4"/>
    </row>
    <row r="131" spans="30:30">
      <c r="AD131" s="4"/>
    </row>
    <row r="132" spans="30:30">
      <c r="AD132" s="4"/>
    </row>
    <row r="133" spans="30:30">
      <c r="AD133" s="4"/>
    </row>
    <row r="134" spans="30:30">
      <c r="AD134" s="4"/>
    </row>
    <row r="135" spans="30:30">
      <c r="AD135" s="4"/>
    </row>
    <row r="136" spans="30:30">
      <c r="AD136" s="4"/>
    </row>
    <row r="137" spans="30:30">
      <c r="AD137" s="4"/>
    </row>
    <row r="138" spans="30:30">
      <c r="AD138" s="4"/>
    </row>
    <row r="139" spans="30:30">
      <c r="AD139" s="4"/>
    </row>
    <row r="140" spans="30:30">
      <c r="AD140" s="4"/>
    </row>
    <row r="141" spans="30:30">
      <c r="AD141" s="4"/>
    </row>
    <row r="142" spans="30:30">
      <c r="AD142" s="4"/>
    </row>
    <row r="143" spans="30:30">
      <c r="AD143" s="4"/>
    </row>
    <row r="144" spans="30:30">
      <c r="AD144" s="4"/>
    </row>
    <row r="145" spans="30:30">
      <c r="AD145" s="4"/>
    </row>
    <row r="146" spans="30:30">
      <c r="AD146" s="4"/>
    </row>
    <row r="147" spans="30:30">
      <c r="AD147" s="4"/>
    </row>
    <row r="148" spans="30:30">
      <c r="AD148" s="4"/>
    </row>
    <row r="149" spans="30:30">
      <c r="AD149" s="4"/>
    </row>
    <row r="150" spans="30:30">
      <c r="AD150" s="4"/>
    </row>
    <row r="151" spans="30:30">
      <c r="AD151" s="4"/>
    </row>
    <row r="152" spans="30:30">
      <c r="AD152" s="4"/>
    </row>
    <row r="153" spans="30:30">
      <c r="AD153" s="4"/>
    </row>
    <row r="154" spans="30:30">
      <c r="AD154" s="4"/>
    </row>
    <row r="155" spans="30:30">
      <c r="AD155" s="4"/>
    </row>
    <row r="156" spans="30:30">
      <c r="AD156" s="4"/>
    </row>
    <row r="157" spans="30:30">
      <c r="AD157" s="4"/>
    </row>
    <row r="158" spans="30:30">
      <c r="AD158" s="4"/>
    </row>
    <row r="159" spans="30:30">
      <c r="AD159" s="4"/>
    </row>
    <row r="160" spans="30:30">
      <c r="AD160" s="4"/>
    </row>
    <row r="161" spans="30:30">
      <c r="AD161" s="4"/>
    </row>
    <row r="162" spans="30:30">
      <c r="AD162" s="4"/>
    </row>
    <row r="163" spans="30:30">
      <c r="AD163" s="4"/>
    </row>
    <row r="164" spans="30:30">
      <c r="AD164" s="4"/>
    </row>
    <row r="165" spans="30:30">
      <c r="AD165" s="4"/>
    </row>
    <row r="166" spans="30:30">
      <c r="AD166" s="4"/>
    </row>
    <row r="167" spans="30:30">
      <c r="AD167" s="4"/>
    </row>
    <row r="168" spans="30:30">
      <c r="AD168" s="4"/>
    </row>
    <row r="169" spans="30:30">
      <c r="AD169" s="4"/>
    </row>
    <row r="170" spans="30:30">
      <c r="AD170" s="4"/>
    </row>
    <row r="171" spans="30:30">
      <c r="AD171" s="4"/>
    </row>
    <row r="172" spans="30:30">
      <c r="AD172" s="4"/>
    </row>
    <row r="173" spans="30:30">
      <c r="AD173" s="4"/>
    </row>
    <row r="174" spans="30:30">
      <c r="AD174" s="4"/>
    </row>
    <row r="175" spans="30:30">
      <c r="AD175" s="4"/>
    </row>
    <row r="176" spans="30:30">
      <c r="AD176" s="4"/>
    </row>
    <row r="177" spans="30:30">
      <c r="AD177" s="4"/>
    </row>
    <row r="178" spans="30:30">
      <c r="AD178" s="4"/>
    </row>
    <row r="179" spans="30:30">
      <c r="AD179" s="4"/>
    </row>
    <row r="180" spans="30:30">
      <c r="AD180" s="4"/>
    </row>
    <row r="181" spans="30:30">
      <c r="AD181" s="4"/>
    </row>
    <row r="182" spans="30:30">
      <c r="AD182" s="4"/>
    </row>
    <row r="183" spans="30:30">
      <c r="AD183" s="4"/>
    </row>
    <row r="184" spans="30:30">
      <c r="AD184" s="4"/>
    </row>
    <row r="185" spans="30:30">
      <c r="AD185" s="4"/>
    </row>
    <row r="186" spans="30:30">
      <c r="AD186" s="4"/>
    </row>
    <row r="187" spans="30:30">
      <c r="AD187" s="4"/>
    </row>
    <row r="188" spans="30:30">
      <c r="AD188" s="4"/>
    </row>
    <row r="189" spans="30:30">
      <c r="AD189" s="4"/>
    </row>
    <row r="190" spans="30:30">
      <c r="AD190" s="4"/>
    </row>
    <row r="191" spans="30:30">
      <c r="AD191" s="4"/>
    </row>
    <row r="192" spans="30:30">
      <c r="AD192" s="4"/>
    </row>
    <row r="193" spans="30:30">
      <c r="AD193" s="4"/>
    </row>
    <row r="194" spans="30:30">
      <c r="AD194" s="4"/>
    </row>
    <row r="195" spans="30:30">
      <c r="AD195" s="4"/>
    </row>
    <row r="196" spans="30:30">
      <c r="AD196" s="4"/>
    </row>
    <row r="197" spans="30:30">
      <c r="AD197" s="4"/>
    </row>
    <row r="198" spans="30:30">
      <c r="AD198" s="4"/>
    </row>
    <row r="199" spans="30:30">
      <c r="AD199" s="4"/>
    </row>
    <row r="200" spans="30:30">
      <c r="AD200" s="4"/>
    </row>
    <row r="201" spans="30:30">
      <c r="AD201" s="4"/>
    </row>
    <row r="202" spans="30:30">
      <c r="AD202" s="4"/>
    </row>
    <row r="203" spans="30:30">
      <c r="AD203" s="4"/>
    </row>
    <row r="204" spans="30:30">
      <c r="AD204" s="4"/>
    </row>
    <row r="205" spans="30:30">
      <c r="AD205" s="4"/>
    </row>
    <row r="206" spans="30:30">
      <c r="AD206" s="4"/>
    </row>
    <row r="207" spans="30:30">
      <c r="AD207" s="4"/>
    </row>
    <row r="208" spans="30:30">
      <c r="AD208" s="4"/>
    </row>
    <row r="209" spans="30:30">
      <c r="AD209" s="4"/>
    </row>
    <row r="210" spans="30:30">
      <c r="AD210" s="4"/>
    </row>
    <row r="211" spans="30:30">
      <c r="AD211" s="4"/>
    </row>
    <row r="212" spans="30:30">
      <c r="AD212" s="4"/>
    </row>
    <row r="213" spans="30:30">
      <c r="AD213" s="4"/>
    </row>
    <row r="214" spans="30:30">
      <c r="AD214" s="4"/>
    </row>
    <row r="215" spans="30:30">
      <c r="AD215" s="4"/>
    </row>
    <row r="216" spans="30:30">
      <c r="AD216" s="4"/>
    </row>
    <row r="217" spans="30:30">
      <c r="AD217" s="4"/>
    </row>
    <row r="218" spans="30:30">
      <c r="AD218" s="4"/>
    </row>
    <row r="219" spans="30:30">
      <c r="AD219" s="4"/>
    </row>
    <row r="220" spans="30:30">
      <c r="AD220" s="4"/>
    </row>
    <row r="221" spans="30:30">
      <c r="AD221" s="4"/>
    </row>
    <row r="222" spans="30:30">
      <c r="AD222" s="4"/>
    </row>
    <row r="223" spans="30:30">
      <c r="AD223" s="4"/>
    </row>
    <row r="224" spans="30:30">
      <c r="AD224" s="4"/>
    </row>
    <row r="225" spans="30:30">
      <c r="AD225" s="4"/>
    </row>
    <row r="226" spans="30:30">
      <c r="AD226" s="4"/>
    </row>
    <row r="227" spans="30:30">
      <c r="AD227" s="4"/>
    </row>
    <row r="228" spans="30:30">
      <c r="AD228" s="4"/>
    </row>
    <row r="229" spans="30:30">
      <c r="AD229" s="4"/>
    </row>
    <row r="230" spans="30:30">
      <c r="AD230" s="4"/>
    </row>
    <row r="231" spans="30:30">
      <c r="AD231" s="4"/>
    </row>
    <row r="232" spans="30:30">
      <c r="AD232" s="4"/>
    </row>
    <row r="233" spans="30:30">
      <c r="AD233" s="4"/>
    </row>
    <row r="234" spans="30:30">
      <c r="AD234" s="4"/>
    </row>
    <row r="235" spans="30:30">
      <c r="AD235" s="4"/>
    </row>
    <row r="236" spans="30:30">
      <c r="AD236" s="4"/>
    </row>
    <row r="237" spans="30:30">
      <c r="AD237" s="4"/>
    </row>
    <row r="238" spans="30:30">
      <c r="AD238" s="4"/>
    </row>
    <row r="239" spans="30:30">
      <c r="AD239" s="4"/>
    </row>
    <row r="240" spans="30:30">
      <c r="AD240" s="4"/>
    </row>
    <row r="241" spans="30:30">
      <c r="AD241" s="4"/>
    </row>
    <row r="242" spans="30:30">
      <c r="AD242" s="4"/>
    </row>
    <row r="243" spans="30:30">
      <c r="AD243" s="4"/>
    </row>
    <row r="244" spans="30:30">
      <c r="AD244" s="4"/>
    </row>
    <row r="245" spans="30:30">
      <c r="AD245" s="4"/>
    </row>
    <row r="246" spans="30:30">
      <c r="AD246" s="4"/>
    </row>
    <row r="247" spans="30:30">
      <c r="AD247" s="4"/>
    </row>
    <row r="248" spans="30:30">
      <c r="AD248" s="4"/>
    </row>
    <row r="249" spans="30:30">
      <c r="AD249" s="4"/>
    </row>
    <row r="250" spans="30:30">
      <c r="AD250" s="4"/>
    </row>
    <row r="251" spans="30:30">
      <c r="AD251" s="4"/>
    </row>
    <row r="252" spans="30:30">
      <c r="AD252" s="4"/>
    </row>
    <row r="253" spans="30:30">
      <c r="AD253" s="4"/>
    </row>
    <row r="254" spans="30:30">
      <c r="AD254" s="4"/>
    </row>
    <row r="255" spans="30:30">
      <c r="AD255" s="4"/>
    </row>
    <row r="256" spans="30:30">
      <c r="AD256" s="4"/>
    </row>
    <row r="257" spans="30:30">
      <c r="AD257" s="4"/>
    </row>
    <row r="258" spans="30:30">
      <c r="AD258" s="4"/>
    </row>
    <row r="259" spans="30:30">
      <c r="AD259" s="4"/>
    </row>
    <row r="260" spans="30:30">
      <c r="AD260" s="4"/>
    </row>
    <row r="261" spans="30:30">
      <c r="AD261" s="4"/>
    </row>
    <row r="262" spans="30:30">
      <c r="AD262" s="4"/>
    </row>
    <row r="263" spans="30:30">
      <c r="AD263" s="4"/>
    </row>
    <row r="264" spans="30:30">
      <c r="AD264" s="4"/>
    </row>
    <row r="265" spans="30:30">
      <c r="AD265" s="4"/>
    </row>
    <row r="266" spans="30:30">
      <c r="AD266" s="4"/>
    </row>
    <row r="267" spans="30:30">
      <c r="AD267" s="4"/>
    </row>
    <row r="268" spans="30:30">
      <c r="AD268" s="4"/>
    </row>
    <row r="269" spans="30:30">
      <c r="AD269" s="4"/>
    </row>
    <row r="270" spans="30:30">
      <c r="AD270" s="4"/>
    </row>
    <row r="271" spans="30:30">
      <c r="AD271" s="4"/>
    </row>
    <row r="272" spans="30:30">
      <c r="AD272" s="4"/>
    </row>
    <row r="273" spans="30:30">
      <c r="AD273" s="4"/>
    </row>
    <row r="274" spans="30:30">
      <c r="AD274" s="4"/>
    </row>
    <row r="275" spans="30:30">
      <c r="AD275" s="4"/>
    </row>
    <row r="276" spans="30:30">
      <c r="AD276" s="4"/>
    </row>
    <row r="277" spans="30:30">
      <c r="AD277" s="4"/>
    </row>
    <row r="278" spans="30:30">
      <c r="AD278" s="4"/>
    </row>
    <row r="279" spans="30:30">
      <c r="AD279" s="4"/>
    </row>
    <row r="280" spans="30:30">
      <c r="AD280" s="4"/>
    </row>
    <row r="281" spans="30:30">
      <c r="AD281" s="4"/>
    </row>
    <row r="282" spans="30:30">
      <c r="AD282" s="4"/>
    </row>
    <row r="283" spans="30:30">
      <c r="AD283" s="4"/>
    </row>
    <row r="284" spans="30:30">
      <c r="AD284" s="4"/>
    </row>
    <row r="285" spans="30:30">
      <c r="AD285" s="4"/>
    </row>
    <row r="286" spans="30:30">
      <c r="AD286" s="4"/>
    </row>
    <row r="287" spans="30:30">
      <c r="AD287" s="4"/>
    </row>
    <row r="288" spans="30:30">
      <c r="AD288" s="4"/>
    </row>
    <row r="289" spans="30:30">
      <c r="AD289" s="4"/>
    </row>
    <row r="290" spans="30:30">
      <c r="AD290" s="4"/>
    </row>
    <row r="291" spans="30:30">
      <c r="AD291" s="4"/>
    </row>
    <row r="292" spans="30:30">
      <c r="AD292" s="4"/>
    </row>
    <row r="293" spans="30:30">
      <c r="AD293" s="4"/>
    </row>
    <row r="294" spans="30:30">
      <c r="AD294" s="4"/>
    </row>
    <row r="295" spans="30:30">
      <c r="AD295" s="4"/>
    </row>
    <row r="296" spans="30:30">
      <c r="AD296" s="4"/>
    </row>
    <row r="297" spans="30:30">
      <c r="AD297" s="4"/>
    </row>
    <row r="298" spans="30:30">
      <c r="AD298" s="4"/>
    </row>
    <row r="299" spans="30:30">
      <c r="AD299" s="4"/>
    </row>
    <row r="300" spans="30:30">
      <c r="AD300" s="4"/>
    </row>
    <row r="301" spans="30:30">
      <c r="AD301" s="4"/>
    </row>
    <row r="302" spans="30:30">
      <c r="AD302" s="4"/>
    </row>
    <row r="303" spans="30:30">
      <c r="AD303" s="4"/>
    </row>
    <row r="304" spans="30:30">
      <c r="AD304" s="4"/>
    </row>
    <row r="305" spans="30:30">
      <c r="AD305" s="4"/>
    </row>
    <row r="306" spans="30:30">
      <c r="AD306" s="4"/>
    </row>
    <row r="307" spans="30:30">
      <c r="AD307" s="4"/>
    </row>
    <row r="308" spans="30:30">
      <c r="AD308" s="4"/>
    </row>
    <row r="309" spans="30:30">
      <c r="AD309" s="4"/>
    </row>
    <row r="310" spans="30:30">
      <c r="AD310" s="4"/>
    </row>
    <row r="311" spans="30:30">
      <c r="AD311" s="4"/>
    </row>
    <row r="312" spans="30:30">
      <c r="AD312" s="4"/>
    </row>
    <row r="313" spans="30:30">
      <c r="AD313" s="4"/>
    </row>
    <row r="314" spans="30:30">
      <c r="AD314" s="4"/>
    </row>
    <row r="315" spans="30:30">
      <c r="AD315" s="4"/>
    </row>
    <row r="316" spans="30:30">
      <c r="AD316" s="4"/>
    </row>
    <row r="317" spans="30:30">
      <c r="AD317" s="4"/>
    </row>
    <row r="318" spans="30:30">
      <c r="AD318" s="4"/>
    </row>
    <row r="319" spans="30:30">
      <c r="AD319" s="4"/>
    </row>
    <row r="320" spans="30:30">
      <c r="AD320" s="4"/>
    </row>
    <row r="321" spans="30:30">
      <c r="AD321" s="4"/>
    </row>
    <row r="322" spans="30:30">
      <c r="AD322" s="4"/>
    </row>
    <row r="323" spans="30:30">
      <c r="AD323" s="4"/>
    </row>
    <row r="324" spans="30:30">
      <c r="AD324" s="4"/>
    </row>
    <row r="325" spans="30:30">
      <c r="AD325" s="4"/>
    </row>
    <row r="326" spans="30:30">
      <c r="AD326" s="4"/>
    </row>
    <row r="327" spans="30:30">
      <c r="AD327" s="4"/>
    </row>
    <row r="328" spans="30:30">
      <c r="AD328" s="4"/>
    </row>
    <row r="329" spans="30:30">
      <c r="AD329" s="4"/>
    </row>
    <row r="330" spans="30:30">
      <c r="AD330" s="4"/>
    </row>
    <row r="331" spans="30:30">
      <c r="AD331" s="4"/>
    </row>
    <row r="332" spans="30:30">
      <c r="AD332" s="4"/>
    </row>
    <row r="333" spans="30:30">
      <c r="AD333" s="4"/>
    </row>
    <row r="334" spans="30:30">
      <c r="AD334" s="4"/>
    </row>
    <row r="335" spans="30:30">
      <c r="AD335" s="4"/>
    </row>
    <row r="336" spans="30:30">
      <c r="AD336" s="4"/>
    </row>
    <row r="337" spans="30:30">
      <c r="AD337" s="4"/>
    </row>
    <row r="338" spans="30:30">
      <c r="AD338" s="4"/>
    </row>
    <row r="339" spans="30:30">
      <c r="AD339" s="4"/>
    </row>
    <row r="340" spans="30:30">
      <c r="AD340" s="4"/>
    </row>
    <row r="341" spans="30:30">
      <c r="AD341" s="4"/>
    </row>
    <row r="342" spans="30:30">
      <c r="AD342" s="4"/>
    </row>
    <row r="343" spans="30:30">
      <c r="AD343" s="4"/>
    </row>
    <row r="344" spans="30:30">
      <c r="AD344" s="4"/>
    </row>
    <row r="345" spans="30:30">
      <c r="AD345" s="4"/>
    </row>
    <row r="346" spans="30:30">
      <c r="AD346" s="4"/>
    </row>
    <row r="347" spans="30:30">
      <c r="AD347" s="4"/>
    </row>
    <row r="348" spans="30:30">
      <c r="AD348" s="4"/>
    </row>
    <row r="349" spans="30:30">
      <c r="AD349" s="4"/>
    </row>
    <row r="350" spans="30:30">
      <c r="AD350" s="4"/>
    </row>
    <row r="351" spans="30:30">
      <c r="AD351" s="4"/>
    </row>
    <row r="352" spans="30:30">
      <c r="AD352" s="4"/>
    </row>
    <row r="353" spans="30:30">
      <c r="AD353" s="4"/>
    </row>
    <row r="354" spans="30:30">
      <c r="AD354" s="4"/>
    </row>
    <row r="355" spans="30:30">
      <c r="AD355" s="4"/>
    </row>
    <row r="356" spans="30:30">
      <c r="AD356" s="4"/>
    </row>
    <row r="357" spans="30:30">
      <c r="AD357" s="4"/>
    </row>
    <row r="358" spans="30:30">
      <c r="AD358" s="4"/>
    </row>
    <row r="359" spans="30:30">
      <c r="AD359" s="4"/>
    </row>
    <row r="360" spans="30:30">
      <c r="AD360" s="4"/>
    </row>
    <row r="361" spans="30:30">
      <c r="AD361" s="4"/>
    </row>
    <row r="362" spans="30:30">
      <c r="AD362" s="4"/>
    </row>
    <row r="363" spans="30:30">
      <c r="AD363" s="4"/>
    </row>
    <row r="364" spans="30:30">
      <c r="AD364" s="4"/>
    </row>
    <row r="365" spans="30:30">
      <c r="AD365" s="4"/>
    </row>
    <row r="366" spans="30:30">
      <c r="AD366" s="4"/>
    </row>
    <row r="367" spans="30:30">
      <c r="AD367" s="4"/>
    </row>
    <row r="368" spans="30:30">
      <c r="AD368" s="4"/>
    </row>
    <row r="369" spans="30:30">
      <c r="AD369" s="4"/>
    </row>
    <row r="370" spans="30:30">
      <c r="AD370" s="4"/>
    </row>
    <row r="371" spans="30:30">
      <c r="AD371" s="4"/>
    </row>
    <row r="372" spans="30:30">
      <c r="AD372" s="4"/>
    </row>
    <row r="373" spans="30:30">
      <c r="AD373" s="4"/>
    </row>
    <row r="374" spans="30:30">
      <c r="AD374" s="4"/>
    </row>
    <row r="375" spans="30:30">
      <c r="AD375" s="4"/>
    </row>
    <row r="376" spans="30:30">
      <c r="AD376" s="4"/>
    </row>
    <row r="377" spans="30:30">
      <c r="AD377" s="4"/>
    </row>
    <row r="378" spans="30:30">
      <c r="AD378" s="4"/>
    </row>
    <row r="379" spans="30:30">
      <c r="AD379" s="4"/>
    </row>
    <row r="380" spans="30:30">
      <c r="AD380" s="4"/>
    </row>
    <row r="381" spans="30:30">
      <c r="AD381" s="4"/>
    </row>
    <row r="382" spans="30:30">
      <c r="AD382" s="4"/>
    </row>
    <row r="383" spans="30:30">
      <c r="AD383" s="4"/>
    </row>
    <row r="384" spans="30:30">
      <c r="AD384" s="4"/>
    </row>
    <row r="385" spans="30:30">
      <c r="AD385" s="4"/>
    </row>
    <row r="386" spans="30:30">
      <c r="AD386" s="4"/>
    </row>
    <row r="387" spans="30:30">
      <c r="AD387" s="4"/>
    </row>
    <row r="388" spans="30:30">
      <c r="AD388" s="4"/>
    </row>
    <row r="389" spans="30:30">
      <c r="AD389" s="4"/>
    </row>
    <row r="390" spans="30:30">
      <c r="AD390" s="4"/>
    </row>
    <row r="391" spans="30:30">
      <c r="AD391" s="4"/>
    </row>
    <row r="392" spans="30:30">
      <c r="AD392" s="4"/>
    </row>
    <row r="393" spans="30:30">
      <c r="AD393" s="4"/>
    </row>
    <row r="394" spans="30:30">
      <c r="AD394" s="4"/>
    </row>
    <row r="395" spans="30:30">
      <c r="AD395" s="4"/>
    </row>
    <row r="396" spans="30:30">
      <c r="AD396" s="4"/>
    </row>
    <row r="397" spans="30:30">
      <c r="AD397" s="4"/>
    </row>
    <row r="398" spans="30:30">
      <c r="AD398" s="4"/>
    </row>
    <row r="399" spans="30:30">
      <c r="AD399" s="4"/>
    </row>
    <row r="400" spans="30:30">
      <c r="AD400" s="4"/>
    </row>
    <row r="401" spans="30:30">
      <c r="AD401" s="4"/>
    </row>
    <row r="402" spans="30:30">
      <c r="AD402" s="4"/>
    </row>
    <row r="403" spans="30:30">
      <c r="AD403" s="4"/>
    </row>
    <row r="404" spans="30:30">
      <c r="AD404" s="4"/>
    </row>
    <row r="405" spans="30:30">
      <c r="AD405" s="4"/>
    </row>
    <row r="406" spans="30:30">
      <c r="AD406" s="4"/>
    </row>
    <row r="407" spans="30:30">
      <c r="AD407" s="4"/>
    </row>
    <row r="408" spans="30:30">
      <c r="AD408" s="4"/>
    </row>
    <row r="409" spans="30:30">
      <c r="AD409" s="4"/>
    </row>
    <row r="410" spans="30:30">
      <c r="AD410" s="4"/>
    </row>
    <row r="411" spans="30:30">
      <c r="AD411" s="4"/>
    </row>
    <row r="412" spans="30:30">
      <c r="AD412" s="4"/>
    </row>
    <row r="413" spans="30:30">
      <c r="AD413" s="4"/>
    </row>
    <row r="414" spans="30:30">
      <c r="AD414" s="4"/>
    </row>
    <row r="415" spans="30:30">
      <c r="AD415" s="4"/>
    </row>
    <row r="416" spans="30:30">
      <c r="AD416" s="4"/>
    </row>
    <row r="417" spans="30:30">
      <c r="AD417" s="4"/>
    </row>
    <row r="418" spans="30:30">
      <c r="AD418" s="4"/>
    </row>
    <row r="419" spans="30:30">
      <c r="AD419" s="4"/>
    </row>
    <row r="420" spans="30:30">
      <c r="AD420" s="4"/>
    </row>
    <row r="421" spans="30:30">
      <c r="AD421" s="4"/>
    </row>
    <row r="422" spans="30:30">
      <c r="AD422" s="4"/>
    </row>
    <row r="423" spans="30:30">
      <c r="AD423" s="4"/>
    </row>
    <row r="424" spans="30:30">
      <c r="AD424" s="4"/>
    </row>
    <row r="425" spans="30:30">
      <c r="AD425" s="4"/>
    </row>
    <row r="426" spans="30:30">
      <c r="AD426" s="4"/>
    </row>
    <row r="427" spans="30:30">
      <c r="AD427" s="4"/>
    </row>
    <row r="428" spans="30:30">
      <c r="AD428" s="4"/>
    </row>
    <row r="429" spans="30:30">
      <c r="AD429" s="4"/>
    </row>
    <row r="430" spans="30:30">
      <c r="AD430" s="4"/>
    </row>
    <row r="431" spans="30:30">
      <c r="AD431" s="4"/>
    </row>
    <row r="432" spans="30:30">
      <c r="AD432" s="4"/>
    </row>
    <row r="433" spans="30:30">
      <c r="AD433" s="4"/>
    </row>
    <row r="434" spans="30:30">
      <c r="AD434" s="4"/>
    </row>
    <row r="435" spans="30:30">
      <c r="AD435" s="4"/>
    </row>
    <row r="436" spans="30:30">
      <c r="AD436" s="4"/>
    </row>
    <row r="437" spans="30:30">
      <c r="AD437" s="4"/>
    </row>
    <row r="438" spans="30:30">
      <c r="AD438" s="4"/>
    </row>
    <row r="439" spans="30:30">
      <c r="AD439" s="4"/>
    </row>
    <row r="440" spans="30:30">
      <c r="AD440" s="4"/>
    </row>
    <row r="441" spans="30:30">
      <c r="AD441" s="4"/>
    </row>
    <row r="442" spans="30:30">
      <c r="AD442" s="4"/>
    </row>
    <row r="443" spans="30:30">
      <c r="AD443" s="4"/>
    </row>
    <row r="444" spans="30:30">
      <c r="AD444" s="4"/>
    </row>
    <row r="445" spans="30:30">
      <c r="AD445" s="4"/>
    </row>
    <row r="446" spans="30:30">
      <c r="AD446" s="4"/>
    </row>
    <row r="447" spans="30:30">
      <c r="AD447" s="4"/>
    </row>
    <row r="448" spans="30:30">
      <c r="AD448" s="4"/>
    </row>
    <row r="449" spans="30:30">
      <c r="AD449" s="4"/>
    </row>
    <row r="450" spans="30:30">
      <c r="AD450" s="4"/>
    </row>
    <row r="451" spans="30:30">
      <c r="AD451" s="4"/>
    </row>
    <row r="452" spans="30:30">
      <c r="AD452" s="4"/>
    </row>
    <row r="453" spans="30:30">
      <c r="AD453" s="4"/>
    </row>
    <row r="454" spans="30:30">
      <c r="AD454" s="4"/>
    </row>
    <row r="455" spans="30:30">
      <c r="AD455" s="4"/>
    </row>
    <row r="456" spans="30:30">
      <c r="AD456" s="4"/>
    </row>
    <row r="457" spans="30:30">
      <c r="AD457" s="4"/>
    </row>
    <row r="458" spans="30:30">
      <c r="AD458" s="4"/>
    </row>
    <row r="459" spans="30:30">
      <c r="AD459" s="4"/>
    </row>
    <row r="460" spans="30:30">
      <c r="AD460" s="4"/>
    </row>
    <row r="461" spans="30:30">
      <c r="AD461" s="4"/>
    </row>
    <row r="462" spans="30:30">
      <c r="AD462" s="4"/>
    </row>
    <row r="463" spans="30:30">
      <c r="AD463" s="4"/>
    </row>
    <row r="464" spans="30:30">
      <c r="AD464" s="4"/>
    </row>
    <row r="465" spans="30:30">
      <c r="AD465" s="4"/>
    </row>
    <row r="466" spans="30:30">
      <c r="AD466" s="4"/>
    </row>
    <row r="467" spans="30:30">
      <c r="AD467" s="4"/>
    </row>
    <row r="468" spans="30:30">
      <c r="AD468" s="4"/>
    </row>
    <row r="469" spans="30:30">
      <c r="AD469" s="4"/>
    </row>
    <row r="470" spans="30:30">
      <c r="AD470" s="4"/>
    </row>
    <row r="471" spans="30:30">
      <c r="AD471" s="4"/>
    </row>
    <row r="472" spans="30:30">
      <c r="AD472" s="4"/>
    </row>
    <row r="473" spans="30:30">
      <c r="AD473" s="4"/>
    </row>
    <row r="474" spans="30:30">
      <c r="AD474" s="4"/>
    </row>
    <row r="475" spans="30:30">
      <c r="AD475" s="4"/>
    </row>
    <row r="476" spans="30:30">
      <c r="AD476" s="4"/>
    </row>
    <row r="477" spans="30:30">
      <c r="AD477" s="4"/>
    </row>
    <row r="478" spans="30:30">
      <c r="AD478" s="4"/>
    </row>
    <row r="479" spans="30:30">
      <c r="AD479" s="4"/>
    </row>
    <row r="480" spans="30:30">
      <c r="AD480" s="4"/>
    </row>
    <row r="481" spans="30:30">
      <c r="AD481" s="4"/>
    </row>
    <row r="482" spans="30:30">
      <c r="AD482" s="4"/>
    </row>
    <row r="483" spans="30:30">
      <c r="AD483" s="4"/>
    </row>
    <row r="484" spans="30:30">
      <c r="AD484" s="4"/>
    </row>
    <row r="485" spans="30:30">
      <c r="AD485" s="4"/>
    </row>
    <row r="486" spans="30:30">
      <c r="AD486" s="4"/>
    </row>
    <row r="487" spans="30:30">
      <c r="AD487" s="4"/>
    </row>
    <row r="488" spans="30:30">
      <c r="AD488" s="4"/>
    </row>
    <row r="489" spans="30:30">
      <c r="AD489" s="4"/>
    </row>
    <row r="490" spans="30:30">
      <c r="AD490" s="4"/>
    </row>
    <row r="491" spans="30:30">
      <c r="AD491" s="4"/>
    </row>
    <row r="492" spans="30:30">
      <c r="AD492" s="4"/>
    </row>
    <row r="493" spans="30:30">
      <c r="AD493" s="4"/>
    </row>
    <row r="494" spans="30:30">
      <c r="AD494" s="4"/>
    </row>
    <row r="495" spans="30:30">
      <c r="AD495" s="4"/>
    </row>
    <row r="496" spans="30:30">
      <c r="AD496" s="4"/>
    </row>
    <row r="497" spans="30:30">
      <c r="AD497" s="4"/>
    </row>
    <row r="498" spans="30:30">
      <c r="AD498" s="4"/>
    </row>
    <row r="499" spans="30:30">
      <c r="AD499" s="4"/>
    </row>
    <row r="500" spans="30:30">
      <c r="AD500" s="4"/>
    </row>
    <row r="501" spans="30:30">
      <c r="AD501" s="4"/>
    </row>
    <row r="502" spans="30:30">
      <c r="AD502" s="4"/>
    </row>
    <row r="503" spans="30:30">
      <c r="AD503" s="4"/>
    </row>
    <row r="504" spans="30:30">
      <c r="AD504" s="4"/>
    </row>
    <row r="505" spans="30:30">
      <c r="AD505" s="4"/>
    </row>
    <row r="506" spans="30:30">
      <c r="AD506" s="4"/>
    </row>
    <row r="507" spans="30:30">
      <c r="AD507" s="4"/>
    </row>
    <row r="508" spans="30:30">
      <c r="AD508" s="4"/>
    </row>
    <row r="509" spans="30:30">
      <c r="AD509" s="4"/>
    </row>
    <row r="510" spans="30:30">
      <c r="AD510" s="4"/>
    </row>
    <row r="511" spans="30:30">
      <c r="AD511" s="4"/>
    </row>
    <row r="512" spans="30:30">
      <c r="AD512" s="4"/>
    </row>
    <row r="513" spans="30:30">
      <c r="AD513" s="4"/>
    </row>
    <row r="514" spans="30:30">
      <c r="AD514" s="4"/>
    </row>
    <row r="515" spans="30:30">
      <c r="AD515" s="4"/>
    </row>
    <row r="516" spans="30:30">
      <c r="AD516" s="4"/>
    </row>
    <row r="517" spans="30:30">
      <c r="AD517" s="4"/>
    </row>
    <row r="518" spans="30:30">
      <c r="AD518" s="4"/>
    </row>
    <row r="519" spans="30:30">
      <c r="AD519" s="4"/>
    </row>
    <row r="520" spans="30:30">
      <c r="AD520" s="4"/>
    </row>
    <row r="521" spans="30:30">
      <c r="AD521" s="4"/>
    </row>
    <row r="522" spans="30:30">
      <c r="AD522" s="4"/>
    </row>
    <row r="523" spans="30:30">
      <c r="AD523" s="4"/>
    </row>
    <row r="524" spans="30:30">
      <c r="AD524" s="4"/>
    </row>
    <row r="525" spans="30:30">
      <c r="AD525" s="4"/>
    </row>
    <row r="526" spans="30:30">
      <c r="AD526" s="4"/>
    </row>
    <row r="527" spans="30:30">
      <c r="AD527" s="4"/>
    </row>
    <row r="528" spans="30:30">
      <c r="AD528" s="4"/>
    </row>
    <row r="529" spans="30:30">
      <c r="AD529" s="4"/>
    </row>
    <row r="530" spans="30:30">
      <c r="AD530" s="4"/>
    </row>
    <row r="531" spans="30:30">
      <c r="AD531" s="4"/>
    </row>
    <row r="532" spans="30:30">
      <c r="AD532" s="4"/>
    </row>
    <row r="533" spans="30:30">
      <c r="AD533" s="4"/>
    </row>
    <row r="534" spans="30:30">
      <c r="AD534" s="4"/>
    </row>
    <row r="535" spans="30:30">
      <c r="AD535" s="4"/>
    </row>
    <row r="536" spans="30:30">
      <c r="AD536" s="4"/>
    </row>
    <row r="537" spans="30:30">
      <c r="AD537" s="4"/>
    </row>
    <row r="538" spans="30:30">
      <c r="AD538" s="4"/>
    </row>
    <row r="539" spans="30:30">
      <c r="AD539" s="4"/>
    </row>
    <row r="540" spans="30:30">
      <c r="AD540" s="4"/>
    </row>
    <row r="541" spans="30:30">
      <c r="AD541" s="4"/>
    </row>
    <row r="542" spans="30:30">
      <c r="AD542" s="4"/>
    </row>
    <row r="543" spans="30:30">
      <c r="AD543" s="4"/>
    </row>
    <row r="544" spans="30:30">
      <c r="AD544" s="4"/>
    </row>
    <row r="545" spans="30:30">
      <c r="AD545" s="4"/>
    </row>
    <row r="546" spans="30:30">
      <c r="AD546" s="4"/>
    </row>
    <row r="547" spans="30:30">
      <c r="AD547" s="4"/>
    </row>
    <row r="548" spans="30:30">
      <c r="AD548" s="4"/>
    </row>
    <row r="549" spans="30:30">
      <c r="AD549" s="4"/>
    </row>
    <row r="550" spans="30:30">
      <c r="AD550" s="4"/>
    </row>
    <row r="551" spans="30:30">
      <c r="AD551" s="4"/>
    </row>
    <row r="552" spans="30:30">
      <c r="AD552" s="4"/>
    </row>
    <row r="553" spans="30:30">
      <c r="AD553" s="4"/>
    </row>
    <row r="554" spans="30:30">
      <c r="AD554" s="4"/>
    </row>
    <row r="555" spans="30:30">
      <c r="AD555" s="4"/>
    </row>
    <row r="556" spans="30:30">
      <c r="AD556" s="4"/>
    </row>
    <row r="557" spans="30:30">
      <c r="AD557" s="4"/>
    </row>
    <row r="558" spans="30:30">
      <c r="AD558" s="4"/>
    </row>
    <row r="559" spans="30:30">
      <c r="AD559" s="4"/>
    </row>
    <row r="560" spans="30:30">
      <c r="AD560" s="4"/>
    </row>
    <row r="561" spans="30:30">
      <c r="AD561" s="4"/>
    </row>
    <row r="562" spans="30:30">
      <c r="AD562" s="4"/>
    </row>
    <row r="563" spans="30:30">
      <c r="AD563" s="4"/>
    </row>
    <row r="564" spans="30:30">
      <c r="AD564" s="4"/>
    </row>
    <row r="565" spans="30:30">
      <c r="AD565" s="4"/>
    </row>
    <row r="566" spans="30:30">
      <c r="AD566" s="4"/>
    </row>
    <row r="567" spans="30:30">
      <c r="AD567" s="4"/>
    </row>
    <row r="568" spans="30:30">
      <c r="AD568" s="4"/>
    </row>
    <row r="569" spans="30:30">
      <c r="AD569" s="4"/>
    </row>
    <row r="570" spans="30:30">
      <c r="AD570" s="4"/>
    </row>
    <row r="571" spans="30:30">
      <c r="AD571" s="4"/>
    </row>
    <row r="572" spans="30:30">
      <c r="AD572" s="4"/>
    </row>
    <row r="573" spans="30:30">
      <c r="AD573" s="4"/>
    </row>
    <row r="574" spans="30:30">
      <c r="AD574" s="4"/>
    </row>
    <row r="575" spans="30:30">
      <c r="AD575" s="4"/>
    </row>
    <row r="576" spans="30:30">
      <c r="AD576" s="4"/>
    </row>
    <row r="577" spans="30:30">
      <c r="AD577" s="4"/>
    </row>
    <row r="578" spans="30:30">
      <c r="AD578" s="4"/>
    </row>
    <row r="579" spans="30:30">
      <c r="AD579" s="4"/>
    </row>
    <row r="580" spans="30:30">
      <c r="AD580" s="4"/>
    </row>
    <row r="581" spans="30:30">
      <c r="AD581" s="4"/>
    </row>
    <row r="582" spans="30:30">
      <c r="AD582" s="4"/>
    </row>
    <row r="583" spans="30:30">
      <c r="AD583" s="4"/>
    </row>
    <row r="584" spans="30:30">
      <c r="AD584" s="4"/>
    </row>
    <row r="585" spans="30:30">
      <c r="AD585" s="4"/>
    </row>
    <row r="586" spans="30:30">
      <c r="AD586" s="4"/>
    </row>
    <row r="587" spans="30:30">
      <c r="AD587" s="4"/>
    </row>
    <row r="588" spans="30:30">
      <c r="AD588" s="4"/>
    </row>
    <row r="589" spans="30:30">
      <c r="AD589" s="4"/>
    </row>
    <row r="590" spans="30:30">
      <c r="AD590" s="4"/>
    </row>
    <row r="591" spans="30:30">
      <c r="AD591" s="4"/>
    </row>
    <row r="592" spans="30:30">
      <c r="AD592" s="4"/>
    </row>
    <row r="593" spans="30:30">
      <c r="AD593" s="4"/>
    </row>
    <row r="594" spans="30:30">
      <c r="AD594" s="4"/>
    </row>
    <row r="595" spans="30:30">
      <c r="AD595" s="4"/>
    </row>
    <row r="596" spans="30:30">
      <c r="AD596" s="4"/>
    </row>
    <row r="597" spans="30:30">
      <c r="AD597" s="4"/>
    </row>
    <row r="598" spans="30:30">
      <c r="AD598" s="4"/>
    </row>
    <row r="599" spans="30:30">
      <c r="AD599" s="4"/>
    </row>
    <row r="600" spans="30:30">
      <c r="AD600" s="4"/>
    </row>
    <row r="601" spans="30:30">
      <c r="AD601" s="4"/>
    </row>
    <row r="602" spans="30:30">
      <c r="AD602" s="4"/>
    </row>
    <row r="603" spans="30:30">
      <c r="AD603" s="4"/>
    </row>
    <row r="604" spans="30:30">
      <c r="AD604" s="4"/>
    </row>
    <row r="605" spans="30:30">
      <c r="AD605" s="4"/>
    </row>
    <row r="606" spans="30:30">
      <c r="AD606" s="4"/>
    </row>
    <row r="607" spans="30:30">
      <c r="AD607" s="4"/>
    </row>
    <row r="608" spans="30:30">
      <c r="AD608" s="4"/>
    </row>
    <row r="609" spans="30:30">
      <c r="AD609" s="4"/>
    </row>
    <row r="610" spans="30:30">
      <c r="AD610" s="4"/>
    </row>
    <row r="611" spans="30:30">
      <c r="AD611" s="4"/>
    </row>
    <row r="612" spans="30:30">
      <c r="AD612" s="4"/>
    </row>
    <row r="613" spans="30:30">
      <c r="AD613" s="4"/>
    </row>
    <row r="614" spans="30:30">
      <c r="AD614" s="4"/>
    </row>
    <row r="615" spans="30:30">
      <c r="AD615" s="4"/>
    </row>
    <row r="616" spans="30:30">
      <c r="AD616" s="4"/>
    </row>
    <row r="617" spans="30:30">
      <c r="AD617" s="4"/>
    </row>
    <row r="618" spans="30:30">
      <c r="AD618" s="4"/>
    </row>
    <row r="619" spans="30:30">
      <c r="AD619" s="4"/>
    </row>
    <row r="620" spans="30:30">
      <c r="AD620" s="4"/>
    </row>
    <row r="621" spans="30:30">
      <c r="AD621" s="4"/>
    </row>
    <row r="622" spans="30:30">
      <c r="AD622" s="4"/>
    </row>
    <row r="623" spans="30:30">
      <c r="AD623" s="4"/>
    </row>
    <row r="624" spans="30:30">
      <c r="AD624" s="4"/>
    </row>
    <row r="625" spans="30:30">
      <c r="AD625" s="4"/>
    </row>
    <row r="626" spans="30:30">
      <c r="AD626" s="4"/>
    </row>
    <row r="627" spans="30:30">
      <c r="AD627" s="4"/>
    </row>
    <row r="628" spans="30:30">
      <c r="AD628" s="4"/>
    </row>
    <row r="629" spans="30:30">
      <c r="AD629" s="4"/>
    </row>
    <row r="630" spans="30:30">
      <c r="AD630" s="4"/>
    </row>
    <row r="631" spans="30:30">
      <c r="AD631" s="4"/>
    </row>
    <row r="632" spans="30:30">
      <c r="AD632" s="4"/>
    </row>
    <row r="633" spans="30:30">
      <c r="AD633" s="4"/>
    </row>
    <row r="634" spans="30:30">
      <c r="AD634" s="4"/>
    </row>
    <row r="635" spans="30:30">
      <c r="AD635" s="4"/>
    </row>
    <row r="636" spans="30:30">
      <c r="AD636" s="4"/>
    </row>
    <row r="637" spans="30:30">
      <c r="AD637" s="4"/>
    </row>
    <row r="638" spans="30:30">
      <c r="AD638" s="4"/>
    </row>
    <row r="639" spans="30:30">
      <c r="AD639" s="4"/>
    </row>
    <row r="640" spans="30:30">
      <c r="AD640" s="4"/>
    </row>
    <row r="641" spans="30:30">
      <c r="AD641" s="4"/>
    </row>
    <row r="642" spans="30:30">
      <c r="AD642" s="4"/>
    </row>
    <row r="643" spans="30:30">
      <c r="AD643" s="4"/>
    </row>
    <row r="644" spans="30:30">
      <c r="AD644" s="4"/>
    </row>
    <row r="645" spans="30:30">
      <c r="AD645" s="4"/>
    </row>
    <row r="646" spans="30:30">
      <c r="AD646" s="4"/>
    </row>
    <row r="647" spans="30:30">
      <c r="AD647" s="4"/>
    </row>
    <row r="648" spans="30:30">
      <c r="AD648" s="4"/>
    </row>
    <row r="649" spans="30:30">
      <c r="AD649" s="4"/>
    </row>
    <row r="650" spans="30:30">
      <c r="AD650" s="4"/>
    </row>
    <row r="651" spans="30:30">
      <c r="AD651" s="4"/>
    </row>
    <row r="652" spans="30:30">
      <c r="AD652" s="4"/>
    </row>
    <row r="653" spans="30:30">
      <c r="AD653" s="4"/>
    </row>
    <row r="654" spans="30:30">
      <c r="AD654" s="4"/>
    </row>
    <row r="655" spans="30:30">
      <c r="AD655" s="4"/>
    </row>
    <row r="656" spans="30:30">
      <c r="AD656" s="4"/>
    </row>
    <row r="657" spans="30:30">
      <c r="AD657" s="4"/>
    </row>
    <row r="658" spans="30:30">
      <c r="AD658" s="4"/>
    </row>
    <row r="659" spans="30:30">
      <c r="AD659" s="4"/>
    </row>
    <row r="660" spans="30:30">
      <c r="AD660" s="4"/>
    </row>
    <row r="661" spans="30:30">
      <c r="AD661" s="4"/>
    </row>
    <row r="662" spans="30:30">
      <c r="AD662" s="4"/>
    </row>
    <row r="663" spans="30:30">
      <c r="AD663" s="4"/>
    </row>
    <row r="664" spans="30:30">
      <c r="AD664" s="4"/>
    </row>
    <row r="665" spans="30:30">
      <c r="AD665" s="4"/>
    </row>
    <row r="666" spans="30:30">
      <c r="AD666" s="4"/>
    </row>
    <row r="667" spans="30:30">
      <c r="AD667" s="4"/>
    </row>
    <row r="668" spans="30:30">
      <c r="AD668" s="4"/>
    </row>
    <row r="669" spans="30:30">
      <c r="AD669" s="4"/>
    </row>
    <row r="670" spans="30:30">
      <c r="AD670" s="4"/>
    </row>
    <row r="671" spans="30:30">
      <c r="AD671" s="4"/>
    </row>
    <row r="672" spans="30:30">
      <c r="AD672" s="4"/>
    </row>
    <row r="673" spans="30:30">
      <c r="AD673" s="4"/>
    </row>
    <row r="674" spans="30:30">
      <c r="AD674" s="4"/>
    </row>
    <row r="675" spans="30:30">
      <c r="AD675" s="4"/>
    </row>
    <row r="676" spans="30:30">
      <c r="AD676" s="4"/>
    </row>
    <row r="677" spans="30:30">
      <c r="AD677" s="4"/>
    </row>
    <row r="678" spans="30:30">
      <c r="AD678" s="4"/>
    </row>
    <row r="679" spans="30:30">
      <c r="AD679" s="4"/>
    </row>
    <row r="680" spans="30:30">
      <c r="AD680" s="4"/>
    </row>
    <row r="681" spans="30:30">
      <c r="AD681" s="4"/>
    </row>
    <row r="682" spans="30:30">
      <c r="AD682" s="4"/>
    </row>
    <row r="683" spans="30:30">
      <c r="AD683" s="4"/>
    </row>
    <row r="684" spans="30:30">
      <c r="AD684" s="4"/>
    </row>
    <row r="685" spans="30:30">
      <c r="AD685" s="4"/>
    </row>
    <row r="686" spans="30:30">
      <c r="AD686" s="4"/>
    </row>
    <row r="687" spans="30:30">
      <c r="AD687" s="4"/>
    </row>
    <row r="688" spans="30:30">
      <c r="AD688" s="4"/>
    </row>
    <row r="689" spans="30:30">
      <c r="AD689" s="4"/>
    </row>
    <row r="690" spans="30:30">
      <c r="AD690" s="4"/>
    </row>
    <row r="691" spans="30:30">
      <c r="AD691" s="4"/>
    </row>
    <row r="692" spans="30:30">
      <c r="AD692" s="4"/>
    </row>
    <row r="693" spans="30:30">
      <c r="AD693" s="4"/>
    </row>
    <row r="694" spans="30:30">
      <c r="AD694" s="4"/>
    </row>
    <row r="695" spans="30:30">
      <c r="AD695" s="4"/>
    </row>
    <row r="696" spans="30:30">
      <c r="AD696" s="4"/>
    </row>
    <row r="697" spans="30:30">
      <c r="AD697" s="4"/>
    </row>
    <row r="698" spans="30:30">
      <c r="AD698" s="4"/>
    </row>
    <row r="699" spans="30:30">
      <c r="AD699" s="4"/>
    </row>
    <row r="700" spans="30:30">
      <c r="AD700" s="4"/>
    </row>
    <row r="701" spans="30:30">
      <c r="AD701" s="4"/>
    </row>
    <row r="702" spans="30:30">
      <c r="AD702" s="4"/>
    </row>
    <row r="703" spans="30:30">
      <c r="AD703" s="4"/>
    </row>
    <row r="704" spans="30:30">
      <c r="AD704" s="4"/>
    </row>
    <row r="705" spans="30:30">
      <c r="AD705" s="4"/>
    </row>
    <row r="706" spans="30:30">
      <c r="AD706" s="4"/>
    </row>
    <row r="707" spans="30:30">
      <c r="AD707" s="4"/>
    </row>
    <row r="708" spans="30:30">
      <c r="AD708" s="4"/>
    </row>
    <row r="709" spans="30:30">
      <c r="AD709" s="4"/>
    </row>
    <row r="710" spans="30:30">
      <c r="AD710" s="4"/>
    </row>
    <row r="711" spans="30:30">
      <c r="AD711" s="4"/>
    </row>
    <row r="712" spans="30:30">
      <c r="AD712" s="4"/>
    </row>
    <row r="713" spans="30:30">
      <c r="AD713" s="4"/>
    </row>
    <row r="714" spans="30:30">
      <c r="AD714" s="4"/>
    </row>
    <row r="715" spans="30:30">
      <c r="AD715" s="4"/>
    </row>
    <row r="716" spans="30:30">
      <c r="AD716" s="4"/>
    </row>
    <row r="717" spans="30:30">
      <c r="AD717" s="4"/>
    </row>
    <row r="718" spans="30:30">
      <c r="AD718" s="4"/>
    </row>
    <row r="719" spans="30:30">
      <c r="AD719" s="4"/>
    </row>
    <row r="720" spans="30:30">
      <c r="AD720" s="4"/>
    </row>
    <row r="721" spans="30:30">
      <c r="AD721" s="4"/>
    </row>
    <row r="722" spans="30:30">
      <c r="AD722" s="4"/>
    </row>
    <row r="723" spans="30:30">
      <c r="AD723" s="4"/>
    </row>
    <row r="724" spans="30:30">
      <c r="AD724" s="4"/>
    </row>
    <row r="725" spans="30:30">
      <c r="AD725" s="4"/>
    </row>
    <row r="726" spans="30:30">
      <c r="AD726" s="4"/>
    </row>
    <row r="727" spans="30:30">
      <c r="AD727" s="4"/>
    </row>
    <row r="728" spans="30:30">
      <c r="AD728" s="4"/>
    </row>
    <row r="729" spans="30:30">
      <c r="AD729" s="4"/>
    </row>
    <row r="730" spans="30:30">
      <c r="AD730" s="4"/>
    </row>
    <row r="731" spans="30:30">
      <c r="AD731" s="4"/>
    </row>
    <row r="732" spans="30:30">
      <c r="AD732" s="4"/>
    </row>
    <row r="733" spans="30:30">
      <c r="AD733" s="4"/>
    </row>
    <row r="734" spans="30:30">
      <c r="AD734" s="4"/>
    </row>
    <row r="735" spans="30:30">
      <c r="AD735" s="4"/>
    </row>
    <row r="736" spans="30:30">
      <c r="AD736" s="4"/>
    </row>
    <row r="737" spans="30:30">
      <c r="AD737" s="4"/>
    </row>
    <row r="738" spans="30:30">
      <c r="AD738" s="4"/>
    </row>
    <row r="739" spans="30:30">
      <c r="AD739" s="4"/>
    </row>
    <row r="740" spans="30:30">
      <c r="AD740" s="4"/>
    </row>
    <row r="741" spans="30:30">
      <c r="AD741" s="4"/>
    </row>
    <row r="742" spans="30:30">
      <c r="AD742" s="4"/>
    </row>
    <row r="743" spans="30:30">
      <c r="AD743" s="4"/>
    </row>
    <row r="744" spans="30:30">
      <c r="AD744" s="4"/>
    </row>
    <row r="745" spans="30:30">
      <c r="AD745" s="4"/>
    </row>
    <row r="746" spans="30:30">
      <c r="AD746" s="4"/>
    </row>
    <row r="747" spans="30:30">
      <c r="AD747" s="4"/>
    </row>
    <row r="748" spans="30:30">
      <c r="AD748" s="4"/>
    </row>
    <row r="749" spans="30:30">
      <c r="AD749" s="4"/>
    </row>
    <row r="750" spans="30:30">
      <c r="AD750" s="4"/>
    </row>
    <row r="751" spans="30:30">
      <c r="AD751" s="4"/>
    </row>
    <row r="752" spans="30:30">
      <c r="AD752" s="4"/>
    </row>
    <row r="753" spans="30:30">
      <c r="AD753" s="4"/>
    </row>
    <row r="754" spans="30:30">
      <c r="AD754" s="4"/>
    </row>
    <row r="755" spans="30:30">
      <c r="AD755" s="4"/>
    </row>
    <row r="756" spans="30:30">
      <c r="AD756" s="4"/>
    </row>
    <row r="757" spans="30:30">
      <c r="AD757" s="4"/>
    </row>
    <row r="758" spans="30:30">
      <c r="AD758" s="4"/>
    </row>
    <row r="759" spans="30:30">
      <c r="AD759" s="4"/>
    </row>
    <row r="760" spans="30:30">
      <c r="AD760" s="4"/>
    </row>
    <row r="761" spans="30:30">
      <c r="AD761" s="4"/>
    </row>
    <row r="762" spans="30:30">
      <c r="AD762" s="4"/>
    </row>
    <row r="763" spans="30:30">
      <c r="AD763" s="4"/>
    </row>
    <row r="764" spans="30:30">
      <c r="AD764" s="4"/>
    </row>
    <row r="765" spans="30:30">
      <c r="AD765" s="4"/>
    </row>
    <row r="766" spans="30:30">
      <c r="AD766" s="4"/>
    </row>
    <row r="767" spans="30:30">
      <c r="AD767" s="4"/>
    </row>
    <row r="768" spans="30:30">
      <c r="AD768" s="4"/>
    </row>
    <row r="769" spans="30:30">
      <c r="AD769" s="4"/>
    </row>
    <row r="770" spans="30:30">
      <c r="AD770" s="4"/>
    </row>
    <row r="771" spans="30:30">
      <c r="AD771" s="4"/>
    </row>
    <row r="772" spans="30:30">
      <c r="AD772" s="4"/>
    </row>
    <row r="773" spans="30:30">
      <c r="AD773" s="4"/>
    </row>
    <row r="774" spans="30:30">
      <c r="AD774" s="4"/>
    </row>
    <row r="775" spans="30:30">
      <c r="AD775" s="4"/>
    </row>
    <row r="776" spans="30:30">
      <c r="AD776" s="4"/>
    </row>
    <row r="777" spans="30:30">
      <c r="AD777" s="4"/>
    </row>
    <row r="778" spans="30:30">
      <c r="AD778" s="4"/>
    </row>
    <row r="779" spans="30:30">
      <c r="AD779" s="4"/>
    </row>
    <row r="780" spans="30:30">
      <c r="AD780" s="4"/>
    </row>
    <row r="781" spans="30:30">
      <c r="AD781" s="4"/>
    </row>
    <row r="782" spans="30:30">
      <c r="AD782" s="4"/>
    </row>
    <row r="783" spans="30:30">
      <c r="AD783" s="4"/>
    </row>
    <row r="784" spans="30:30">
      <c r="AD784" s="4"/>
    </row>
    <row r="785" spans="30:30">
      <c r="AD785" s="4"/>
    </row>
    <row r="786" spans="30:30">
      <c r="AD786" s="4"/>
    </row>
    <row r="787" spans="30:30">
      <c r="AD787" s="4"/>
    </row>
    <row r="788" spans="30:30">
      <c r="AD788" s="4"/>
    </row>
    <row r="789" spans="30:30">
      <c r="AD789" s="4"/>
    </row>
    <row r="790" spans="30:30">
      <c r="AD790" s="4"/>
    </row>
    <row r="791" spans="30:30">
      <c r="AD791" s="4"/>
    </row>
    <row r="792" spans="30:30">
      <c r="AD792" s="4"/>
    </row>
    <row r="793" spans="30:30">
      <c r="AD793" s="4"/>
    </row>
    <row r="794" spans="30:30">
      <c r="AD794" s="4"/>
    </row>
    <row r="795" spans="30:30">
      <c r="AD795" s="4"/>
    </row>
    <row r="796" spans="30:30">
      <c r="AD796" s="4"/>
    </row>
    <row r="797" spans="30:30">
      <c r="AD797" s="4"/>
    </row>
    <row r="798" spans="30:30">
      <c r="AD798" s="4"/>
    </row>
    <row r="799" spans="30:30">
      <c r="AD799" s="4"/>
    </row>
    <row r="800" spans="30:30">
      <c r="AD800" s="4"/>
    </row>
    <row r="801" spans="30:30">
      <c r="AD801" s="4"/>
    </row>
    <row r="802" spans="30:30">
      <c r="AD802" s="4"/>
    </row>
    <row r="803" spans="30:30">
      <c r="AD803" s="4"/>
    </row>
    <row r="804" spans="30:30">
      <c r="AD804" s="4"/>
    </row>
    <row r="805" spans="30:30">
      <c r="AD805" s="4"/>
    </row>
    <row r="806" spans="30:30">
      <c r="AD806" s="4"/>
    </row>
    <row r="807" spans="30:30">
      <c r="AD807" s="4"/>
    </row>
    <row r="808" spans="30:30">
      <c r="AD808" s="4"/>
    </row>
    <row r="809" spans="30:30">
      <c r="AD809" s="4"/>
    </row>
    <row r="810" spans="30:30">
      <c r="AD810" s="4"/>
    </row>
    <row r="811" spans="30:30">
      <c r="AD811" s="4"/>
    </row>
    <row r="812" spans="30:30">
      <c r="AD812" s="4"/>
    </row>
    <row r="813" spans="30:30">
      <c r="AD813" s="4"/>
    </row>
    <row r="814" spans="30:30">
      <c r="AD814" s="4"/>
    </row>
    <row r="815" spans="30:30">
      <c r="AD815" s="4"/>
    </row>
    <row r="816" spans="30:30">
      <c r="AD816" s="4"/>
    </row>
    <row r="817" spans="30:30">
      <c r="AD817" s="4"/>
    </row>
    <row r="818" spans="30:30">
      <c r="AD818" s="4"/>
    </row>
    <row r="819" spans="30:30">
      <c r="AD819" s="4"/>
    </row>
    <row r="820" spans="30:30">
      <c r="AD820" s="4"/>
    </row>
    <row r="821" spans="30:30">
      <c r="AD821" s="4"/>
    </row>
    <row r="822" spans="30:30">
      <c r="AD822" s="4"/>
    </row>
    <row r="823" spans="30:30">
      <c r="AD823" s="4"/>
    </row>
    <row r="824" spans="30:30">
      <c r="AD824" s="4"/>
    </row>
    <row r="825" spans="30:30">
      <c r="AD825" s="4"/>
    </row>
    <row r="826" spans="30:30">
      <c r="AD826" s="4"/>
    </row>
    <row r="827" spans="30:30">
      <c r="AD827" s="4"/>
    </row>
    <row r="828" spans="30:30">
      <c r="AD828" s="4"/>
    </row>
    <row r="829" spans="30:30">
      <c r="AD829" s="4"/>
    </row>
    <row r="830" spans="30:30">
      <c r="AD830" s="4"/>
    </row>
    <row r="831" spans="30:30">
      <c r="AD831" s="4"/>
    </row>
    <row r="832" spans="30:30">
      <c r="AD832" s="4"/>
    </row>
    <row r="833" spans="30:30">
      <c r="AD833" s="4"/>
    </row>
    <row r="834" spans="30:30">
      <c r="AD834" s="4"/>
    </row>
    <row r="835" spans="30:30">
      <c r="AD835" s="4"/>
    </row>
    <row r="836" spans="30:30">
      <c r="AD836" s="4"/>
    </row>
    <row r="837" spans="30:30">
      <c r="AD837" s="4"/>
    </row>
    <row r="838" spans="30:30">
      <c r="AD838" s="4"/>
    </row>
    <row r="839" spans="30:30">
      <c r="AD839" s="4"/>
    </row>
    <row r="840" spans="30:30">
      <c r="AD840" s="4"/>
    </row>
    <row r="841" spans="30:30">
      <c r="AD841" s="4"/>
    </row>
    <row r="842" spans="30:30">
      <c r="AD842" s="4"/>
    </row>
    <row r="843" spans="30:30">
      <c r="AD843" s="4"/>
    </row>
    <row r="844" spans="30:30">
      <c r="AD844" s="4"/>
    </row>
    <row r="845" spans="30:30">
      <c r="AD845" s="4"/>
    </row>
    <row r="846" spans="30:30">
      <c r="AD846" s="4"/>
    </row>
    <row r="847" spans="30:30">
      <c r="AD847" s="4"/>
    </row>
    <row r="848" spans="30:30">
      <c r="AD848" s="4"/>
    </row>
    <row r="849" spans="30:30">
      <c r="AD849" s="4"/>
    </row>
    <row r="850" spans="30:30">
      <c r="AD850" s="4"/>
    </row>
    <row r="851" spans="30:30">
      <c r="AD851" s="4"/>
    </row>
    <row r="852" spans="30:30">
      <c r="AD852" s="4"/>
    </row>
    <row r="853" spans="30:30">
      <c r="AD853" s="4"/>
    </row>
    <row r="854" spans="30:30">
      <c r="AD854" s="4"/>
    </row>
    <row r="855" spans="30:30">
      <c r="AD855" s="4"/>
    </row>
    <row r="856" spans="30:30">
      <c r="AD856" s="4"/>
    </row>
    <row r="857" spans="30:30">
      <c r="AD857" s="4"/>
    </row>
    <row r="858" spans="30:30">
      <c r="AD858" s="4"/>
    </row>
    <row r="859" spans="30:30">
      <c r="AD859" s="4"/>
    </row>
    <row r="860" spans="30:30">
      <c r="AD860" s="4"/>
    </row>
    <row r="861" spans="30:30">
      <c r="AD861" s="4"/>
    </row>
    <row r="862" spans="30:30">
      <c r="AD862" s="4"/>
    </row>
    <row r="863" spans="30:30">
      <c r="AD863" s="4"/>
    </row>
    <row r="864" spans="30:30">
      <c r="AD864" s="4"/>
    </row>
    <row r="865" spans="30:30">
      <c r="AD865" s="4"/>
    </row>
    <row r="866" spans="30:30">
      <c r="AD866" s="4"/>
    </row>
    <row r="867" spans="30:30">
      <c r="AD867" s="4"/>
    </row>
    <row r="868" spans="30:30">
      <c r="AD868" s="4"/>
    </row>
    <row r="869" spans="30:30">
      <c r="AD869" s="4"/>
    </row>
    <row r="870" spans="30:30">
      <c r="AD870" s="4"/>
    </row>
    <row r="871" spans="30:30">
      <c r="AD871" s="4"/>
    </row>
    <row r="872" spans="30:30">
      <c r="AD872" s="4"/>
    </row>
    <row r="873" spans="30:30">
      <c r="AD873" s="4"/>
    </row>
    <row r="874" spans="30:30">
      <c r="AD874" s="4"/>
    </row>
    <row r="875" spans="30:30">
      <c r="AD875" s="4"/>
    </row>
    <row r="876" spans="30:30">
      <c r="AD876" s="4"/>
    </row>
    <row r="877" spans="30:30">
      <c r="AD877" s="4"/>
    </row>
    <row r="878" spans="30:30">
      <c r="AD878" s="4"/>
    </row>
    <row r="879" spans="30:30">
      <c r="AD879" s="4"/>
    </row>
    <row r="880" spans="30:30">
      <c r="AD880" s="4"/>
    </row>
    <row r="881" spans="30:30">
      <c r="AD881" s="4"/>
    </row>
    <row r="882" spans="30:30">
      <c r="AD882" s="4"/>
    </row>
    <row r="883" spans="30:30">
      <c r="AD883" s="4"/>
    </row>
    <row r="884" spans="30:30">
      <c r="AD884" s="4"/>
    </row>
    <row r="885" spans="30:30">
      <c r="AD885" s="4"/>
    </row>
    <row r="886" spans="30:30">
      <c r="AD886" s="4"/>
    </row>
    <row r="887" spans="30:30">
      <c r="AD887" s="4"/>
    </row>
    <row r="888" spans="30:30">
      <c r="AD888" s="4"/>
    </row>
    <row r="889" spans="30:30">
      <c r="AD889" s="4"/>
    </row>
    <row r="890" spans="30:30">
      <c r="AD890" s="4"/>
    </row>
    <row r="891" spans="30:30">
      <c r="AD891" s="4"/>
    </row>
    <row r="892" spans="30:30">
      <c r="AD892" s="4"/>
    </row>
    <row r="893" spans="30:30">
      <c r="AD893" s="4"/>
    </row>
    <row r="894" spans="30:30">
      <c r="AD894" s="4"/>
    </row>
    <row r="895" spans="30:30">
      <c r="AD895" s="4"/>
    </row>
    <row r="896" spans="30:30">
      <c r="AD896" s="4"/>
    </row>
    <row r="897" spans="30:30">
      <c r="AD897" s="4"/>
    </row>
    <row r="898" spans="30:30">
      <c r="AD898" s="4"/>
    </row>
    <row r="899" spans="30:30">
      <c r="AD899" s="4"/>
    </row>
    <row r="900" spans="30:30">
      <c r="AD900" s="4"/>
    </row>
    <row r="901" spans="30:30">
      <c r="AD901" s="4"/>
    </row>
    <row r="902" spans="30:30">
      <c r="AD902" s="4"/>
    </row>
    <row r="903" spans="30:30">
      <c r="AD903" s="4"/>
    </row>
    <row r="904" spans="30:30">
      <c r="AD904" s="4"/>
    </row>
    <row r="905" spans="30:30">
      <c r="AD905" s="4"/>
    </row>
    <row r="906" spans="30:30">
      <c r="AD906" s="4"/>
    </row>
    <row r="907" spans="30:30">
      <c r="AD907" s="4"/>
    </row>
    <row r="908" spans="30:30">
      <c r="AD908" s="4"/>
    </row>
    <row r="909" spans="30:30">
      <c r="AD909" s="4"/>
    </row>
    <row r="910" spans="30:30">
      <c r="AD910" s="4"/>
    </row>
    <row r="911" spans="30:30">
      <c r="AD911" s="4"/>
    </row>
    <row r="912" spans="30:30">
      <c r="AD912" s="4"/>
    </row>
    <row r="913" spans="30:30">
      <c r="AD913" s="4"/>
    </row>
    <row r="914" spans="30:30">
      <c r="AD914" s="4"/>
    </row>
    <row r="915" spans="30:30">
      <c r="AD915" s="4"/>
    </row>
    <row r="916" spans="30:30">
      <c r="AD916" s="4"/>
    </row>
    <row r="917" spans="30:30">
      <c r="AD917" s="4"/>
    </row>
    <row r="918" spans="30:30">
      <c r="AD918" s="4"/>
    </row>
    <row r="919" spans="30:30">
      <c r="AD919" s="4"/>
    </row>
    <row r="920" spans="30:30">
      <c r="AD920" s="4"/>
    </row>
    <row r="921" spans="30:30">
      <c r="AD921" s="4"/>
    </row>
    <row r="922" spans="30:30">
      <c r="AD922" s="4"/>
    </row>
    <row r="923" spans="30:30">
      <c r="AD923" s="4"/>
    </row>
    <row r="924" spans="30:30">
      <c r="AD924" s="4"/>
    </row>
    <row r="925" spans="30:30">
      <c r="AD925" s="4"/>
    </row>
    <row r="926" spans="30:30">
      <c r="AD926" s="4"/>
    </row>
    <row r="927" spans="30:30">
      <c r="AD927" s="4"/>
    </row>
    <row r="928" spans="30:30">
      <c r="AD928" s="4"/>
    </row>
    <row r="929" spans="30:30">
      <c r="AD929" s="4"/>
    </row>
    <row r="930" spans="30:30">
      <c r="AD930" s="4"/>
    </row>
    <row r="931" spans="30:30">
      <c r="AD931" s="4"/>
    </row>
    <row r="932" spans="30:30">
      <c r="AD932" s="4"/>
    </row>
    <row r="933" spans="30:30">
      <c r="AD933" s="4"/>
    </row>
    <row r="934" spans="30:30">
      <c r="AD934" s="4"/>
    </row>
    <row r="935" spans="30:30">
      <c r="AD935" s="4"/>
    </row>
    <row r="936" spans="30:30">
      <c r="AD936" s="4"/>
    </row>
    <row r="937" spans="30:30">
      <c r="AD937" s="4"/>
    </row>
    <row r="938" spans="30:30">
      <c r="AD938" s="4"/>
    </row>
    <row r="939" spans="30:30">
      <c r="AD939" s="4"/>
    </row>
    <row r="940" spans="30:30">
      <c r="AD940" s="4"/>
    </row>
    <row r="941" spans="30:30">
      <c r="AD941" s="4"/>
    </row>
    <row r="942" spans="30:30">
      <c r="AD942" s="4"/>
    </row>
    <row r="943" spans="30:30">
      <c r="AD943" s="4"/>
    </row>
    <row r="944" spans="30:30">
      <c r="AD944" s="4"/>
    </row>
    <row r="945" spans="30:30">
      <c r="AD945" s="4"/>
    </row>
    <row r="946" spans="30:30">
      <c r="AD946" s="4"/>
    </row>
    <row r="947" spans="30:30">
      <c r="AD947" s="4"/>
    </row>
    <row r="948" spans="30:30">
      <c r="AD948" s="4"/>
    </row>
    <row r="949" spans="30:30">
      <c r="AD949" s="4"/>
    </row>
    <row r="950" spans="30:30">
      <c r="AD950" s="4"/>
    </row>
    <row r="951" spans="30:30">
      <c r="AD951" s="4"/>
    </row>
    <row r="952" spans="30:30">
      <c r="AD952" s="4"/>
    </row>
    <row r="953" spans="30:30">
      <c r="AD953" s="4"/>
    </row>
    <row r="954" spans="30:30">
      <c r="AD954" s="4"/>
    </row>
    <row r="955" spans="30:30">
      <c r="AD955" s="4"/>
    </row>
    <row r="956" spans="30:30">
      <c r="AD956" s="4"/>
    </row>
    <row r="957" spans="30:30">
      <c r="AD957" s="4"/>
    </row>
    <row r="958" spans="30:30">
      <c r="AD958" s="4"/>
    </row>
    <row r="959" spans="30:30">
      <c r="AD959" s="4"/>
    </row>
    <row r="960" spans="30:30">
      <c r="AD960" s="4"/>
    </row>
    <row r="961" spans="30:30">
      <c r="AD961" s="4"/>
    </row>
    <row r="962" spans="30:30">
      <c r="AD962" s="4"/>
    </row>
    <row r="963" spans="30:30">
      <c r="AD963" s="4"/>
    </row>
    <row r="964" spans="30:30">
      <c r="AD964" s="4"/>
    </row>
    <row r="965" spans="30:30">
      <c r="AD965" s="4"/>
    </row>
    <row r="966" spans="30:30">
      <c r="AD966" s="4"/>
    </row>
    <row r="967" spans="30:30">
      <c r="AD967" s="4"/>
    </row>
    <row r="968" spans="30:30">
      <c r="AD968" s="4"/>
    </row>
    <row r="969" spans="30:30">
      <c r="AD969" s="4"/>
    </row>
    <row r="970" spans="30:30">
      <c r="AD970" s="4"/>
    </row>
    <row r="971" spans="30:30">
      <c r="AD971" s="4"/>
    </row>
    <row r="972" spans="30:30">
      <c r="AD972" s="4"/>
    </row>
    <row r="973" spans="30:30">
      <c r="AD973" s="4"/>
    </row>
    <row r="974" spans="30:30">
      <c r="AD974" s="4"/>
    </row>
    <row r="975" spans="30:30">
      <c r="AD975" s="4"/>
    </row>
    <row r="976" spans="30:30">
      <c r="AD976" s="4"/>
    </row>
    <row r="977" spans="30:30">
      <c r="AD977" s="4"/>
    </row>
    <row r="978" spans="30:30">
      <c r="AD978" s="4"/>
    </row>
    <row r="979" spans="30:30">
      <c r="AD979" s="4"/>
    </row>
    <row r="980" spans="30:30">
      <c r="AD980" s="4"/>
    </row>
    <row r="981" spans="30:30">
      <c r="AD981" s="4"/>
    </row>
    <row r="982" spans="30:30">
      <c r="AD982" s="4"/>
    </row>
    <row r="983" spans="30:30">
      <c r="AD983" s="4"/>
    </row>
    <row r="984" spans="30:30">
      <c r="AD984" s="4"/>
    </row>
    <row r="985" spans="30:30">
      <c r="AD985" s="4"/>
    </row>
    <row r="986" spans="30:30">
      <c r="AD986" s="4"/>
    </row>
    <row r="987" spans="30:30">
      <c r="AD987" s="4"/>
    </row>
    <row r="988" spans="30:30">
      <c r="AD988" s="4"/>
    </row>
    <row r="989" spans="30:30">
      <c r="AD989" s="4"/>
    </row>
    <row r="990" spans="30:30">
      <c r="AD990" s="4"/>
    </row>
    <row r="991" spans="30:30">
      <c r="AD991" s="4"/>
    </row>
    <row r="992" spans="30:30">
      <c r="AD992" s="4"/>
    </row>
    <row r="993" spans="30:30">
      <c r="AD993" s="4"/>
    </row>
    <row r="994" spans="30:30">
      <c r="AD994" s="4"/>
    </row>
    <row r="995" spans="30:30">
      <c r="AD995" s="4"/>
    </row>
    <row r="996" spans="30:30">
      <c r="AD996" s="4"/>
    </row>
    <row r="997" spans="30:30">
      <c r="AD997" s="4"/>
    </row>
    <row r="998" spans="30:30">
      <c r="AD998" s="4"/>
    </row>
    <row r="999" spans="30:30">
      <c r="AD999" s="4"/>
    </row>
    <row r="1000" spans="30:30">
      <c r="AD1000" s="4"/>
    </row>
    <row r="1001" spans="30:30">
      <c r="AD1001" s="4"/>
    </row>
    <row r="1002" spans="30:30">
      <c r="AD1002" s="4"/>
    </row>
    <row r="1003" spans="30:30">
      <c r="AD1003" s="4"/>
    </row>
    <row r="1004" spans="30:30">
      <c r="AD1004" s="4"/>
    </row>
    <row r="1005" spans="30:30">
      <c r="AD1005" s="4"/>
    </row>
    <row r="1006" spans="30:30">
      <c r="AD1006" s="4"/>
    </row>
    <row r="1007" spans="30:30">
      <c r="AD1007" s="4"/>
    </row>
    <row r="1008" spans="30:30">
      <c r="AD1008" s="4"/>
    </row>
    <row r="1009" spans="30:30">
      <c r="AD1009" s="4"/>
    </row>
    <row r="1010" spans="30:30">
      <c r="AD1010" s="4"/>
    </row>
    <row r="1011" spans="30:30">
      <c r="AD1011" s="4"/>
    </row>
    <row r="1012" spans="30:30">
      <c r="AD1012" s="4"/>
    </row>
    <row r="1013" spans="30:30">
      <c r="AD1013" s="4"/>
    </row>
    <row r="1014" spans="30:30">
      <c r="AD1014" s="4"/>
    </row>
    <row r="1015" spans="30:30">
      <c r="AD1015" s="4"/>
    </row>
    <row r="1016" spans="30:30">
      <c r="AD1016" s="4"/>
    </row>
    <row r="1017" spans="30:30">
      <c r="AD1017" s="4"/>
    </row>
    <row r="1018" spans="30:30">
      <c r="AD1018" s="4"/>
    </row>
    <row r="1019" spans="30:30">
      <c r="AD1019" s="4"/>
    </row>
    <row r="1020" spans="30:30">
      <c r="AD1020" s="4"/>
    </row>
    <row r="1021" spans="30:30">
      <c r="AD1021" s="4"/>
    </row>
    <row r="1022" spans="30:30">
      <c r="AD1022" s="4"/>
    </row>
    <row r="1023" spans="30:30">
      <c r="AD1023" s="4"/>
    </row>
    <row r="1024" spans="30:30">
      <c r="AD1024" s="4"/>
    </row>
    <row r="1025" spans="30:30">
      <c r="AD1025" s="4"/>
    </row>
    <row r="1026" spans="30:30">
      <c r="AD1026" s="4"/>
    </row>
    <row r="1027" spans="30:30">
      <c r="AD1027" s="4"/>
    </row>
    <row r="1028" spans="30:30">
      <c r="AD1028" s="4"/>
    </row>
    <row r="1029" spans="30:30">
      <c r="AD1029" s="4"/>
    </row>
    <row r="1030" spans="30:30">
      <c r="AD1030" s="4"/>
    </row>
    <row r="1031" spans="30:30">
      <c r="AD1031" s="4"/>
    </row>
    <row r="1032" spans="30:30">
      <c r="AD1032" s="4"/>
    </row>
    <row r="1033" spans="30:30">
      <c r="AD1033" s="4"/>
    </row>
    <row r="1034" spans="30:30">
      <c r="AD1034" s="4"/>
    </row>
    <row r="1035" spans="30:30">
      <c r="AD1035" s="4"/>
    </row>
    <row r="1036" spans="30:30">
      <c r="AD1036" s="4"/>
    </row>
    <row r="1037" spans="30:30">
      <c r="AD1037" s="4"/>
    </row>
    <row r="1038" spans="30:30">
      <c r="AD1038" s="4"/>
    </row>
    <row r="1039" spans="30:30">
      <c r="AD1039" s="4"/>
    </row>
    <row r="1040" spans="30:30">
      <c r="AD1040" s="4"/>
    </row>
    <row r="1041" spans="30:30">
      <c r="AD1041" s="4"/>
    </row>
    <row r="1042" spans="30:30">
      <c r="AD1042" s="4"/>
    </row>
    <row r="1043" spans="30:30">
      <c r="AD1043" s="4"/>
    </row>
    <row r="1044" spans="30:30">
      <c r="AD1044" s="4"/>
    </row>
    <row r="1045" spans="30:30">
      <c r="AD1045" s="4"/>
    </row>
    <row r="1046" spans="30:30">
      <c r="AD1046" s="4"/>
    </row>
    <row r="1047" spans="30:30">
      <c r="AD1047" s="4"/>
    </row>
    <row r="1048" spans="30:30">
      <c r="AD1048" s="4"/>
    </row>
    <row r="1049" spans="30:30">
      <c r="AD1049" s="4"/>
    </row>
    <row r="1050" spans="30:30">
      <c r="AD1050" s="4"/>
    </row>
    <row r="1051" spans="30:30">
      <c r="AD1051" s="4"/>
    </row>
    <row r="1052" spans="30:30">
      <c r="AD1052" s="4"/>
    </row>
    <row r="1053" spans="30:30">
      <c r="AD1053" s="4"/>
    </row>
    <row r="1054" spans="30:30">
      <c r="AD1054" s="4"/>
    </row>
    <row r="1055" spans="30:30">
      <c r="AD1055" s="4"/>
    </row>
    <row r="1056" spans="30:30">
      <c r="AD1056" s="4"/>
    </row>
    <row r="1057" spans="30:30">
      <c r="AD1057" s="4"/>
    </row>
    <row r="1058" spans="30:30">
      <c r="AD1058" s="4"/>
    </row>
    <row r="1059" spans="30:30">
      <c r="AD1059" s="4"/>
    </row>
    <row r="1060" spans="30:30">
      <c r="AD1060" s="4"/>
    </row>
    <row r="1061" spans="30:30">
      <c r="AD1061" s="4"/>
    </row>
    <row r="1062" spans="30:30">
      <c r="AD1062" s="4"/>
    </row>
    <row r="1063" spans="30:30">
      <c r="AD1063" s="4"/>
    </row>
    <row r="1064" spans="30:30">
      <c r="AD1064" s="4"/>
    </row>
    <row r="1065" spans="30:30">
      <c r="AD1065" s="4"/>
    </row>
    <row r="1066" spans="30:30">
      <c r="AD1066" s="4"/>
    </row>
    <row r="1067" spans="30:30">
      <c r="AD1067" s="4"/>
    </row>
    <row r="1068" spans="30:30">
      <c r="AD1068" s="4"/>
    </row>
    <row r="1069" spans="30:30">
      <c r="AD1069" s="4"/>
    </row>
    <row r="1070" spans="30:30">
      <c r="AD1070" s="4"/>
    </row>
    <row r="1071" spans="30:30">
      <c r="AD1071" s="4"/>
    </row>
    <row r="1072" spans="30:30">
      <c r="AD1072" s="4"/>
    </row>
    <row r="1073" spans="30:30">
      <c r="AD1073" s="4"/>
    </row>
    <row r="1074" spans="30:30">
      <c r="AD1074" s="4"/>
    </row>
    <row r="1075" spans="30:30">
      <c r="AD1075" s="4"/>
    </row>
    <row r="1076" spans="30:30">
      <c r="AD1076" s="4"/>
    </row>
    <row r="1077" spans="30:30">
      <c r="AD1077" s="4"/>
    </row>
    <row r="1078" spans="30:30">
      <c r="AD1078" s="4"/>
    </row>
    <row r="1079" spans="30:30">
      <c r="AD1079" s="4"/>
    </row>
    <row r="1080" spans="30:30">
      <c r="AD1080" s="4"/>
    </row>
    <row r="1081" spans="30:30">
      <c r="AD1081" s="4"/>
    </row>
    <row r="1082" spans="30:30">
      <c r="AD1082" s="4"/>
    </row>
    <row r="1083" spans="30:30">
      <c r="AD1083" s="4"/>
    </row>
    <row r="1084" spans="30:30">
      <c r="AD1084" s="4"/>
    </row>
    <row r="1085" spans="30:30">
      <c r="AD1085" s="4"/>
    </row>
    <row r="1086" spans="30:30">
      <c r="AD1086" s="4"/>
    </row>
    <row r="1087" spans="30:30">
      <c r="AD1087" s="4"/>
    </row>
    <row r="1088" spans="30:30">
      <c r="AD1088" s="4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B822D-0990-4ADE-85EF-160CA75682C3}">
  <sheetPr>
    <tabColor rgb="FFC5E4ED"/>
  </sheetPr>
  <dimension ref="A1:AB42"/>
  <sheetViews>
    <sheetView workbookViewId="0"/>
  </sheetViews>
  <sheetFormatPr baseColWidth="10" defaultColWidth="9.1640625" defaultRowHeight="12"/>
  <cols>
    <col min="1" max="1" width="2.5" style="4" customWidth="1"/>
    <col min="2" max="2" width="49.83203125" style="4" customWidth="1"/>
    <col min="3" max="7" width="11" style="109" customWidth="1"/>
    <col min="8" max="28" width="11" style="4" customWidth="1"/>
    <col min="29" max="16384" width="9.1640625" style="4"/>
  </cols>
  <sheetData>
    <row r="1" spans="1:28">
      <c r="A1" s="109"/>
      <c r="B1" s="109"/>
    </row>
    <row r="2" spans="1:28">
      <c r="B2" s="84"/>
    </row>
    <row r="3" spans="1:28" ht="15" thickBot="1">
      <c r="A3" s="5"/>
      <c r="B3" s="81" t="s">
        <v>179</v>
      </c>
      <c r="C3" s="82"/>
      <c r="D3" s="82"/>
      <c r="E3" s="82"/>
      <c r="F3" s="82"/>
      <c r="G3" s="8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>
      <c r="B4" s="84"/>
    </row>
    <row r="5" spans="1:28" ht="13" thickBot="1">
      <c r="B5" s="85" t="s">
        <v>180</v>
      </c>
      <c r="C5" s="122">
        <f>+'BS"A"'!D5</f>
        <v>43100</v>
      </c>
      <c r="D5" s="122">
        <f>+'BS"A"'!E5</f>
        <v>43465</v>
      </c>
      <c r="E5" s="122">
        <f>+'BS"A"'!F5</f>
        <v>43830</v>
      </c>
      <c r="F5" s="122">
        <f>+'BS"A"'!G5</f>
        <v>44196</v>
      </c>
      <c r="G5" s="157">
        <f>+'BS"A"'!H5</f>
        <v>44561</v>
      </c>
      <c r="H5" s="87">
        <f>+'BS"A"'!I5</f>
        <v>44926</v>
      </c>
      <c r="I5" s="87">
        <f>+'BS"A"'!J5</f>
        <v>45291</v>
      </c>
      <c r="J5" s="87">
        <f>+'BS"A"'!K5</f>
        <v>45657</v>
      </c>
      <c r="K5" s="87">
        <f>+'BS"A"'!L5</f>
        <v>46022</v>
      </c>
      <c r="L5" s="87">
        <f>+'BS"A"'!M5</f>
        <v>46387</v>
      </c>
      <c r="M5" s="87">
        <f>+'BS"A"'!N5</f>
        <v>46752</v>
      </c>
      <c r="N5" s="87">
        <f>+'BS"A"'!O5</f>
        <v>47118</v>
      </c>
      <c r="O5" s="87">
        <f>+'BS"A"'!P5</f>
        <v>47483</v>
      </c>
      <c r="P5" s="87">
        <f>+'BS"A"'!Q5</f>
        <v>47848</v>
      </c>
      <c r="Q5" s="87">
        <f>+'BS"A"'!R5</f>
        <v>48213</v>
      </c>
      <c r="R5" s="87">
        <f>+'BS"A"'!S5</f>
        <v>48579</v>
      </c>
      <c r="S5" s="87">
        <f>+'BS"A"'!T5</f>
        <v>48944</v>
      </c>
      <c r="T5" s="87">
        <f>+'BS"A"'!U5</f>
        <v>49309</v>
      </c>
      <c r="U5" s="87">
        <f>+'BS"A"'!V5</f>
        <v>49674</v>
      </c>
      <c r="V5" s="87">
        <f>+'BS"A"'!W5</f>
        <v>50040</v>
      </c>
      <c r="W5" s="87">
        <f>+'BS"A"'!X5</f>
        <v>50405</v>
      </c>
      <c r="X5" s="87">
        <f>+'BS"A"'!Y5</f>
        <v>50770</v>
      </c>
      <c r="Y5" s="87">
        <f>+'BS"A"'!Z5</f>
        <v>51135</v>
      </c>
      <c r="Z5" s="87">
        <f>+'BS"A"'!AA5</f>
        <v>51501</v>
      </c>
      <c r="AA5" s="87">
        <f>+'BS"A"'!AB5</f>
        <v>51866</v>
      </c>
      <c r="AB5" s="87">
        <f>+'BS"A"'!AC5</f>
        <v>52231</v>
      </c>
    </row>
    <row r="6" spans="1:28">
      <c r="B6" s="123" t="s">
        <v>181</v>
      </c>
      <c r="C6" s="124">
        <f>'BS"A"'!C41</f>
        <v>1103209.6299999999</v>
      </c>
      <c r="D6" s="124">
        <f>'BS"A"'!D41</f>
        <v>1026010.44</v>
      </c>
      <c r="E6" s="124">
        <f>'BS"A"'!E41</f>
        <v>2648084.48</v>
      </c>
      <c r="F6" s="124">
        <f>'BS"A"'!F41</f>
        <v>10179491.35</v>
      </c>
      <c r="G6" s="158">
        <f>'BS"A"'!G41</f>
        <v>11017552.380000001</v>
      </c>
      <c r="H6" s="125">
        <f>'BS"A"'!H41</f>
        <v>28459962.109999999</v>
      </c>
      <c r="I6" s="125">
        <f>'BS"A"'!I41</f>
        <v>28459962.109999999</v>
      </c>
      <c r="J6" s="125">
        <f>'BS"A"'!J41</f>
        <v>28435962.945164308</v>
      </c>
      <c r="K6" s="125">
        <f>'BS"A"'!K41</f>
        <v>28792172.218507722</v>
      </c>
      <c r="L6" s="125">
        <f>'BS"A"'!L41</f>
        <v>29932813.979555443</v>
      </c>
      <c r="M6" s="125">
        <f>'BS"A"'!M41</f>
        <v>31635612.915891916</v>
      </c>
      <c r="N6" s="125">
        <f>'BS"A"'!N41</f>
        <v>33892675.632689476</v>
      </c>
      <c r="O6" s="125">
        <f>'BS"A"'!O41</f>
        <v>37543648.91709131</v>
      </c>
      <c r="P6" s="125">
        <f>'BS"A"'!P41</f>
        <v>42642354.564041048</v>
      </c>
      <c r="Q6" s="125">
        <f>'BS"A"'!Q41</f>
        <v>49120352.761878364</v>
      </c>
      <c r="R6" s="125">
        <f>'BS"A"'!R41</f>
        <v>55727075.754977904</v>
      </c>
      <c r="S6" s="125">
        <f>'BS"A"'!S41</f>
        <v>62464661.815467611</v>
      </c>
      <c r="T6" s="125">
        <f>'BS"A"'!T41</f>
        <v>69332884.771519303</v>
      </c>
      <c r="U6" s="125">
        <f>'BS"A"'!U41</f>
        <v>76331190.943383932</v>
      </c>
      <c r="V6" s="125">
        <f>'BS"A"'!V41</f>
        <v>83459307.333948404</v>
      </c>
      <c r="W6" s="125">
        <f>'BS"A"'!W41</f>
        <v>59296760.803805709</v>
      </c>
      <c r="X6" s="125">
        <f>'BS"A"'!X41</f>
        <v>34547737.438398562</v>
      </c>
      <c r="Y6" s="125">
        <f>'BS"A"'!Y41</f>
        <v>9688521.4149215594</v>
      </c>
      <c r="Z6" s="125">
        <f>'BS"A"'!Z41</f>
        <v>-15283031.901822709</v>
      </c>
      <c r="AA6" s="125">
        <f>'BS"A"'!AA41</f>
        <v>-40369110.039735824</v>
      </c>
      <c r="AB6" s="125">
        <f>'BS"A"'!AB41</f>
        <v>-65571944.27727662</v>
      </c>
    </row>
    <row r="7" spans="1:28" ht="13">
      <c r="B7" s="126" t="s">
        <v>182</v>
      </c>
      <c r="C7" s="101">
        <f>'PL"A"'!D56</f>
        <v>-17324591.070000004</v>
      </c>
      <c r="D7" s="101">
        <f>'PL"A"'!E56</f>
        <v>2386280.3899999973</v>
      </c>
      <c r="E7" s="101">
        <f>'PL"A"'!F56</f>
        <v>-275878.95999998442</v>
      </c>
      <c r="F7" s="101">
        <f>'PL"A"'!G56</f>
        <v>-25078723.750000004</v>
      </c>
      <c r="G7" s="153">
        <f>'BS"A"'!H59</f>
        <v>-19407468.259999931</v>
      </c>
      <c r="H7" s="102">
        <f>'PL"A"'!I56</f>
        <v>-49921769.758126236</v>
      </c>
      <c r="I7" s="102">
        <f>'PL"A"'!J56</f>
        <v>-50228211.327922381</v>
      </c>
      <c r="J7" s="102">
        <f>'PL"A"'!K56</f>
        <v>-53008400.073576719</v>
      </c>
      <c r="K7" s="102">
        <f>'PL"A"'!L56</f>
        <v>-54592611.667923182</v>
      </c>
      <c r="L7" s="102">
        <f>'PL"A"'!M56</f>
        <v>-60825075.920034438</v>
      </c>
      <c r="M7" s="102">
        <f>'PL"A"'!N56</f>
        <v>-59697361.780353814</v>
      </c>
      <c r="N7" s="102">
        <f>'PL"A"'!O56</f>
        <v>-59101780.144131541</v>
      </c>
      <c r="O7" s="102">
        <f>'PL"A"'!P56</f>
        <v>-65827743.589300014</v>
      </c>
      <c r="P7" s="102">
        <f>'PL"A"'!Q56</f>
        <v>-59820833.800317883</v>
      </c>
      <c r="Q7" s="102">
        <f>'PL"A"'!R56</f>
        <v>-57560394.498564228</v>
      </c>
      <c r="R7" s="102">
        <f>'PL"A"'!S56</f>
        <v>-56723734.063596085</v>
      </c>
      <c r="S7" s="102">
        <f>'PL"A"'!T56</f>
        <v>-48530282.694537245</v>
      </c>
      <c r="T7" s="102">
        <f>'PL"A"'!U56</f>
        <v>-48240947.860013597</v>
      </c>
      <c r="U7" s="102">
        <f>'PL"A"'!V56</f>
        <v>-47962067.537017129</v>
      </c>
      <c r="V7" s="102">
        <f>'PL"A"'!W56</f>
        <v>-39715865.717979029</v>
      </c>
      <c r="W7" s="102">
        <f>'PL"A"'!X56</f>
        <v>-39752846.370700471</v>
      </c>
      <c r="X7" s="102">
        <f>'PL"A"'!Y56</f>
        <v>-39166523.478512324</v>
      </c>
      <c r="Y7" s="102">
        <f>'PL"A"'!Z56</f>
        <v>-38275649.309316374</v>
      </c>
      <c r="Z7" s="102">
        <f>'PL"A"'!AA56</f>
        <v>-38314712.243172511</v>
      </c>
      <c r="AA7" s="102">
        <f>'PL"A"'!AB56</f>
        <v>-38354497.217741728</v>
      </c>
      <c r="AB7" s="102">
        <f>'PL"A"'!AC56</f>
        <v>-38395018.673838325</v>
      </c>
    </row>
    <row r="8" spans="1:28">
      <c r="B8" s="127" t="s">
        <v>183</v>
      </c>
      <c r="C8" s="128">
        <f t="shared" ref="C8:U8" si="0">SUM(C9:C13)</f>
        <v>1191299.96</v>
      </c>
      <c r="D8" s="128">
        <f t="shared" si="0"/>
        <v>5035204.17</v>
      </c>
      <c r="E8" s="128">
        <f t="shared" si="0"/>
        <v>3655196.65</v>
      </c>
      <c r="F8" s="128">
        <f t="shared" si="0"/>
        <v>20986746.999999996</v>
      </c>
      <c r="G8" s="159">
        <f t="shared" si="0"/>
        <v>13896113.980000002</v>
      </c>
      <c r="H8" s="129">
        <f t="shared" si="0"/>
        <v>4693885.9914500015</v>
      </c>
      <c r="I8" s="129">
        <f t="shared" si="0"/>
        <v>5336991.5588748725</v>
      </c>
      <c r="J8" s="129">
        <f t="shared" si="0"/>
        <v>8666470.2187966388</v>
      </c>
      <c r="K8" s="129">
        <f t="shared" si="0"/>
        <v>13360944.863463392</v>
      </c>
      <c r="L8" s="129">
        <f t="shared" si="0"/>
        <v>22692548.664278012</v>
      </c>
      <c r="M8" s="129">
        <f t="shared" si="0"/>
        <v>24698726.737707756</v>
      </c>
      <c r="N8" s="129">
        <f t="shared" si="0"/>
        <v>29714171.921282116</v>
      </c>
      <c r="O8" s="129">
        <f t="shared" si="0"/>
        <v>40713178.406378992</v>
      </c>
      <c r="P8" s="129">
        <f t="shared" si="0"/>
        <v>40005027.422713846</v>
      </c>
      <c r="Q8" s="129">
        <f t="shared" si="0"/>
        <v>38283445.772775374</v>
      </c>
      <c r="R8" s="129">
        <f t="shared" si="0"/>
        <v>37992896.75188908</v>
      </c>
      <c r="S8" s="129">
        <f t="shared" si="0"/>
        <v>30343554.751390357</v>
      </c>
      <c r="T8" s="129">
        <f t="shared" si="0"/>
        <v>30591218.678589668</v>
      </c>
      <c r="U8" s="129">
        <f t="shared" si="0"/>
        <v>30843835.884332959</v>
      </c>
      <c r="V8" s="129">
        <f t="shared" ref="V8:AB8" si="1">SUM(V9:V13)</f>
        <v>20448519.600921445</v>
      </c>
      <c r="W8" s="129">
        <f t="shared" si="1"/>
        <v>20482539.355441924</v>
      </c>
      <c r="X8" s="129">
        <f t="shared" si="1"/>
        <v>19893255.565052822</v>
      </c>
      <c r="Y8" s="129">
        <f t="shared" si="1"/>
        <v>18999420.497655917</v>
      </c>
      <c r="Z8" s="129">
        <f t="shared" si="1"/>
        <v>19035522.533311088</v>
      </c>
      <c r="AA8" s="129">
        <f t="shared" si="1"/>
        <v>19072346.609679356</v>
      </c>
      <c r="AB8" s="129">
        <f t="shared" si="1"/>
        <v>19109907.167574994</v>
      </c>
    </row>
    <row r="9" spans="1:28" ht="13">
      <c r="B9" s="130" t="s">
        <v>26</v>
      </c>
      <c r="C9" s="131">
        <f>'PL"A"'!D23</f>
        <v>3137294.2</v>
      </c>
      <c r="D9" s="131">
        <f>'PL"A"'!E23</f>
        <v>3230372.16</v>
      </c>
      <c r="E9" s="131">
        <f>'PL"A"'!F23</f>
        <v>3423404.12</v>
      </c>
      <c r="F9" s="131">
        <f>'PL"A"'!G23</f>
        <v>3970695.57</v>
      </c>
      <c r="G9" s="160">
        <f>'PL"A"'!H23</f>
        <v>4445128.2300000004</v>
      </c>
      <c r="H9" s="132">
        <f>'PL"A"'!I23</f>
        <v>4576757.6347500011</v>
      </c>
      <c r="I9" s="132">
        <f>'PL"A"'!J23</f>
        <v>5219863.2021748722</v>
      </c>
      <c r="J9" s="132">
        <f>'PL"A"'!K23</f>
        <v>8549341.8620966394</v>
      </c>
      <c r="K9" s="132">
        <f>'PL"A"'!L23</f>
        <v>13243816.506763393</v>
      </c>
      <c r="L9" s="132">
        <f>'PL"A"'!M23</f>
        <v>22575420.307578012</v>
      </c>
      <c r="M9" s="132">
        <f>'PL"A"'!N23</f>
        <v>24581598.381007757</v>
      </c>
      <c r="N9" s="132">
        <f>'PL"A"'!O23</f>
        <v>29597043.564582117</v>
      </c>
      <c r="O9" s="132">
        <f>'PL"A"'!P23</f>
        <v>40596050.049678989</v>
      </c>
      <c r="P9" s="132">
        <f>'PL"A"'!Q23</f>
        <v>39887899.066013843</v>
      </c>
      <c r="Q9" s="132">
        <f>'PL"A"'!R23</f>
        <v>38166317.416075371</v>
      </c>
      <c r="R9" s="132">
        <f>'PL"A"'!S23</f>
        <v>37875768.395189077</v>
      </c>
      <c r="S9" s="132">
        <f>'PL"A"'!T23</f>
        <v>30226426.394690357</v>
      </c>
      <c r="T9" s="132">
        <f>'PL"A"'!U23</f>
        <v>30474090.321889669</v>
      </c>
      <c r="U9" s="132">
        <f>'PL"A"'!V23</f>
        <v>30726707.527632959</v>
      </c>
      <c r="V9" s="132">
        <f>'PL"A"'!W23</f>
        <v>20331391.244221445</v>
      </c>
      <c r="W9" s="132">
        <f>'PL"A"'!X23</f>
        <v>20365410.998741925</v>
      </c>
      <c r="X9" s="132">
        <f>'PL"A"'!Y23</f>
        <v>19776127.208352823</v>
      </c>
      <c r="Y9" s="132">
        <f>'PL"A"'!Z23</f>
        <v>18882292.140955918</v>
      </c>
      <c r="Z9" s="132">
        <f>'PL"A"'!AA23</f>
        <v>18918394.176611088</v>
      </c>
      <c r="AA9" s="132">
        <f>'PL"A"'!AB23</f>
        <v>18955218.252979357</v>
      </c>
      <c r="AB9" s="132">
        <f>'PL"A"'!AC23</f>
        <v>18992778.810874995</v>
      </c>
    </row>
    <row r="10" spans="1:28" ht="11.25" customHeight="1">
      <c r="B10" s="130" t="s">
        <v>184</v>
      </c>
      <c r="C10" s="98">
        <f>'BS"A"'!D61-'BS"A"'!C61</f>
        <v>-2046758.1800000002</v>
      </c>
      <c r="D10" s="98">
        <f>'BS"A"'!E61-'BS"A"'!D61</f>
        <v>1699394.6600000001</v>
      </c>
      <c r="E10" s="98">
        <f>'BS"A"'!F61-'BS"A"'!E61</f>
        <v>411700.62999999989</v>
      </c>
      <c r="F10" s="98">
        <f>'BS"A"'!G61-'BS"A"'!F61</f>
        <v>16906589.339999996</v>
      </c>
      <c r="G10" s="152">
        <f>'BS"A"'!H61-'BS"A"'!G61</f>
        <v>9336400.5600000024</v>
      </c>
      <c r="H10" s="92">
        <f>'BS"A"'!I61-'BS"A"'!H61</f>
        <v>0</v>
      </c>
      <c r="I10" s="92">
        <f>'BS"A"'!J61-'BS"A"'!I61</f>
        <v>0</v>
      </c>
      <c r="J10" s="92">
        <f>'BS"A"'!K61-'BS"A"'!J61</f>
        <v>0</v>
      </c>
      <c r="K10" s="92">
        <f>'BS"A"'!L61-'BS"A"'!K61</f>
        <v>0</v>
      </c>
      <c r="L10" s="92">
        <f>'BS"A"'!M61-'BS"A"'!L61</f>
        <v>0</v>
      </c>
      <c r="M10" s="92">
        <f>'BS"A"'!N61-'BS"A"'!M61</f>
        <v>0</v>
      </c>
      <c r="N10" s="92">
        <f>'BS"A"'!O61-'BS"A"'!N61</f>
        <v>0</v>
      </c>
      <c r="O10" s="92">
        <f>'BS"A"'!P61-'BS"A"'!O61</f>
        <v>0</v>
      </c>
      <c r="P10" s="92">
        <f>'BS"A"'!Q61-'BS"A"'!P61</f>
        <v>0</v>
      </c>
      <c r="Q10" s="92">
        <f>'BS"A"'!R61-'BS"A"'!Q61</f>
        <v>0</v>
      </c>
      <c r="R10" s="92">
        <f>'BS"A"'!S61-'BS"A"'!R61</f>
        <v>0</v>
      </c>
      <c r="S10" s="92">
        <f>'BS"A"'!T61-'BS"A"'!S61</f>
        <v>0</v>
      </c>
      <c r="T10" s="92">
        <f>'BS"A"'!U61-'BS"A"'!T61</f>
        <v>0</v>
      </c>
      <c r="U10" s="92">
        <f>'BS"A"'!V61-'BS"A"'!U61</f>
        <v>0</v>
      </c>
      <c r="V10" s="92">
        <f>'BS"A"'!W61-'BS"A"'!V61</f>
        <v>0</v>
      </c>
      <c r="W10" s="92">
        <f>'BS"A"'!X61-'BS"A"'!W61</f>
        <v>0</v>
      </c>
      <c r="X10" s="92">
        <f>'BS"A"'!Y61-'BS"A"'!X61</f>
        <v>0</v>
      </c>
      <c r="Y10" s="92">
        <f>'BS"A"'!Z61-'BS"A"'!Y61</f>
        <v>0</v>
      </c>
      <c r="Z10" s="92">
        <f>'BS"A"'!AA61-'BS"A"'!Z61</f>
        <v>0</v>
      </c>
      <c r="AA10" s="92">
        <f>'BS"A"'!AB61-'BS"A"'!AA61</f>
        <v>0</v>
      </c>
      <c r="AB10" s="92">
        <f>'BS"A"'!AC61-'BS"A"'!AB61</f>
        <v>0</v>
      </c>
    </row>
    <row r="11" spans="1:28" ht="13">
      <c r="B11" s="130" t="s">
        <v>185</v>
      </c>
      <c r="C11" s="98">
        <f>'PL"A"'!D27-'PL"A"'!D24</f>
        <v>-2993.8</v>
      </c>
      <c r="D11" s="98">
        <f>'PL"A"'!E27-'PL"A"'!E24</f>
        <v>0</v>
      </c>
      <c r="E11" s="98">
        <f>'PL"A"'!F27-'PL"A"'!F24</f>
        <v>-289400</v>
      </c>
      <c r="F11" s="98">
        <f>'PL"A"'!G27-'PL"A"'!G24</f>
        <v>-4621.63</v>
      </c>
      <c r="G11" s="152">
        <f>'PL"A"'!H27-'PL"A"'!H24</f>
        <v>0</v>
      </c>
      <c r="H11" s="92">
        <f>'PL"A"'!I27-'PL"A"'!I24</f>
        <v>0</v>
      </c>
      <c r="I11" s="92">
        <f>'PL"A"'!J27-'PL"A"'!J24</f>
        <v>0</v>
      </c>
      <c r="J11" s="92">
        <f>'PL"A"'!K27-'PL"A"'!K24</f>
        <v>0</v>
      </c>
      <c r="K11" s="92">
        <f>'PL"A"'!L27-'PL"A"'!L24</f>
        <v>0</v>
      </c>
      <c r="L11" s="92">
        <f>'PL"A"'!M27-'PL"A"'!M24</f>
        <v>0</v>
      </c>
      <c r="M11" s="92">
        <f>'PL"A"'!N27-'PL"A"'!N24</f>
        <v>0</v>
      </c>
      <c r="N11" s="92">
        <f>'PL"A"'!O27-'PL"A"'!O24</f>
        <v>0</v>
      </c>
      <c r="O11" s="92">
        <f>'PL"A"'!P27-'PL"A"'!P24</f>
        <v>0</v>
      </c>
      <c r="P11" s="92">
        <f>'PL"A"'!Q27-'PL"A"'!Q24</f>
        <v>0</v>
      </c>
      <c r="Q11" s="92">
        <f>'PL"A"'!R27-'PL"A"'!R24</f>
        <v>0</v>
      </c>
      <c r="R11" s="92">
        <f>'PL"A"'!S27-'PL"A"'!S24</f>
        <v>0</v>
      </c>
      <c r="S11" s="92">
        <f>'PL"A"'!T27-'PL"A"'!T24</f>
        <v>0</v>
      </c>
      <c r="T11" s="92">
        <f>'PL"A"'!U27-'PL"A"'!U24</f>
        <v>0</v>
      </c>
      <c r="U11" s="92">
        <f>'PL"A"'!V27-'PL"A"'!V24</f>
        <v>0</v>
      </c>
      <c r="V11" s="92">
        <f>'PL"A"'!W27-'PL"A"'!W24</f>
        <v>0</v>
      </c>
      <c r="W11" s="92">
        <f>'PL"A"'!X27-'PL"A"'!X24</f>
        <v>0</v>
      </c>
      <c r="X11" s="92">
        <f>'PL"A"'!Y27-'PL"A"'!Y24</f>
        <v>0</v>
      </c>
      <c r="Y11" s="92">
        <f>'PL"A"'!Z27-'PL"A"'!Z24</f>
        <v>0</v>
      </c>
      <c r="Z11" s="92">
        <f>'PL"A"'!AA27-'PL"A"'!AA24</f>
        <v>0</v>
      </c>
      <c r="AA11" s="92">
        <f>'PL"A"'!AB27-'PL"A"'!AB24</f>
        <v>0</v>
      </c>
      <c r="AB11" s="92">
        <f>'PL"A"'!AC27-'PL"A"'!AC24</f>
        <v>0</v>
      </c>
    </row>
    <row r="12" spans="1:28" ht="13">
      <c r="B12" s="130" t="s">
        <v>186</v>
      </c>
      <c r="C12" s="98">
        <f>-'PL"A"'!D39</f>
        <v>0</v>
      </c>
      <c r="D12" s="98">
        <f>-'PL"A"'!E39</f>
        <v>0</v>
      </c>
      <c r="E12" s="98">
        <f>-'PL"A"'!F39</f>
        <v>0</v>
      </c>
      <c r="F12" s="98">
        <f>-'PL"A"'!G39</f>
        <v>0</v>
      </c>
      <c r="G12" s="152">
        <f>-'PL"A"'!H39</f>
        <v>0</v>
      </c>
      <c r="H12" s="92">
        <f>-'PL"A"'!I39</f>
        <v>0</v>
      </c>
      <c r="I12" s="92">
        <f>-'PL"A"'!J39</f>
        <v>0</v>
      </c>
      <c r="J12" s="92">
        <f>-'PL"A"'!K39</f>
        <v>0</v>
      </c>
      <c r="K12" s="92">
        <f>-'PL"A"'!L39</f>
        <v>0</v>
      </c>
      <c r="L12" s="92">
        <f>-'PL"A"'!M39</f>
        <v>0</v>
      </c>
      <c r="M12" s="92">
        <f>-'PL"A"'!N39</f>
        <v>0</v>
      </c>
      <c r="N12" s="92">
        <f>-'PL"A"'!O39</f>
        <v>0</v>
      </c>
      <c r="O12" s="92">
        <f>-'PL"A"'!P39</f>
        <v>0</v>
      </c>
      <c r="P12" s="92">
        <f>-'PL"A"'!Q39</f>
        <v>0</v>
      </c>
      <c r="Q12" s="92">
        <f>-'PL"A"'!R39</f>
        <v>0</v>
      </c>
      <c r="R12" s="92">
        <f>-'PL"A"'!S39</f>
        <v>0</v>
      </c>
      <c r="S12" s="92">
        <f>-'PL"A"'!T39</f>
        <v>0</v>
      </c>
      <c r="T12" s="92">
        <f>-'PL"A"'!U39</f>
        <v>0</v>
      </c>
      <c r="U12" s="92">
        <f>-'PL"A"'!V39</f>
        <v>0</v>
      </c>
      <c r="V12" s="92">
        <f>-'PL"A"'!W39</f>
        <v>0</v>
      </c>
      <c r="W12" s="92">
        <f>-'PL"A"'!X39</f>
        <v>0</v>
      </c>
      <c r="X12" s="92">
        <f>-'PL"A"'!Y39</f>
        <v>0</v>
      </c>
      <c r="Y12" s="92">
        <f>-'PL"A"'!Z39</f>
        <v>0</v>
      </c>
      <c r="Z12" s="92">
        <f>-'PL"A"'!AA39</f>
        <v>0</v>
      </c>
      <c r="AA12" s="92">
        <f>-'PL"A"'!AB39</f>
        <v>0</v>
      </c>
      <c r="AB12" s="92">
        <f>-'PL"A"'!AC39</f>
        <v>0</v>
      </c>
    </row>
    <row r="13" spans="1:28" ht="13">
      <c r="B13" s="130" t="s">
        <v>187</v>
      </c>
      <c r="C13" s="98">
        <f>'PL"A"'!D41-'PL"A"'!D40+'PL"A"'!D43-'PL"A"'!D42</f>
        <v>103757.74</v>
      </c>
      <c r="D13" s="98">
        <f>'PL"A"'!E41-'PL"A"'!E40+'PL"A"'!E43-'PL"A"'!E42</f>
        <v>105437.35</v>
      </c>
      <c r="E13" s="98">
        <f>'PL"A"'!F41-'PL"A"'!F40+'PL"A"'!F43-'PL"A"'!F42</f>
        <v>109491.90000000001</v>
      </c>
      <c r="F13" s="98">
        <f>'PL"A"'!G41-'PL"A"'!G40+'PL"A"'!G43-'PL"A"'!G42</f>
        <v>114083.72</v>
      </c>
      <c r="G13" s="152">
        <f>'PL"A"'!H41-'PL"A"'!H40+'PL"A"'!H43-'PL"A"'!H42</f>
        <v>114585.19</v>
      </c>
      <c r="H13" s="92">
        <f>'PL"A"'!I41-'PL"A"'!I40+'PL"A"'!I43-'PL"A"'!I42</f>
        <v>117128.3567</v>
      </c>
      <c r="I13" s="92">
        <f>'PL"A"'!J41-'PL"A"'!J40+'PL"A"'!J43-'PL"A"'!J42</f>
        <v>117128.3567</v>
      </c>
      <c r="J13" s="92">
        <f>'PL"A"'!K41-'PL"A"'!K40+'PL"A"'!K43-'PL"A"'!K42</f>
        <v>117128.3567</v>
      </c>
      <c r="K13" s="92">
        <f>'PL"A"'!L41-'PL"A"'!L40+'PL"A"'!L43-'PL"A"'!L42</f>
        <v>117128.3567</v>
      </c>
      <c r="L13" s="92">
        <f>'PL"A"'!M41-'PL"A"'!M40+'PL"A"'!M43-'PL"A"'!M42</f>
        <v>117128.3567</v>
      </c>
      <c r="M13" s="92">
        <f>'PL"A"'!N41-'PL"A"'!N40+'PL"A"'!N43-'PL"A"'!N42</f>
        <v>117128.3567</v>
      </c>
      <c r="N13" s="92">
        <f>'PL"A"'!O41-'PL"A"'!O40+'PL"A"'!O43-'PL"A"'!O42</f>
        <v>117128.3567</v>
      </c>
      <c r="O13" s="92">
        <f>'PL"A"'!P41-'PL"A"'!P40+'PL"A"'!P43-'PL"A"'!P42</f>
        <v>117128.3567</v>
      </c>
      <c r="P13" s="92">
        <f>'PL"A"'!Q41-'PL"A"'!Q40+'PL"A"'!Q43-'PL"A"'!Q42</f>
        <v>117128.3567</v>
      </c>
      <c r="Q13" s="92">
        <f>'PL"A"'!R41-'PL"A"'!R40+'PL"A"'!R43-'PL"A"'!R42</f>
        <v>117128.3567</v>
      </c>
      <c r="R13" s="92">
        <f>'PL"A"'!S41-'PL"A"'!S40+'PL"A"'!S43-'PL"A"'!S42</f>
        <v>117128.3567</v>
      </c>
      <c r="S13" s="92">
        <f>'PL"A"'!T41-'PL"A"'!T40+'PL"A"'!T43-'PL"A"'!T42</f>
        <v>117128.3567</v>
      </c>
      <c r="T13" s="92">
        <f>'PL"A"'!U41-'PL"A"'!U40+'PL"A"'!U43-'PL"A"'!U42</f>
        <v>117128.3567</v>
      </c>
      <c r="U13" s="92">
        <f>'PL"A"'!V41-'PL"A"'!V40+'PL"A"'!V43-'PL"A"'!V42</f>
        <v>117128.3567</v>
      </c>
      <c r="V13" s="92">
        <f>'PL"A"'!W41-'PL"A"'!W40+'PL"A"'!W43-'PL"A"'!W42</f>
        <v>117128.3567</v>
      </c>
      <c r="W13" s="92">
        <f>'PL"A"'!X41-'PL"A"'!X40+'PL"A"'!X43-'PL"A"'!X42</f>
        <v>117128.3567</v>
      </c>
      <c r="X13" s="92">
        <f>'PL"A"'!Y41-'PL"A"'!Y40+'PL"A"'!Y43-'PL"A"'!Y42</f>
        <v>117128.3567</v>
      </c>
      <c r="Y13" s="92">
        <f>'PL"A"'!Z41-'PL"A"'!Z40+'PL"A"'!Z43-'PL"A"'!Z42</f>
        <v>117128.3567</v>
      </c>
      <c r="Z13" s="92">
        <f>'PL"A"'!AA41-'PL"A"'!AA40+'PL"A"'!AA43-'PL"A"'!AA42</f>
        <v>117128.3567</v>
      </c>
      <c r="AA13" s="92">
        <f>'PL"A"'!AB41-'PL"A"'!AB40+'PL"A"'!AB43-'PL"A"'!AB42</f>
        <v>117128.3567</v>
      </c>
      <c r="AB13" s="92">
        <f>'PL"A"'!AC41-'PL"A"'!AC40+'PL"A"'!AC43-'PL"A"'!AC42</f>
        <v>117128.3567</v>
      </c>
    </row>
    <row r="14" spans="1:28">
      <c r="B14" s="127" t="s">
        <v>188</v>
      </c>
      <c r="C14" s="128">
        <f t="shared" ref="C14:E14" si="2">SUM(C15:C17)</f>
        <v>18429530.939999986</v>
      </c>
      <c r="D14" s="128">
        <f t="shared" si="2"/>
        <v>-4687985.8799999896</v>
      </c>
      <c r="E14" s="128">
        <f t="shared" si="2"/>
        <v>-14426099.500000004</v>
      </c>
      <c r="F14" s="128">
        <f t="shared" ref="F14:U14" si="3">SUM(F15:F17)</f>
        <v>7037602.4399999967</v>
      </c>
      <c r="G14" s="159">
        <f t="shared" si="3"/>
        <v>13735636.419999992</v>
      </c>
      <c r="H14" s="129">
        <f t="shared" si="3"/>
        <v>1552228.0418738658</v>
      </c>
      <c r="I14" s="129">
        <f t="shared" si="3"/>
        <v>-583716.46308111586</v>
      </c>
      <c r="J14" s="129">
        <f t="shared" si="3"/>
        <v>1925673.237188776</v>
      </c>
      <c r="K14" s="129">
        <f t="shared" si="3"/>
        <v>2636282.8053449895</v>
      </c>
      <c r="L14" s="129">
        <f t="shared" si="3"/>
        <v>1524096.8958552945</v>
      </c>
      <c r="M14" s="129">
        <f t="shared" si="3"/>
        <v>-850125.09062910639</v>
      </c>
      <c r="N14" s="129">
        <f t="shared" si="3"/>
        <v>-88712.018197754398</v>
      </c>
      <c r="O14" s="129">
        <f t="shared" si="3"/>
        <v>1672269.1788435662</v>
      </c>
      <c r="P14" s="129">
        <f t="shared" si="3"/>
        <v>-2357623.4333641725</v>
      </c>
      <c r="Q14" s="129">
        <f t="shared" si="3"/>
        <v>40984.960383605212</v>
      </c>
      <c r="R14" s="129">
        <f t="shared" si="3"/>
        <v>56880.537469528615</v>
      </c>
      <c r="S14" s="129">
        <f t="shared" si="3"/>
        <v>32273.609154692851</v>
      </c>
      <c r="T14" s="129">
        <f t="shared" si="3"/>
        <v>-16193.784423798323</v>
      </c>
      <c r="U14" s="129">
        <f t="shared" si="3"/>
        <v>-53274.055312695913</v>
      </c>
      <c r="V14" s="129">
        <f t="shared" ref="V14:AB14" si="4">SUM(V15:V17)</f>
        <v>478386.76072135102</v>
      </c>
      <c r="W14" s="129">
        <f t="shared" si="4"/>
        <v>0</v>
      </c>
      <c r="X14" s="129">
        <f t="shared" si="4"/>
        <v>0</v>
      </c>
      <c r="Y14" s="129">
        <f t="shared" si="4"/>
        <v>0</v>
      </c>
      <c r="Z14" s="129">
        <f t="shared" si="4"/>
        <v>0</v>
      </c>
      <c r="AA14" s="129">
        <f t="shared" si="4"/>
        <v>0</v>
      </c>
      <c r="AB14" s="129">
        <f t="shared" si="4"/>
        <v>0</v>
      </c>
    </row>
    <row r="15" spans="1:28" ht="13">
      <c r="B15" s="130" t="s">
        <v>189</v>
      </c>
      <c r="C15" s="98">
        <f>'BS"A"'!C28-'BS"A"'!D28+'BS"A"'!C31-'BS"A"'!D31+'BS"A"'!C32-'BS"A"'!D32+'BS"A"'!C34-'BS"A"'!D34+'BS"A"'!C37-'BS"A"'!D37+'BS"A"'!C38-'BS"A"'!D38+'BS"A"'!C39-'BS"A"'!D39+'BS"A"'!C40-'BS"A"'!D40+'BS"A"'!C42-'BS"A"'!D42</f>
        <v>-2051725.6800000023</v>
      </c>
      <c r="D15" s="98">
        <f>'BS"A"'!D28-'BS"A"'!E28+'BS"A"'!D31-'BS"A"'!E31+'BS"A"'!D32-'BS"A"'!E32+'BS"A"'!D34-'BS"A"'!E34+'BS"A"'!D37-'BS"A"'!E37+'BS"A"'!D38-'BS"A"'!E38+'BS"A"'!D39-'BS"A"'!E39+'BS"A"'!D40-'BS"A"'!E40+'BS"A"'!D42-'BS"A"'!E42</f>
        <v>937684.16000000143</v>
      </c>
      <c r="E15" s="98">
        <f>'BS"A"'!E28-'BS"A"'!F28+'BS"A"'!E31-'BS"A"'!F31+'BS"A"'!E32-'BS"A"'!F32+'BS"A"'!E34-'BS"A"'!F34+'BS"A"'!E37-'BS"A"'!F37+'BS"A"'!E38-'BS"A"'!F38+'BS"A"'!E39-'BS"A"'!F39+'BS"A"'!E40-'BS"A"'!F40+'BS"A"'!E42-'BS"A"'!F42</f>
        <v>1191663.3000000017</v>
      </c>
      <c r="F15" s="98">
        <f>'BS"A"'!F28-'BS"A"'!G28+'BS"A"'!F31-'BS"A"'!G31+'BS"A"'!F32-'BS"A"'!G32+'BS"A"'!F34-'BS"A"'!G34+'BS"A"'!F37-'BS"A"'!G37+'BS"A"'!F38-'BS"A"'!G38+'BS"A"'!F39-'BS"A"'!G39+'BS"A"'!F40-'BS"A"'!G40+'BS"A"'!F42-'BS"A"'!G42</f>
        <v>-1938869.2300000007</v>
      </c>
      <c r="G15" s="152">
        <f>'BS"A"'!G28-'BS"A"'!H28+'BS"A"'!G31-'BS"A"'!H31+'BS"A"'!G32-'BS"A"'!H32+'BS"A"'!G34-'BS"A"'!H34+'BS"A"'!G37-'BS"A"'!H37+'BS"A"'!G38-'BS"A"'!H38+'BS"A"'!G39-'BS"A"'!H39+'BS"A"'!G40-'BS"A"'!H40+'BS"A"'!G42-'BS"A"'!H42</f>
        <v>-7138432.8099999987</v>
      </c>
      <c r="H15" s="92">
        <f>'BS"A"'!H28-'BS"A"'!I28+'BS"A"'!H31-'BS"A"'!I31+'BS"A"'!H32-'BS"A"'!I32+'BS"A"'!H34-'BS"A"'!I34+'BS"A"'!H37-'BS"A"'!I37+'BS"A"'!H38-'BS"A"'!I38+'BS"A"'!H39-'BS"A"'!I39+'BS"A"'!H40-'BS"A"'!I40+'BS"A"'!H42-'BS"A"'!I42</f>
        <v>-1103544.862513639</v>
      </c>
      <c r="I15" s="92">
        <f>'BS"A"'!I28-'BS"A"'!J28+'BS"A"'!I31-'BS"A"'!J31+'BS"A"'!I32-'BS"A"'!J32+'BS"A"'!I34-'BS"A"'!J34+'BS"A"'!I37-'BS"A"'!J37+'BS"A"'!I38-'BS"A"'!J38+'BS"A"'!I39-'BS"A"'!J39+'BS"A"'!I40-'BS"A"'!J40+'BS"A"'!I42-'BS"A"'!J42</f>
        <v>132050.95795386657</v>
      </c>
      <c r="J15" s="92">
        <f>'BS"A"'!J28-'BS"A"'!K28+'BS"A"'!J31-'BS"A"'!K31+'BS"A"'!J32-'BS"A"'!K32+'BS"A"'!J34-'BS"A"'!K34+'BS"A"'!J37-'BS"A"'!K37+'BS"A"'!J38-'BS"A"'!K38+'BS"A"'!J39-'BS"A"'!K39+'BS"A"'!J40-'BS"A"'!K40+'BS"A"'!J42-'BS"A"'!K42</f>
        <v>-740872.68300212175</v>
      </c>
      <c r="K15" s="92">
        <f>'BS"A"'!K28-'BS"A"'!L28+'BS"A"'!K31-'BS"A"'!L31+'BS"A"'!K32-'BS"A"'!L32+'BS"A"'!K34-'BS"A"'!L34+'BS"A"'!K37-'BS"A"'!L37+'BS"A"'!K38-'BS"A"'!L38+'BS"A"'!K39-'BS"A"'!L39+'BS"A"'!K40-'BS"A"'!L40+'BS"A"'!K42-'BS"A"'!L42</f>
        <v>-1384389.2717797346</v>
      </c>
      <c r="L15" s="92">
        <f>'BS"A"'!L28-'BS"A"'!M28+'BS"A"'!L31-'BS"A"'!M31+'BS"A"'!L32-'BS"A"'!M32+'BS"A"'!L34-'BS"A"'!M34+'BS"A"'!L37-'BS"A"'!M37+'BS"A"'!L38-'BS"A"'!M38+'BS"A"'!L39-'BS"A"'!M39+'BS"A"'!L40-'BS"A"'!M40+'BS"A"'!L42-'BS"A"'!M42</f>
        <v>-1021291.4748985656</v>
      </c>
      <c r="M15" s="92">
        <f>'BS"A"'!M28-'BS"A"'!N28+'BS"A"'!M31-'BS"A"'!N31+'BS"A"'!M32-'BS"A"'!N32+'BS"A"'!M34-'BS"A"'!N34+'BS"A"'!M37-'BS"A"'!N37+'BS"A"'!M38-'BS"A"'!N38+'BS"A"'!M39-'BS"A"'!N39+'BS"A"'!M40-'BS"A"'!N40+'BS"A"'!M42-'BS"A"'!N42</f>
        <v>-170137.90980206057</v>
      </c>
      <c r="N15" s="92">
        <f>'BS"A"'!N28-'BS"A"'!O28+'BS"A"'!N31-'BS"A"'!O31+'BS"A"'!N32-'BS"A"'!O32+'BS"A"'!N34-'BS"A"'!O34+'BS"A"'!N37-'BS"A"'!O37+'BS"A"'!N38-'BS"A"'!O38+'BS"A"'!N39-'BS"A"'!O39+'BS"A"'!N40-'BS"A"'!O40+'BS"A"'!N42-'BS"A"'!O42</f>
        <v>-739605.19223546609</v>
      </c>
      <c r="O15" s="92">
        <f>'BS"A"'!O28-'BS"A"'!P28+'BS"A"'!O31-'BS"A"'!P31+'BS"A"'!O32-'BS"A"'!P32+'BS"A"'!O34-'BS"A"'!P34+'BS"A"'!O37-'BS"A"'!P37+'BS"A"'!O38-'BS"A"'!P38+'BS"A"'!O39-'BS"A"'!P39+'BS"A"'!O40-'BS"A"'!P40+'BS"A"'!O42-'BS"A"'!P42</f>
        <v>-1129945.9716598168</v>
      </c>
      <c r="P15" s="92">
        <f>'BS"A"'!P28-'BS"A"'!Q28+'BS"A"'!P31-'BS"A"'!Q31+'BS"A"'!P32-'BS"A"'!Q32+'BS"A"'!P34-'BS"A"'!Q34+'BS"A"'!P37-'BS"A"'!Q37+'BS"A"'!P38-'BS"A"'!Q38+'BS"A"'!P39-'BS"A"'!Q39+'BS"A"'!P40-'BS"A"'!Q40+'BS"A"'!P42-'BS"A"'!Q42</f>
        <v>-120271.26595171168</v>
      </c>
      <c r="Q15" s="92">
        <f>'BS"A"'!Q28-'BS"A"'!R28+'BS"A"'!Q31-'BS"A"'!R31+'BS"A"'!Q32-'BS"A"'!R32+'BS"A"'!Q34-'BS"A"'!R34+'BS"A"'!Q37-'BS"A"'!R37+'BS"A"'!Q38-'BS"A"'!R38+'BS"A"'!Q39-'BS"A"'!R39+'BS"A"'!Q40-'BS"A"'!R40+'BS"A"'!Q42-'BS"A"'!R42</f>
        <v>-106305.88266017288</v>
      </c>
      <c r="R15" s="92">
        <f>'BS"A"'!R28-'BS"A"'!S28+'BS"A"'!R31-'BS"A"'!S31+'BS"A"'!R32-'BS"A"'!S32+'BS"A"'!R34-'BS"A"'!S34+'BS"A"'!R37-'BS"A"'!S37+'BS"A"'!R38-'BS"A"'!S38+'BS"A"'!R39-'BS"A"'!S39+'BS"A"'!R40-'BS"A"'!S40+'BS"A"'!R42-'BS"A"'!S42</f>
        <v>-113167.15514853969</v>
      </c>
      <c r="S15" s="92">
        <f>'BS"A"'!S28-'BS"A"'!T28+'BS"A"'!S31-'BS"A"'!T31+'BS"A"'!S32-'BS"A"'!T32+'BS"A"'!S34-'BS"A"'!T34+'BS"A"'!S37-'BS"A"'!T37+'BS"A"'!S38-'BS"A"'!T38+'BS"A"'!S39-'BS"A"'!T39+'BS"A"'!S40-'BS"A"'!T40+'BS"A"'!S42-'BS"A"'!T42</f>
        <v>-104000.32781565934</v>
      </c>
      <c r="T15" s="92">
        <f>'BS"A"'!T28-'BS"A"'!U28+'BS"A"'!T31-'BS"A"'!U31+'BS"A"'!T32-'BS"A"'!U32+'BS"A"'!T34-'BS"A"'!U34+'BS"A"'!T37-'BS"A"'!U37+'BS"A"'!T38-'BS"A"'!U38+'BS"A"'!T39-'BS"A"'!U39+'BS"A"'!T40-'BS"A"'!U40+'BS"A"'!T42-'BS"A"'!U42</f>
        <v>-85230.15550513193</v>
      </c>
      <c r="U15" s="92">
        <f>'BS"A"'!U28-'BS"A"'!V28+'BS"A"'!U31-'BS"A"'!V31+'BS"A"'!U32-'BS"A"'!V32+'BS"A"'!U34-'BS"A"'!V34+'BS"A"'!U37-'BS"A"'!V37+'BS"A"'!U38-'BS"A"'!V38+'BS"A"'!U39-'BS"A"'!V39+'BS"A"'!U40-'BS"A"'!V40+'BS"A"'!U42-'BS"A"'!V42</f>
        <v>-70830.688611138612</v>
      </c>
      <c r="V15" s="92">
        <f>'BS"A"'!V28-'BS"A"'!W28+'BS"A"'!V31-'BS"A"'!W31+'BS"A"'!V32-'BS"A"'!W32+'BS"A"'!V34-'BS"A"'!W34+'BS"A"'!V37-'BS"A"'!W37+'BS"A"'!V38-'BS"A"'!W38+'BS"A"'!V39-'BS"A"'!W39+'BS"A"'!V40-'BS"A"'!W40+'BS"A"'!V42-'BS"A"'!W42</f>
        <v>371657.74439913779</v>
      </c>
      <c r="W15" s="92">
        <f>'BS"A"'!W28-'BS"A"'!X28+'BS"A"'!W31-'BS"A"'!X31+'BS"A"'!W32-'BS"A"'!X32+'BS"A"'!W34-'BS"A"'!X34+'BS"A"'!W37-'BS"A"'!X37+'BS"A"'!W38-'BS"A"'!X38+'BS"A"'!W39-'BS"A"'!X39+'BS"A"'!W40-'BS"A"'!X40+'BS"A"'!W42-'BS"A"'!X42</f>
        <v>0</v>
      </c>
      <c r="X15" s="92">
        <f>'BS"A"'!X28-'BS"A"'!Y28+'BS"A"'!X31-'BS"A"'!Y31+'BS"A"'!X32-'BS"A"'!Y32+'BS"A"'!X34-'BS"A"'!Y34+'BS"A"'!X37-'BS"A"'!Y37+'BS"A"'!X38-'BS"A"'!Y38+'BS"A"'!X39-'BS"A"'!Y39+'BS"A"'!X40-'BS"A"'!Y40+'BS"A"'!X42-'BS"A"'!Y42</f>
        <v>0</v>
      </c>
      <c r="Y15" s="92">
        <f>'BS"A"'!Y28-'BS"A"'!Z28+'BS"A"'!Y31-'BS"A"'!Z31+'BS"A"'!Y32-'BS"A"'!Z32+'BS"A"'!Y34-'BS"A"'!Z34+'BS"A"'!Y37-'BS"A"'!Z37+'BS"A"'!Y38-'BS"A"'!Z38+'BS"A"'!Y39-'BS"A"'!Z39+'BS"A"'!Y40-'BS"A"'!Z40+'BS"A"'!Y42-'BS"A"'!Z42</f>
        <v>0</v>
      </c>
      <c r="Z15" s="92">
        <f>'BS"A"'!Z28-'BS"A"'!AA28+'BS"A"'!Z31-'BS"A"'!AA31+'BS"A"'!Z32-'BS"A"'!AA32+'BS"A"'!Z34-'BS"A"'!AA34+'BS"A"'!Z37-'BS"A"'!AA37+'BS"A"'!Z38-'BS"A"'!AA38+'BS"A"'!Z39-'BS"A"'!AA39+'BS"A"'!Z40-'BS"A"'!AA40+'BS"A"'!Z42-'BS"A"'!AA42</f>
        <v>0</v>
      </c>
      <c r="AA15" s="92">
        <f>'BS"A"'!AA28-'BS"A"'!AB28+'BS"A"'!AA31-'BS"A"'!AB31+'BS"A"'!AA32-'BS"A"'!AB32+'BS"A"'!AA34-'BS"A"'!AB34+'BS"A"'!AA37-'BS"A"'!AB37+'BS"A"'!AA38-'BS"A"'!AB38+'BS"A"'!AA39-'BS"A"'!AB39+'BS"A"'!AA40-'BS"A"'!AB40+'BS"A"'!AA42-'BS"A"'!AB42</f>
        <v>0</v>
      </c>
      <c r="AB15" s="92">
        <f>'BS"A"'!AB28-'BS"A"'!AC28+'BS"A"'!AB31-'BS"A"'!AC31+'BS"A"'!AB32-'BS"A"'!AC32+'BS"A"'!AB34-'BS"A"'!AC34+'BS"A"'!AB37-'BS"A"'!AC37+'BS"A"'!AB38-'BS"A"'!AC38+'BS"A"'!AB39-'BS"A"'!AC39+'BS"A"'!AB40-'BS"A"'!AC40+'BS"A"'!AB42-'BS"A"'!AC42</f>
        <v>0</v>
      </c>
    </row>
    <row r="16" spans="1:28" ht="13">
      <c r="B16" s="130" t="s">
        <v>190</v>
      </c>
      <c r="C16" s="98">
        <f>+'BS"A"'!D72-'BS"A"'!C72+'BS"A"'!D75-'BS"A"'!C75+'BS"A"'!D76-'BS"A"'!C76+'BS"A"'!D77-'BS"A"'!C77+'BS"A"'!D83-'BS"A"'!C83</f>
        <v>20241662.919999991</v>
      </c>
      <c r="D16" s="98">
        <f>+'BS"A"'!E72-'BS"A"'!D72+'BS"A"'!E75-'BS"A"'!D75+'BS"A"'!E76-'BS"A"'!D76+'BS"A"'!E77-'BS"A"'!D77+'BS"A"'!E83-'BS"A"'!D83</f>
        <v>-5369798.5199999902</v>
      </c>
      <c r="E16" s="98">
        <f>+'BS"A"'!F72-'BS"A"'!E72+'BS"A"'!F75-'BS"A"'!E75+'BS"A"'!F76-'BS"A"'!E76+'BS"A"'!F77-'BS"A"'!E77+'BS"A"'!F83-'BS"A"'!E83</f>
        <v>-14965978.340000005</v>
      </c>
      <c r="F16" s="98">
        <f>+'BS"A"'!G72-'BS"A"'!F72+'BS"A"'!G75-'BS"A"'!F75+'BS"A"'!G76-'BS"A"'!F76+'BS"A"'!G77-'BS"A"'!F77+'BS"A"'!G83-'BS"A"'!F83</f>
        <v>10868143.129999997</v>
      </c>
      <c r="G16" s="152">
        <f>+'BS"A"'!H72-'BS"A"'!G72+'BS"A"'!H75-'BS"A"'!G75+'BS"A"'!H76-'BS"A"'!G76+'BS"A"'!H77-'BS"A"'!G77+'BS"A"'!H83-'BS"A"'!G83</f>
        <v>23214126.219999991</v>
      </c>
      <c r="H16" s="92">
        <f>+'BS"A"'!I72-'BS"A"'!H72+'BS"A"'!I75-'BS"A"'!H75+'BS"A"'!I76-'BS"A"'!H76+'BS"A"'!I77-'BS"A"'!H77+'BS"A"'!I83-'BS"A"'!H83</f>
        <v>2989319.1179162338</v>
      </c>
      <c r="I16" s="92">
        <f>+'BS"A"'!J72-'BS"A"'!I72+'BS"A"'!J75-'BS"A"'!I75+'BS"A"'!J76-'BS"A"'!I76+'BS"A"'!J77-'BS"A"'!I77+'BS"A"'!J83-'BS"A"'!I83</f>
        <v>-753688.51661071926</v>
      </c>
      <c r="J16" s="92">
        <f>+'BS"A"'!K72-'BS"A"'!J72+'BS"A"'!K75-'BS"A"'!J75+'BS"A"'!K76-'BS"A"'!J76+'BS"A"'!K77-'BS"A"'!J77+'BS"A"'!K83-'BS"A"'!J83</f>
        <v>2879302.4518882334</v>
      </c>
      <c r="K16" s="92">
        <f>+'BS"A"'!L72-'BS"A"'!K72+'BS"A"'!L75-'BS"A"'!K75+'BS"A"'!L76-'BS"A"'!K76+'BS"A"'!L77-'BS"A"'!K77+'BS"A"'!L83-'BS"A"'!K83</f>
        <v>4418227.3747358471</v>
      </c>
      <c r="L16" s="92">
        <f>+'BS"A"'!M72-'BS"A"'!L72+'BS"A"'!M75-'BS"A"'!L75+'BS"A"'!M76-'BS"A"'!L76+'BS"A"'!M77-'BS"A"'!L77+'BS"A"'!M83-'BS"A"'!L83</f>
        <v>2838672.8135963231</v>
      </c>
      <c r="M16" s="92">
        <f>+'BS"A"'!N72-'BS"A"'!M72+'BS"A"'!N75-'BS"A"'!M75+'BS"A"'!N76-'BS"A"'!M76+'BS"A"'!N77-'BS"A"'!M77+'BS"A"'!N83-'BS"A"'!M83</f>
        <v>-631128.64894942194</v>
      </c>
      <c r="N16" s="92">
        <f>+'BS"A"'!O72-'BS"A"'!N72+'BS"A"'!O75-'BS"A"'!N75+'BS"A"'!O76-'BS"A"'!N76+'BS"A"'!O77-'BS"A"'!N77+'BS"A"'!O83-'BS"A"'!N83</f>
        <v>863285.72020061314</v>
      </c>
      <c r="O16" s="92">
        <f>+'BS"A"'!P72-'BS"A"'!O72+'BS"A"'!P75-'BS"A"'!O75+'BS"A"'!P76-'BS"A"'!O76+'BS"A"'!P77-'BS"A"'!O77+'BS"A"'!P83-'BS"A"'!O83</f>
        <v>3126701.9232665151</v>
      </c>
      <c r="P16" s="92">
        <f>+'BS"A"'!Q72-'BS"A"'!P72+'BS"A"'!Q75-'BS"A"'!P75+'BS"A"'!Q76-'BS"A"'!P76+'BS"A"'!Q77-'BS"A"'!P77+'BS"A"'!Q83-'BS"A"'!P83</f>
        <v>-2202813.8479497358</v>
      </c>
      <c r="Q16" s="92">
        <f>+'BS"A"'!R72-'BS"A"'!Q72+'BS"A"'!R75-'BS"A"'!Q75+'BS"A"'!R76-'BS"A"'!Q76+'BS"A"'!R77-'BS"A"'!Q77+'BS"A"'!R83-'BS"A"'!Q83</f>
        <v>177818.72106210887</v>
      </c>
      <c r="R16" s="92">
        <f>+'BS"A"'!S72-'BS"A"'!R72+'BS"A"'!S75-'BS"A"'!R75+'BS"A"'!S76-'BS"A"'!R76+'BS"A"'!S77-'BS"A"'!R77+'BS"A"'!S83-'BS"A"'!R83</f>
        <v>202545.92339895666</v>
      </c>
      <c r="S16" s="92">
        <f>+'BS"A"'!T72-'BS"A"'!S72+'BS"A"'!T75-'BS"A"'!S75+'BS"A"'!T76-'BS"A"'!S76+'BS"A"'!T77-'BS"A"'!S77+'BS"A"'!T83-'BS"A"'!S83</f>
        <v>166139.72842022032</v>
      </c>
      <c r="T16" s="92">
        <f>+'BS"A"'!U72-'BS"A"'!T72+'BS"A"'!U75-'BS"A"'!T75+'BS"A"'!U76-'BS"A"'!T76+'BS"A"'!U77-'BS"A"'!T77+'BS"A"'!U83-'BS"A"'!T83</f>
        <v>93511.929024457932</v>
      </c>
      <c r="U16" s="92">
        <f>+'BS"A"'!V72-'BS"A"'!U72+'BS"A"'!V75-'BS"A"'!U75+'BS"A"'!V76-'BS"A"'!U76+'BS"A"'!V77-'BS"A"'!U77+'BS"A"'!V83-'BS"A"'!U83</f>
        <v>37897.093936800957</v>
      </c>
      <c r="V16" s="92">
        <f>+'BS"A"'!W72-'BS"A"'!V72+'BS"A"'!W75-'BS"A"'!V75+'BS"A"'!W76-'BS"A"'!V76+'BS"A"'!W77-'BS"A"'!V77+'BS"A"'!W83-'BS"A"'!V83</f>
        <v>0</v>
      </c>
      <c r="W16" s="92">
        <f>+'BS"A"'!X72-'BS"A"'!W72+'BS"A"'!X75-'BS"A"'!W75+'BS"A"'!X76-'BS"A"'!W76+'BS"A"'!X77-'BS"A"'!W77+'BS"A"'!X83-'BS"A"'!W83</f>
        <v>0</v>
      </c>
      <c r="X16" s="92">
        <f>+'BS"A"'!Y72-'BS"A"'!X72+'BS"A"'!Y75-'BS"A"'!X75+'BS"A"'!Y76-'BS"A"'!X76+'BS"A"'!Y77-'BS"A"'!X77+'BS"A"'!Y83-'BS"A"'!X83</f>
        <v>0</v>
      </c>
      <c r="Y16" s="92">
        <f>+'BS"A"'!Z72-'BS"A"'!Y72+'BS"A"'!Z75-'BS"A"'!Y75+'BS"A"'!Z76-'BS"A"'!Y76+'BS"A"'!Z77-'BS"A"'!Y77+'BS"A"'!Z83-'BS"A"'!Y83</f>
        <v>0</v>
      </c>
      <c r="Z16" s="92">
        <f>+'BS"A"'!AA72-'BS"A"'!Z72+'BS"A"'!AA75-'BS"A"'!Z75+'BS"A"'!AA76-'BS"A"'!Z76+'BS"A"'!AA77-'BS"A"'!Z77+'BS"A"'!AA83-'BS"A"'!Z83</f>
        <v>0</v>
      </c>
      <c r="AA16" s="92">
        <f>+'BS"A"'!AB72-'BS"A"'!AA72+'BS"A"'!AB75-'BS"A"'!AA75+'BS"A"'!AB76-'BS"A"'!AA76+'BS"A"'!AB77-'BS"A"'!AA77+'BS"A"'!AB83-'BS"A"'!AA83</f>
        <v>0</v>
      </c>
      <c r="AB16" s="92">
        <f>+'BS"A"'!AC72-'BS"A"'!AB72+'BS"A"'!AC75-'BS"A"'!AB75+'BS"A"'!AC76-'BS"A"'!AB76+'BS"A"'!AC77-'BS"A"'!AB77+'BS"A"'!AC83-'BS"A"'!AB83</f>
        <v>0</v>
      </c>
    </row>
    <row r="17" spans="2:28" ht="13">
      <c r="B17" s="130" t="s">
        <v>191</v>
      </c>
      <c r="C17" s="98">
        <f>'BS"A"'!C23-'BS"A"'!D23</f>
        <v>239593.69999999995</v>
      </c>
      <c r="D17" s="98">
        <f>'BS"A"'!D23-'BS"A"'!E23</f>
        <v>-255871.52000000002</v>
      </c>
      <c r="E17" s="98">
        <f>'BS"A"'!E23-'BS"A"'!F23</f>
        <v>-651784.46</v>
      </c>
      <c r="F17" s="98">
        <f>'BS"A"'!F23-'BS"A"'!G23</f>
        <v>-1891671.46</v>
      </c>
      <c r="G17" s="152">
        <f>'BS"A"'!G23-'BS"A"'!H23</f>
        <v>-2340056.9900000007</v>
      </c>
      <c r="H17" s="92">
        <f>'BS"A"'!H23-'BS"A"'!I23</f>
        <v>-333546.21352872904</v>
      </c>
      <c r="I17" s="92">
        <f>'BS"A"'!I23-'BS"A"'!J23</f>
        <v>37921.095575736836</v>
      </c>
      <c r="J17" s="92">
        <f>'BS"A"'!J23-'BS"A"'!K23</f>
        <v>-212756.53169733565</v>
      </c>
      <c r="K17" s="92">
        <f>'BS"A"'!K23-'BS"A"'!L23</f>
        <v>-397555.29761112295</v>
      </c>
      <c r="L17" s="92">
        <f>'BS"A"'!L23-'BS"A"'!M23</f>
        <v>-293284.44284246303</v>
      </c>
      <c r="M17" s="92">
        <f>'BS"A"'!M23-'BS"A"'!N23</f>
        <v>-48858.531877623871</v>
      </c>
      <c r="N17" s="92">
        <f>'BS"A"'!N23-'BS"A"'!O23</f>
        <v>-212392.54616290145</v>
      </c>
      <c r="O17" s="92">
        <f>'BS"A"'!O23-'BS"A"'!P23</f>
        <v>-324486.77276313212</v>
      </c>
      <c r="P17" s="92">
        <f>'BS"A"'!P23-'BS"A"'!Q23</f>
        <v>-34538.319462724961</v>
      </c>
      <c r="Q17" s="92">
        <f>'BS"A"'!Q23-'BS"A"'!R23</f>
        <v>-30527.878018330783</v>
      </c>
      <c r="R17" s="92">
        <f>'BS"A"'!R23-'BS"A"'!S23</f>
        <v>-32498.230780888349</v>
      </c>
      <c r="S17" s="92">
        <f>'BS"A"'!S23-'BS"A"'!T23</f>
        <v>-29865.79144986812</v>
      </c>
      <c r="T17" s="92">
        <f>'BS"A"'!T23-'BS"A"'!U23</f>
        <v>-24475.557943124324</v>
      </c>
      <c r="U17" s="92">
        <f>'BS"A"'!U23-'BS"A"'!V23</f>
        <v>-20340.460638358258</v>
      </c>
      <c r="V17" s="92">
        <f>'BS"A"'!V23-'BS"A"'!W23</f>
        <v>106729.01632221323</v>
      </c>
      <c r="W17" s="92">
        <f>'BS"A"'!W23-'BS"A"'!X23</f>
        <v>0</v>
      </c>
      <c r="X17" s="92">
        <f>'BS"A"'!X23-'BS"A"'!Y23</f>
        <v>0</v>
      </c>
      <c r="Y17" s="92">
        <f>'BS"A"'!Y23-'BS"A"'!Z23</f>
        <v>0</v>
      </c>
      <c r="Z17" s="92">
        <f>'BS"A"'!Z23-'BS"A"'!AA23</f>
        <v>0</v>
      </c>
      <c r="AA17" s="92">
        <f>'BS"A"'!AA23-'BS"A"'!AB23</f>
        <v>0</v>
      </c>
      <c r="AB17" s="92">
        <f>'BS"A"'!AB23-'BS"A"'!AC23</f>
        <v>0</v>
      </c>
    </row>
    <row r="18" spans="2:28">
      <c r="B18" s="127" t="s">
        <v>192</v>
      </c>
      <c r="C18" s="128">
        <f t="shared" ref="C18:E18" si="5">+SUM(C19:C22)</f>
        <v>-111978.68000000001</v>
      </c>
      <c r="D18" s="128">
        <f t="shared" si="5"/>
        <v>-113580.06000000001</v>
      </c>
      <c r="E18" s="128">
        <f t="shared" si="5"/>
        <v>-175276.25</v>
      </c>
      <c r="F18" s="128">
        <f t="shared" ref="F18" si="6">+SUM(F19:F22)</f>
        <v>-115661.05</v>
      </c>
      <c r="G18" s="159">
        <f t="shared" ref="G18:U18" si="7">+SUM(G19:G22)</f>
        <v>-167938.71</v>
      </c>
      <c r="H18" s="129">
        <f t="shared" si="7"/>
        <v>-117128.3567</v>
      </c>
      <c r="I18" s="129">
        <f t="shared" si="7"/>
        <v>-117128.3567</v>
      </c>
      <c r="J18" s="129">
        <f t="shared" si="7"/>
        <v>-117128.3567</v>
      </c>
      <c r="K18" s="129">
        <f t="shared" si="7"/>
        <v>-117128.3567</v>
      </c>
      <c r="L18" s="129">
        <f t="shared" si="7"/>
        <v>-117128.3567</v>
      </c>
      <c r="M18" s="129">
        <f t="shared" si="7"/>
        <v>-117128.3567</v>
      </c>
      <c r="N18" s="129">
        <f t="shared" si="7"/>
        <v>-117128.3567</v>
      </c>
      <c r="O18" s="129">
        <f t="shared" si="7"/>
        <v>-117128.3567</v>
      </c>
      <c r="P18" s="129">
        <f t="shared" si="7"/>
        <v>-117128.3567</v>
      </c>
      <c r="Q18" s="129">
        <f t="shared" si="7"/>
        <v>-117128.3567</v>
      </c>
      <c r="R18" s="129">
        <f t="shared" si="7"/>
        <v>-117128.3567</v>
      </c>
      <c r="S18" s="129">
        <f t="shared" si="7"/>
        <v>-117128.3567</v>
      </c>
      <c r="T18" s="129">
        <f t="shared" si="7"/>
        <v>-117128.3567</v>
      </c>
      <c r="U18" s="129">
        <f t="shared" si="7"/>
        <v>-117128.3567</v>
      </c>
      <c r="V18" s="129">
        <f t="shared" ref="V18:AB18" si="8">+SUM(V19:V22)</f>
        <v>-117128.3567</v>
      </c>
      <c r="W18" s="129">
        <f t="shared" si="8"/>
        <v>-117128.3567</v>
      </c>
      <c r="X18" s="129">
        <f t="shared" si="8"/>
        <v>-117128.3567</v>
      </c>
      <c r="Y18" s="129">
        <f t="shared" si="8"/>
        <v>-117128.3567</v>
      </c>
      <c r="Z18" s="129">
        <f t="shared" si="8"/>
        <v>-117128.3567</v>
      </c>
      <c r="AA18" s="129">
        <f t="shared" si="8"/>
        <v>-117128.3567</v>
      </c>
      <c r="AB18" s="129">
        <f t="shared" si="8"/>
        <v>-117128.3567</v>
      </c>
    </row>
    <row r="19" spans="2:28" ht="13">
      <c r="B19" s="130" t="s">
        <v>193</v>
      </c>
      <c r="C19" s="98">
        <f>-'PL"A"'!D41-'PL"A"'!D43</f>
        <v>-104119.42</v>
      </c>
      <c r="D19" s="98">
        <f>-'PL"A"'!E41-'PL"A"'!E43</f>
        <v>-105916.24</v>
      </c>
      <c r="E19" s="98">
        <f>-'PL"A"'!F41-'PL"A"'!F43</f>
        <v>-109929.74</v>
      </c>
      <c r="F19" s="98">
        <f>-'PL"A"'!G41-'PL"A"'!G43</f>
        <v>-114814.56</v>
      </c>
      <c r="G19" s="152">
        <f>-'PL"A"'!H41-'PL"A"'!H43</f>
        <v>-116020.66</v>
      </c>
      <c r="H19" s="92">
        <f>-'PL"A"'!I41-'PL"A"'!I43</f>
        <v>-117128.3567</v>
      </c>
      <c r="I19" s="92">
        <f>-'PL"A"'!J41-'PL"A"'!J43</f>
        <v>-117128.3567</v>
      </c>
      <c r="J19" s="92">
        <f>-'PL"A"'!K41-'PL"A"'!K43</f>
        <v>-117128.3567</v>
      </c>
      <c r="K19" s="92">
        <f>-'PL"A"'!L41-'PL"A"'!L43</f>
        <v>-117128.3567</v>
      </c>
      <c r="L19" s="92">
        <f>-'PL"A"'!M41-'PL"A"'!M43</f>
        <v>-117128.3567</v>
      </c>
      <c r="M19" s="92">
        <f>-'PL"A"'!N41-'PL"A"'!N43</f>
        <v>-117128.3567</v>
      </c>
      <c r="N19" s="92">
        <f>-'PL"A"'!O41-'PL"A"'!O43</f>
        <v>-117128.3567</v>
      </c>
      <c r="O19" s="92">
        <f>-'PL"A"'!P41-'PL"A"'!P43</f>
        <v>-117128.3567</v>
      </c>
      <c r="P19" s="92">
        <f>-'PL"A"'!Q41-'PL"A"'!Q43</f>
        <v>-117128.3567</v>
      </c>
      <c r="Q19" s="92">
        <f>-'PL"A"'!R41-'PL"A"'!R43</f>
        <v>-117128.3567</v>
      </c>
      <c r="R19" s="92">
        <f>-'PL"A"'!S41-'PL"A"'!S43</f>
        <v>-117128.3567</v>
      </c>
      <c r="S19" s="92">
        <f>-'PL"A"'!T41-'PL"A"'!T43</f>
        <v>-117128.3567</v>
      </c>
      <c r="T19" s="92">
        <f>-'PL"A"'!U41-'PL"A"'!U43</f>
        <v>-117128.3567</v>
      </c>
      <c r="U19" s="92">
        <f>-'PL"A"'!V41-'PL"A"'!V43</f>
        <v>-117128.3567</v>
      </c>
      <c r="V19" s="92">
        <f>-'PL"A"'!W41-'PL"A"'!W43</f>
        <v>-117128.3567</v>
      </c>
      <c r="W19" s="92">
        <f>-'PL"A"'!X41-'PL"A"'!X43</f>
        <v>-117128.3567</v>
      </c>
      <c r="X19" s="92">
        <f>-'PL"A"'!Y41-'PL"A"'!Y43</f>
        <v>-117128.3567</v>
      </c>
      <c r="Y19" s="92">
        <f>-'PL"A"'!Z41-'PL"A"'!Z43</f>
        <v>-117128.3567</v>
      </c>
      <c r="Z19" s="92">
        <f>-'PL"A"'!AA41-'PL"A"'!AA43</f>
        <v>-117128.3567</v>
      </c>
      <c r="AA19" s="92">
        <f>-'PL"A"'!AB41-'PL"A"'!AB43</f>
        <v>-117128.3567</v>
      </c>
      <c r="AB19" s="92">
        <f>-'PL"A"'!AC41-'PL"A"'!AC43</f>
        <v>-117128.3567</v>
      </c>
    </row>
    <row r="20" spans="2:28" ht="13">
      <c r="B20" s="130" t="s">
        <v>194</v>
      </c>
      <c r="C20" s="98">
        <f>'PL"A"'!D40+'PL"A"'!D42</f>
        <v>361.68</v>
      </c>
      <c r="D20" s="98">
        <f>'PL"A"'!E40+'PL"A"'!E42</f>
        <v>478.89</v>
      </c>
      <c r="E20" s="98">
        <f>'PL"A"'!F40+'PL"A"'!F42</f>
        <v>437.84</v>
      </c>
      <c r="F20" s="98">
        <f>'PL"A"'!G40+'PL"A"'!G42</f>
        <v>730.83999999999992</v>
      </c>
      <c r="G20" s="152">
        <f>'PL"A"'!H40+'PL"A"'!H42</f>
        <v>1435.4699999999998</v>
      </c>
      <c r="H20" s="92">
        <f>'PL"A"'!I40+'PL"A"'!I42</f>
        <v>0</v>
      </c>
      <c r="I20" s="92">
        <f>'PL"A"'!J40+'PL"A"'!J42</f>
        <v>0</v>
      </c>
      <c r="J20" s="92">
        <f>'PL"A"'!K40+'PL"A"'!K42</f>
        <v>0</v>
      </c>
      <c r="K20" s="92">
        <f>'PL"A"'!L40+'PL"A"'!L42</f>
        <v>0</v>
      </c>
      <c r="L20" s="92">
        <f>'PL"A"'!M40+'PL"A"'!M42</f>
        <v>0</v>
      </c>
      <c r="M20" s="92">
        <f>'PL"A"'!N40+'PL"A"'!N42</f>
        <v>0</v>
      </c>
      <c r="N20" s="92">
        <f>'PL"A"'!O40+'PL"A"'!O42</f>
        <v>0</v>
      </c>
      <c r="O20" s="92">
        <f>'PL"A"'!P40+'PL"A"'!P42</f>
        <v>0</v>
      </c>
      <c r="P20" s="92">
        <f>'PL"A"'!Q40+'PL"A"'!Q42</f>
        <v>0</v>
      </c>
      <c r="Q20" s="92">
        <f>'PL"A"'!R40+'PL"A"'!R42</f>
        <v>0</v>
      </c>
      <c r="R20" s="92">
        <f>'PL"A"'!S40+'PL"A"'!S42</f>
        <v>0</v>
      </c>
      <c r="S20" s="92">
        <f>'PL"A"'!T40+'PL"A"'!T42</f>
        <v>0</v>
      </c>
      <c r="T20" s="92">
        <f>'PL"A"'!U40+'PL"A"'!U42</f>
        <v>0</v>
      </c>
      <c r="U20" s="92">
        <f>'PL"A"'!V40+'PL"A"'!V42</f>
        <v>0</v>
      </c>
      <c r="V20" s="92">
        <f>'PL"A"'!W40+'PL"A"'!W42</f>
        <v>0</v>
      </c>
      <c r="W20" s="92">
        <f>'PL"A"'!X40+'PL"A"'!X42</f>
        <v>0</v>
      </c>
      <c r="X20" s="92">
        <f>'PL"A"'!Y40+'PL"A"'!Y42</f>
        <v>0</v>
      </c>
      <c r="Y20" s="92">
        <f>'PL"A"'!Z40+'PL"A"'!Z42</f>
        <v>0</v>
      </c>
      <c r="Z20" s="92">
        <f>'PL"A"'!AA40+'PL"A"'!AA42</f>
        <v>0</v>
      </c>
      <c r="AA20" s="92">
        <f>'PL"A"'!AB40+'PL"A"'!AB42</f>
        <v>0</v>
      </c>
      <c r="AB20" s="92">
        <f>'PL"A"'!AC40+'PL"A"'!AC42</f>
        <v>0</v>
      </c>
    </row>
    <row r="21" spans="2:28" ht="13">
      <c r="B21" s="130" t="s">
        <v>195</v>
      </c>
      <c r="C21" s="98">
        <f>-'PL"A"'!D45-'PL"A"'!D51</f>
        <v>-8220.94</v>
      </c>
      <c r="D21" s="98">
        <f>-'PL"A"'!E45-'PL"A"'!E51</f>
        <v>-8142.71</v>
      </c>
      <c r="E21" s="98">
        <f>-'PL"A"'!F45-'PL"A"'!F51</f>
        <v>-65784.350000000006</v>
      </c>
      <c r="F21" s="98">
        <f>-'PL"A"'!G45-'PL"A"'!G51</f>
        <v>-1577.33</v>
      </c>
      <c r="G21" s="152">
        <f>-'PL"A"'!H45-'PL"A"'!H51</f>
        <v>-53353.52</v>
      </c>
      <c r="H21" s="92">
        <f>-'PL"A"'!I45-'PL"A"'!I51</f>
        <v>0</v>
      </c>
      <c r="I21" s="92">
        <f>-'PL"A"'!J45-'PL"A"'!J51</f>
        <v>0</v>
      </c>
      <c r="J21" s="92">
        <f>-'PL"A"'!K45-'PL"A"'!K51</f>
        <v>0</v>
      </c>
      <c r="K21" s="92">
        <f>-'PL"A"'!L45-'PL"A"'!L51</f>
        <v>0</v>
      </c>
      <c r="L21" s="92">
        <f>-'PL"A"'!M45-'PL"A"'!M51</f>
        <v>0</v>
      </c>
      <c r="M21" s="92">
        <f>-'PL"A"'!N45-'PL"A"'!N51</f>
        <v>0</v>
      </c>
      <c r="N21" s="92">
        <f>-'PL"A"'!O45-'PL"A"'!O51</f>
        <v>0</v>
      </c>
      <c r="O21" s="92">
        <f>-'PL"A"'!P45-'PL"A"'!P51</f>
        <v>0</v>
      </c>
      <c r="P21" s="92">
        <f>-'PL"A"'!Q45-'PL"A"'!Q51</f>
        <v>0</v>
      </c>
      <c r="Q21" s="92">
        <f>-'PL"A"'!R45-'PL"A"'!R51</f>
        <v>0</v>
      </c>
      <c r="R21" s="92">
        <f>-'PL"A"'!S45-'PL"A"'!S51</f>
        <v>0</v>
      </c>
      <c r="S21" s="92">
        <f>-'PL"A"'!T45-'PL"A"'!T51</f>
        <v>0</v>
      </c>
      <c r="T21" s="92">
        <f>-'PL"A"'!U45-'PL"A"'!U51</f>
        <v>0</v>
      </c>
      <c r="U21" s="92">
        <f>-'PL"A"'!V45-'PL"A"'!V51</f>
        <v>0</v>
      </c>
      <c r="V21" s="92">
        <f>-'PL"A"'!W45-'PL"A"'!W51</f>
        <v>0</v>
      </c>
      <c r="W21" s="92">
        <f>-'PL"A"'!X45-'PL"A"'!X51</f>
        <v>0</v>
      </c>
      <c r="X21" s="92">
        <f>-'PL"A"'!Y45-'PL"A"'!Y51</f>
        <v>0</v>
      </c>
      <c r="Y21" s="92">
        <f>-'PL"A"'!Z45-'PL"A"'!Z51</f>
        <v>0</v>
      </c>
      <c r="Z21" s="92">
        <f>-'PL"A"'!AA45-'PL"A"'!AA51</f>
        <v>0</v>
      </c>
      <c r="AA21" s="92">
        <f>-'PL"A"'!AB45-'PL"A"'!AB51</f>
        <v>0</v>
      </c>
      <c r="AB21" s="92">
        <f>-'PL"A"'!AC45-'PL"A"'!AC51</f>
        <v>0</v>
      </c>
    </row>
    <row r="22" spans="2:28" ht="13">
      <c r="B22" s="130" t="s">
        <v>161</v>
      </c>
      <c r="C22" s="98">
        <f>+'PL"A"'!D39</f>
        <v>0</v>
      </c>
      <c r="D22" s="98">
        <f>+'PL"A"'!E39</f>
        <v>0</v>
      </c>
      <c r="E22" s="98">
        <f>+'PL"A"'!F39</f>
        <v>0</v>
      </c>
      <c r="F22" s="98">
        <f>+'PL"A"'!G39</f>
        <v>0</v>
      </c>
      <c r="G22" s="152">
        <f>+'PL"A"'!H39</f>
        <v>0</v>
      </c>
      <c r="H22" s="92">
        <f>+'PL"A"'!I39</f>
        <v>0</v>
      </c>
      <c r="I22" s="92">
        <f>+'PL"A"'!J39</f>
        <v>0</v>
      </c>
      <c r="J22" s="92">
        <f>+'PL"A"'!K39</f>
        <v>0</v>
      </c>
      <c r="K22" s="92">
        <f>+'PL"A"'!L39</f>
        <v>0</v>
      </c>
      <c r="L22" s="92">
        <f>+'PL"A"'!M39</f>
        <v>0</v>
      </c>
      <c r="M22" s="92">
        <f>+'PL"A"'!N39</f>
        <v>0</v>
      </c>
      <c r="N22" s="92">
        <f>+'PL"A"'!O39</f>
        <v>0</v>
      </c>
      <c r="O22" s="92">
        <f>+'PL"A"'!P39</f>
        <v>0</v>
      </c>
      <c r="P22" s="92">
        <f>+'PL"A"'!Q39</f>
        <v>0</v>
      </c>
      <c r="Q22" s="92">
        <f>+'PL"A"'!R39</f>
        <v>0</v>
      </c>
      <c r="R22" s="92">
        <f>+'PL"A"'!S39</f>
        <v>0</v>
      </c>
      <c r="S22" s="92">
        <f>+'PL"A"'!T39</f>
        <v>0</v>
      </c>
      <c r="T22" s="92">
        <f>+'PL"A"'!U39</f>
        <v>0</v>
      </c>
      <c r="U22" s="92">
        <f>+'PL"A"'!V39</f>
        <v>0</v>
      </c>
      <c r="V22" s="92">
        <f>+'PL"A"'!W39</f>
        <v>0</v>
      </c>
      <c r="W22" s="92">
        <f>+'PL"A"'!X39</f>
        <v>0</v>
      </c>
      <c r="X22" s="92">
        <f>+'PL"A"'!Y39</f>
        <v>0</v>
      </c>
      <c r="Y22" s="92">
        <f>+'PL"A"'!Z39</f>
        <v>0</v>
      </c>
      <c r="Z22" s="92">
        <f>+'PL"A"'!AA39</f>
        <v>0</v>
      </c>
      <c r="AA22" s="92">
        <f>+'PL"A"'!AB39</f>
        <v>0</v>
      </c>
      <c r="AB22" s="92">
        <f>+'PL"A"'!AC39</f>
        <v>0</v>
      </c>
    </row>
    <row r="23" spans="2:28">
      <c r="B23" s="127" t="s">
        <v>196</v>
      </c>
      <c r="C23" s="128">
        <f t="shared" ref="C23:U23" si="9">C24+C25+C26</f>
        <v>-2876880.7400000035</v>
      </c>
      <c r="D23" s="128">
        <f t="shared" si="9"/>
        <v>-2372750.089999998</v>
      </c>
      <c r="E23" s="128">
        <f t="shared" si="9"/>
        <v>275781.8300000038</v>
      </c>
      <c r="F23" s="128">
        <f t="shared" si="9"/>
        <v>-4676094.5099999979</v>
      </c>
      <c r="G23" s="159">
        <f t="shared" si="9"/>
        <v>3962804.1499999752</v>
      </c>
      <c r="H23" s="129">
        <f t="shared" si="9"/>
        <v>-25724222.696994841</v>
      </c>
      <c r="I23" s="129">
        <f t="shared" si="9"/>
        <v>-133179146.39687067</v>
      </c>
      <c r="J23" s="129">
        <f t="shared" si="9"/>
        <v>-171921110.10819799</v>
      </c>
      <c r="K23" s="129">
        <f t="shared" si="9"/>
        <v>-136499658.86470258</v>
      </c>
      <c r="L23" s="129">
        <f t="shared" si="9"/>
        <v>-80247122.937189743</v>
      </c>
      <c r="M23" s="129">
        <f t="shared" si="9"/>
        <v>-200617807.34297451</v>
      </c>
      <c r="N23" s="129">
        <f t="shared" si="9"/>
        <v>-120370684.40578461</v>
      </c>
      <c r="O23" s="129">
        <f t="shared" si="9"/>
        <v>-4576063.7266969159</v>
      </c>
      <c r="P23" s="129">
        <f t="shared" si="9"/>
        <v>-4667585.0012308657</v>
      </c>
      <c r="Q23" s="129">
        <f t="shared" si="9"/>
        <v>-4760936.7012555823</v>
      </c>
      <c r="R23" s="129">
        <f t="shared" si="9"/>
        <v>-4856155.4352805912</v>
      </c>
      <c r="S23" s="129">
        <f t="shared" si="9"/>
        <v>-4953278.543986164</v>
      </c>
      <c r="T23" s="129">
        <f t="shared" si="9"/>
        <v>-5052344.1148658097</v>
      </c>
      <c r="U23" s="129">
        <f t="shared" si="9"/>
        <v>-5153390.997163184</v>
      </c>
      <c r="V23" s="129">
        <f t="shared" ref="V23:AB23" si="10">V24+V25+V26</f>
        <v>-5256458.8171064816</v>
      </c>
      <c r="W23" s="129">
        <f t="shared" si="10"/>
        <v>-5361587.9934485555</v>
      </c>
      <c r="X23" s="129">
        <f t="shared" si="10"/>
        <v>-5468819.7533174939</v>
      </c>
      <c r="Y23" s="129">
        <f t="shared" si="10"/>
        <v>-5578196.1483838484</v>
      </c>
      <c r="Z23" s="129">
        <f t="shared" si="10"/>
        <v>-5689760.0713516697</v>
      </c>
      <c r="AA23" s="129">
        <f t="shared" si="10"/>
        <v>-5803555.2727785297</v>
      </c>
      <c r="AB23" s="129">
        <f t="shared" si="10"/>
        <v>-5919626.3782340847</v>
      </c>
    </row>
    <row r="24" spans="2:28" ht="13">
      <c r="B24" s="130" t="s">
        <v>197</v>
      </c>
      <c r="C24" s="98">
        <f>'BS"A"'!C7-'BS"A"'!D7-'PL"A"'!D23</f>
        <v>-1075747.2300000014</v>
      </c>
      <c r="D24" s="98">
        <f>'BS"A"'!D7-'BS"A"'!E7-'PL"A"'!E23</f>
        <v>-1617001.0599999987</v>
      </c>
      <c r="E24" s="98">
        <f>'BS"A"'!E7-'BS"A"'!F7-'PL"A"'!F23</f>
        <v>-9193587.8300000019</v>
      </c>
      <c r="F24" s="98">
        <f>'BS"A"'!F7-'BS"A"'!G7-'PL"A"'!G23</f>
        <v>-8168920.8399999961</v>
      </c>
      <c r="G24" s="152">
        <f>'BS"A"'!G7-'BS"A"'!H7-'PL"A"'!H23</f>
        <v>-3317821.060000021</v>
      </c>
      <c r="H24" s="92">
        <f>'BS"A"'!H7-'BS"A"'!I7-'PL"A"'!I23</f>
        <v>-25724222.696994841</v>
      </c>
      <c r="I24" s="92">
        <f>'BS"A"'!I7-'BS"A"'!J7-'PL"A"'!J23</f>
        <v>-133179146.39687067</v>
      </c>
      <c r="J24" s="92">
        <f>'BS"A"'!J7-'BS"A"'!K7-'PL"A"'!K23</f>
        <v>-171921110.10819799</v>
      </c>
      <c r="K24" s="92">
        <f>'BS"A"'!K7-'BS"A"'!L7-'PL"A"'!L23</f>
        <v>-136499658.86470258</v>
      </c>
      <c r="L24" s="92">
        <f>'BS"A"'!L7-'BS"A"'!M7-'PL"A"'!M23</f>
        <v>-80247122.937189743</v>
      </c>
      <c r="M24" s="92">
        <f>'BS"A"'!M7-'BS"A"'!N7-'PL"A"'!N23</f>
        <v>-200617807.34297451</v>
      </c>
      <c r="N24" s="92">
        <f>'BS"A"'!N7-'BS"A"'!O7-'PL"A"'!O23</f>
        <v>-120370684.40578461</v>
      </c>
      <c r="O24" s="92">
        <f>'BS"A"'!O7-'BS"A"'!P7-'PL"A"'!P23</f>
        <v>-4576063.7266969159</v>
      </c>
      <c r="P24" s="92">
        <f>'BS"A"'!P7-'BS"A"'!Q7-'PL"A"'!Q23</f>
        <v>-4667585.0012308657</v>
      </c>
      <c r="Q24" s="92">
        <f>'BS"A"'!Q7-'BS"A"'!R7-'PL"A"'!R23</f>
        <v>-4760936.7012555823</v>
      </c>
      <c r="R24" s="92">
        <f>'BS"A"'!R7-'BS"A"'!S7-'PL"A"'!S23</f>
        <v>-4856155.4352805912</v>
      </c>
      <c r="S24" s="92">
        <f>'BS"A"'!S7-'BS"A"'!T7-'PL"A"'!T23</f>
        <v>-4953278.543986164</v>
      </c>
      <c r="T24" s="92">
        <f>'BS"A"'!T7-'BS"A"'!U7-'PL"A"'!U23</f>
        <v>-5052344.1148658097</v>
      </c>
      <c r="U24" s="92">
        <f>'BS"A"'!U7-'BS"A"'!V7-'PL"A"'!V23</f>
        <v>-5153390.997163184</v>
      </c>
      <c r="V24" s="92">
        <f>'BS"A"'!V7-'BS"A"'!W7-'PL"A"'!W23</f>
        <v>-5256458.8171064816</v>
      </c>
      <c r="W24" s="92">
        <f>'BS"A"'!W7-'BS"A"'!X7-'PL"A"'!X23</f>
        <v>-5361587.9934485555</v>
      </c>
      <c r="X24" s="92">
        <f>'BS"A"'!X7-'BS"A"'!Y7-'PL"A"'!Y23</f>
        <v>-5468819.7533174939</v>
      </c>
      <c r="Y24" s="92">
        <f>'BS"A"'!Y7-'BS"A"'!Z7-'PL"A"'!Z23</f>
        <v>-5578196.1483838484</v>
      </c>
      <c r="Z24" s="92">
        <f>'BS"A"'!Z7-'BS"A"'!AA7-'PL"A"'!AA23</f>
        <v>-5689760.0713516697</v>
      </c>
      <c r="AA24" s="92">
        <f>'BS"A"'!AA7-'BS"A"'!AB7-'PL"A"'!AB23</f>
        <v>-5803555.2727785297</v>
      </c>
      <c r="AB24" s="92">
        <f>'BS"A"'!AB7-'BS"A"'!AC7-'PL"A"'!AC23</f>
        <v>-5919626.3782340847</v>
      </c>
    </row>
    <row r="25" spans="2:28" ht="13">
      <c r="B25" s="130" t="s">
        <v>198</v>
      </c>
      <c r="C25" s="98">
        <f>'PL"A"'!D24-'PL"A"'!D27</f>
        <v>2993.8</v>
      </c>
      <c r="D25" s="98">
        <f>'PL"A"'!E24-'PL"A"'!E27</f>
        <v>0</v>
      </c>
      <c r="E25" s="98">
        <f>'PL"A"'!F24-'PL"A"'!F27</f>
        <v>289400</v>
      </c>
      <c r="F25" s="98">
        <f>'PL"A"'!G24-'PL"A"'!G27</f>
        <v>4621.63</v>
      </c>
      <c r="G25" s="152">
        <f>'PL"A"'!H24-'PL"A"'!H27</f>
        <v>0</v>
      </c>
      <c r="H25" s="92">
        <f>'PL"A"'!I24-'PL"A"'!I27</f>
        <v>0</v>
      </c>
      <c r="I25" s="92">
        <f>'PL"A"'!J24-'PL"A"'!J27</f>
        <v>0</v>
      </c>
      <c r="J25" s="92">
        <f>'PL"A"'!K24-'PL"A"'!K27</f>
        <v>0</v>
      </c>
      <c r="K25" s="92">
        <f>'PL"A"'!L24-'PL"A"'!L27</f>
        <v>0</v>
      </c>
      <c r="L25" s="92">
        <f>'PL"A"'!M24-'PL"A"'!M27</f>
        <v>0</v>
      </c>
      <c r="M25" s="92">
        <f>'PL"A"'!N24-'PL"A"'!N27</f>
        <v>0</v>
      </c>
      <c r="N25" s="92">
        <f>'PL"A"'!O24-'PL"A"'!O27</f>
        <v>0</v>
      </c>
      <c r="O25" s="92">
        <f>'PL"A"'!P24-'PL"A"'!P27</f>
        <v>0</v>
      </c>
      <c r="P25" s="92">
        <f>'PL"A"'!Q24-'PL"A"'!Q27</f>
        <v>0</v>
      </c>
      <c r="Q25" s="92">
        <f>'PL"A"'!R24-'PL"A"'!R27</f>
        <v>0</v>
      </c>
      <c r="R25" s="92">
        <f>'PL"A"'!S24-'PL"A"'!S27</f>
        <v>0</v>
      </c>
      <c r="S25" s="92">
        <f>'PL"A"'!T24-'PL"A"'!T27</f>
        <v>0</v>
      </c>
      <c r="T25" s="92">
        <f>'PL"A"'!U24-'PL"A"'!U27</f>
        <v>0</v>
      </c>
      <c r="U25" s="92">
        <f>'PL"A"'!V24-'PL"A"'!V27</f>
        <v>0</v>
      </c>
      <c r="V25" s="92">
        <f>'PL"A"'!W24-'PL"A"'!W27</f>
        <v>0</v>
      </c>
      <c r="W25" s="92">
        <f>'PL"A"'!X24-'PL"A"'!X27</f>
        <v>0</v>
      </c>
      <c r="X25" s="92">
        <f>'PL"A"'!Y24-'PL"A"'!Y27</f>
        <v>0</v>
      </c>
      <c r="Y25" s="92">
        <f>'PL"A"'!Z24-'PL"A"'!Z27</f>
        <v>0</v>
      </c>
      <c r="Z25" s="92">
        <f>'PL"A"'!AA24-'PL"A"'!AA27</f>
        <v>0</v>
      </c>
      <c r="AA25" s="92">
        <f>'PL"A"'!AB24-'PL"A"'!AB27</f>
        <v>0</v>
      </c>
      <c r="AB25" s="92">
        <f>'PL"A"'!AC24-'PL"A"'!AC27</f>
        <v>0</v>
      </c>
    </row>
    <row r="26" spans="2:28" ht="13">
      <c r="B26" s="130" t="s">
        <v>199</v>
      </c>
      <c r="C26" s="98">
        <f>'BS"A"'!C29-'BS"A"'!D29+'BS"A"'!C30-'BS"A"'!D30+'BS"A"'!C35-'BS"A"'!D35+'BS"A"'!C36-'BS"A"'!D36+'BS"A"'!D67-'BS"A"'!C67+'BS"A"'!D68-'BS"A"'!C68+'BS"A"'!D73-'BS"A"'!C73+'BS"A"'!D74-'BS"A"'!C74</f>
        <v>-1804127.3100000022</v>
      </c>
      <c r="D26" s="98">
        <f>'BS"A"'!D29-'BS"A"'!E29+'BS"A"'!D30-'BS"A"'!E30+'BS"A"'!D35-'BS"A"'!E35+'BS"A"'!D36-'BS"A"'!E36+'BS"A"'!E67-'BS"A"'!D67+'BS"A"'!E68-'BS"A"'!D68+'BS"A"'!E73-'BS"A"'!D73+'BS"A"'!E74-'BS"A"'!D74</f>
        <v>-755749.02999999956</v>
      </c>
      <c r="E26" s="98">
        <f>'BS"A"'!E29-'BS"A"'!F29+'BS"A"'!E30-'BS"A"'!F30+'BS"A"'!E35-'BS"A"'!F35+'BS"A"'!E36-'BS"A"'!F36+'BS"A"'!F67-'BS"A"'!E67+'BS"A"'!F68-'BS"A"'!E68+'BS"A"'!F73-'BS"A"'!E73+'BS"A"'!F74-'BS"A"'!E74</f>
        <v>9179969.6600000057</v>
      </c>
      <c r="F26" s="98">
        <f>'BS"A"'!F29-'BS"A"'!G29+'BS"A"'!F30-'BS"A"'!G30+'BS"A"'!F35-'BS"A"'!G35+'BS"A"'!F36-'BS"A"'!G36+'BS"A"'!G67-'BS"A"'!F67+'BS"A"'!G68-'BS"A"'!F68+'BS"A"'!G73-'BS"A"'!F73+'BS"A"'!G74-'BS"A"'!F74</f>
        <v>3488204.6999999983</v>
      </c>
      <c r="G26" s="152">
        <f>'BS"A"'!G29-'BS"A"'!H29+'BS"A"'!G30-'BS"A"'!H30+'BS"A"'!G35-'BS"A"'!H35+'BS"A"'!G36-'BS"A"'!H36+'BS"A"'!H67-'BS"A"'!G67+'BS"A"'!H68-'BS"A"'!G68+'BS"A"'!H73-'BS"A"'!G73+'BS"A"'!H74-'BS"A"'!G74</f>
        <v>7280625.2099999962</v>
      </c>
      <c r="H26" s="92">
        <f>'BS"A"'!H29-'BS"A"'!I29+'BS"A"'!H30-'BS"A"'!I30+'BS"A"'!H35-'BS"A"'!I35+'BS"A"'!H36-'BS"A"'!I36+'BS"A"'!I67-'BS"A"'!H67+'BS"A"'!I68-'BS"A"'!H68+'BS"A"'!I73-'BS"A"'!H73+'BS"A"'!I74-'BS"A"'!H74</f>
        <v>0</v>
      </c>
      <c r="I26" s="92">
        <f>'BS"A"'!I29-'BS"A"'!J29+'BS"A"'!I30-'BS"A"'!J30+'BS"A"'!I35-'BS"A"'!J35+'BS"A"'!I36-'BS"A"'!J36+'BS"A"'!J67-'BS"A"'!I67+'BS"A"'!J68-'BS"A"'!I68+'BS"A"'!J73-'BS"A"'!I73+'BS"A"'!J74-'BS"A"'!I74</f>
        <v>0</v>
      </c>
      <c r="J26" s="92">
        <f>'BS"A"'!J29-'BS"A"'!K29+'BS"A"'!J30-'BS"A"'!K30+'BS"A"'!J35-'BS"A"'!K35+'BS"A"'!J36-'BS"A"'!K36+'BS"A"'!K67-'BS"A"'!J67+'BS"A"'!K68-'BS"A"'!J68+'BS"A"'!K73-'BS"A"'!J73+'BS"A"'!K74-'BS"A"'!J74</f>
        <v>0</v>
      </c>
      <c r="K26" s="92">
        <f>'BS"A"'!K29-'BS"A"'!L29+'BS"A"'!K30-'BS"A"'!L30+'BS"A"'!K35-'BS"A"'!L35+'BS"A"'!K36-'BS"A"'!L36+'BS"A"'!L67-'BS"A"'!K67+'BS"A"'!L68-'BS"A"'!K68+'BS"A"'!L73-'BS"A"'!K73+'BS"A"'!L74-'BS"A"'!K74</f>
        <v>0</v>
      </c>
      <c r="L26" s="92">
        <f>'BS"A"'!L29-'BS"A"'!M29+'BS"A"'!L30-'BS"A"'!M30+'BS"A"'!L35-'BS"A"'!M35+'BS"A"'!L36-'BS"A"'!M36+'BS"A"'!M67-'BS"A"'!L67+'BS"A"'!M68-'BS"A"'!L68+'BS"A"'!M73-'BS"A"'!L73+'BS"A"'!M74-'BS"A"'!L74</f>
        <v>0</v>
      </c>
      <c r="M26" s="92">
        <f>'BS"A"'!M29-'BS"A"'!N29+'BS"A"'!M30-'BS"A"'!N30+'BS"A"'!M35-'BS"A"'!N35+'BS"A"'!M36-'BS"A"'!N36+'BS"A"'!N67-'BS"A"'!M67+'BS"A"'!N68-'BS"A"'!M68+'BS"A"'!N73-'BS"A"'!M73+'BS"A"'!N74-'BS"A"'!M74</f>
        <v>0</v>
      </c>
      <c r="N26" s="92">
        <f>'BS"A"'!N29-'BS"A"'!O29+'BS"A"'!N30-'BS"A"'!O30+'BS"A"'!N35-'BS"A"'!O35+'BS"A"'!N36-'BS"A"'!O36+'BS"A"'!O67-'BS"A"'!N67+'BS"A"'!O68-'BS"A"'!N68+'BS"A"'!O73-'BS"A"'!N73+'BS"A"'!O74-'BS"A"'!N74</f>
        <v>0</v>
      </c>
      <c r="O26" s="92">
        <f>'BS"A"'!O29-'BS"A"'!P29+'BS"A"'!O30-'BS"A"'!P30+'BS"A"'!O35-'BS"A"'!P35+'BS"A"'!O36-'BS"A"'!P36+'BS"A"'!P67-'BS"A"'!O67+'BS"A"'!P68-'BS"A"'!O68+'BS"A"'!P73-'BS"A"'!O73+'BS"A"'!P74-'BS"A"'!O74</f>
        <v>0</v>
      </c>
      <c r="P26" s="92">
        <f>'BS"A"'!P29-'BS"A"'!Q29+'BS"A"'!P30-'BS"A"'!Q30+'BS"A"'!P35-'BS"A"'!Q35+'BS"A"'!P36-'BS"A"'!Q36+'BS"A"'!Q67-'BS"A"'!P67+'BS"A"'!Q68-'BS"A"'!P68+'BS"A"'!Q73-'BS"A"'!P73+'BS"A"'!Q74-'BS"A"'!P74</f>
        <v>0</v>
      </c>
      <c r="Q26" s="92">
        <f>'BS"A"'!Q29-'BS"A"'!R29+'BS"A"'!Q30-'BS"A"'!R30+'BS"A"'!Q35-'BS"A"'!R35+'BS"A"'!Q36-'BS"A"'!R36+'BS"A"'!R67-'BS"A"'!Q67+'BS"A"'!R68-'BS"A"'!Q68+'BS"A"'!R73-'BS"A"'!Q73+'BS"A"'!R74-'BS"A"'!Q74</f>
        <v>0</v>
      </c>
      <c r="R26" s="92">
        <f>'BS"A"'!R29-'BS"A"'!S29+'BS"A"'!R30-'BS"A"'!S30+'BS"A"'!R35-'BS"A"'!S35+'BS"A"'!R36-'BS"A"'!S36+'BS"A"'!S67-'BS"A"'!R67+'BS"A"'!S68-'BS"A"'!R68+'BS"A"'!S73-'BS"A"'!R73+'BS"A"'!S74-'BS"A"'!R74</f>
        <v>0</v>
      </c>
      <c r="S26" s="92">
        <f>'BS"A"'!S29-'BS"A"'!T29+'BS"A"'!S30-'BS"A"'!T30+'BS"A"'!S35-'BS"A"'!T35+'BS"A"'!S36-'BS"A"'!T36+'BS"A"'!T67-'BS"A"'!S67+'BS"A"'!T68-'BS"A"'!S68+'BS"A"'!T73-'BS"A"'!S73+'BS"A"'!T74-'BS"A"'!S74</f>
        <v>0</v>
      </c>
      <c r="T26" s="92">
        <f>'BS"A"'!T29-'BS"A"'!U29+'BS"A"'!T30-'BS"A"'!U30+'BS"A"'!T35-'BS"A"'!U35+'BS"A"'!T36-'BS"A"'!U36+'BS"A"'!U67-'BS"A"'!T67+'BS"A"'!U68-'BS"A"'!T68+'BS"A"'!U73-'BS"A"'!T73+'BS"A"'!U74-'BS"A"'!T74</f>
        <v>0</v>
      </c>
      <c r="U26" s="92">
        <f>'BS"A"'!U29-'BS"A"'!V29+'BS"A"'!U30-'BS"A"'!V30+'BS"A"'!U35-'BS"A"'!V35+'BS"A"'!U36-'BS"A"'!V36+'BS"A"'!V67-'BS"A"'!U67+'BS"A"'!V68-'BS"A"'!U68+'BS"A"'!V73-'BS"A"'!U73+'BS"A"'!V74-'BS"A"'!U74</f>
        <v>0</v>
      </c>
      <c r="V26" s="92">
        <f>'BS"A"'!V29-'BS"A"'!W29+'BS"A"'!V30-'BS"A"'!W30+'BS"A"'!V35-'BS"A"'!W35+'BS"A"'!V36-'BS"A"'!W36+'BS"A"'!W67-'BS"A"'!V67+'BS"A"'!W68-'BS"A"'!V68+'BS"A"'!W73-'BS"A"'!V73+'BS"A"'!W74-'BS"A"'!V74</f>
        <v>0</v>
      </c>
      <c r="W26" s="92">
        <f>'BS"A"'!W29-'BS"A"'!X29+'BS"A"'!W30-'BS"A"'!X30+'BS"A"'!W35-'BS"A"'!X35+'BS"A"'!W36-'BS"A"'!X36+'BS"A"'!X67-'BS"A"'!W67+'BS"A"'!X68-'BS"A"'!W68+'BS"A"'!X73-'BS"A"'!W73+'BS"A"'!X74-'BS"A"'!W74</f>
        <v>0</v>
      </c>
      <c r="X26" s="92">
        <f>'BS"A"'!X29-'BS"A"'!Y29+'BS"A"'!X30-'BS"A"'!Y30+'BS"A"'!X35-'BS"A"'!Y35+'BS"A"'!X36-'BS"A"'!Y36+'BS"A"'!Y67-'BS"A"'!X67+'BS"A"'!Y68-'BS"A"'!X68+'BS"A"'!Y73-'BS"A"'!X73+'BS"A"'!Y74-'BS"A"'!X74</f>
        <v>0</v>
      </c>
      <c r="Y26" s="92">
        <f>'BS"A"'!Y29-'BS"A"'!Z29+'BS"A"'!Y30-'BS"A"'!Z30+'BS"A"'!Y35-'BS"A"'!Z35+'BS"A"'!Y36-'BS"A"'!Z36+'BS"A"'!Z67-'BS"A"'!Y67+'BS"A"'!Z68-'BS"A"'!Y68+'BS"A"'!Z73-'BS"A"'!Y73+'BS"A"'!Z74-'BS"A"'!Y74</f>
        <v>0</v>
      </c>
      <c r="Z26" s="92">
        <f>'BS"A"'!Z29-'BS"A"'!AA29+'BS"A"'!Z30-'BS"A"'!AA30+'BS"A"'!Z35-'BS"A"'!AA35+'BS"A"'!Z36-'BS"A"'!AA36+'BS"A"'!AA67-'BS"A"'!Z67+'BS"A"'!AA68-'BS"A"'!Z68+'BS"A"'!AA73-'BS"A"'!Z73+'BS"A"'!AA74-'BS"A"'!Z74</f>
        <v>0</v>
      </c>
      <c r="AA26" s="92">
        <f>'BS"A"'!AA29-'BS"A"'!AB29+'BS"A"'!AA30-'BS"A"'!AB30+'BS"A"'!AA35-'BS"A"'!AB35+'BS"A"'!AA36-'BS"A"'!AB36+'BS"A"'!AB67-'BS"A"'!AA67+'BS"A"'!AB68-'BS"A"'!AA68+'BS"A"'!AB73-'BS"A"'!AA73+'BS"A"'!AB74-'BS"A"'!AA74</f>
        <v>0</v>
      </c>
      <c r="AB26" s="92">
        <f>'BS"A"'!AB29-'BS"A"'!AC29+'BS"A"'!AB30-'BS"A"'!AC30+'BS"A"'!AB35-'BS"A"'!AC35+'BS"A"'!AB36-'BS"A"'!AC36+'BS"A"'!AC67-'BS"A"'!AB67+'BS"A"'!AC68-'BS"A"'!AB68+'BS"A"'!AC73-'BS"A"'!AB73+'BS"A"'!AC74-'BS"A"'!AB74</f>
        <v>0</v>
      </c>
    </row>
    <row r="27" spans="2:28">
      <c r="B27" s="133" t="s">
        <v>200</v>
      </c>
      <c r="C27" s="101">
        <f>'BS"A"'!D66-'BS"A"'!C66+'BS"A"'!D69-'BS"A"'!C69+'BS"A"'!D70-'BS"A"'!C70+'BS"A"'!D79-'BS"A"'!C79+'BS"A"'!D78-'BS"A"'!C78</f>
        <v>-4142.7699999958277</v>
      </c>
      <c r="D27" s="101">
        <f>'BS"A"'!E66-'BS"A"'!D66+'BS"A"'!E69-'BS"A"'!D69+'BS"A"'!E70-'BS"A"'!D70+'BS"A"'!E79-'BS"A"'!D79+'BS"A"'!E78-'BS"A"'!D78</f>
        <v>2602252.8299999982</v>
      </c>
      <c r="E27" s="101">
        <f>'BS"A"'!F66-'BS"A"'!E66+'BS"A"'!F69-'BS"A"'!E69+'BS"A"'!F70-'BS"A"'!E70+'BS"A"'!F79-'BS"A"'!E79+'BS"A"'!F78-'BS"A"'!E78</f>
        <v>18273340.539999999</v>
      </c>
      <c r="F27" s="101">
        <f>'BS"A"'!G66-'BS"A"'!F66+'BS"A"'!G69-'BS"A"'!F69+'BS"A"'!G70-'BS"A"'!F70+'BS"A"'!G79-'BS"A"'!F79+'BS"A"'!G78-'BS"A"'!F78</f>
        <v>3451585.8999999985</v>
      </c>
      <c r="G27" s="153">
        <f>'BS"A"'!H66-'BS"A"'!G66+'BS"A"'!H69-'BS"A"'!G69+'BS"A"'!H70-'BS"A"'!G70+'BS"A"'!H79-'BS"A"'!G79+'BS"A"'!H78-'BS"A"'!G78</f>
        <v>5641855.0700000077</v>
      </c>
      <c r="H27" s="102">
        <f>'BS"A"'!I66-'BS"A"'!H66+'BS"A"'!I69-'BS"A"'!H69+'BS"A"'!I70-'BS"A"'!H70+'BS"A"'!I79-'BS"A"'!H79+'BS"A"'!I78-'BS"A"'!H78</f>
        <v>0</v>
      </c>
      <c r="I27" s="102">
        <f>'BS"A"'!J66-'BS"A"'!I66+'BS"A"'!J69-'BS"A"'!I69+'BS"A"'!J70-'BS"A"'!I70+'BS"A"'!J79-'BS"A"'!I79+'BS"A"'!J78-'BS"A"'!I78</f>
        <v>0</v>
      </c>
      <c r="J27" s="102">
        <f>'BS"A"'!K66-'BS"A"'!J66+'BS"A"'!K69-'BS"A"'!J69+'BS"A"'!K70-'BS"A"'!J70+'BS"A"'!K79-'BS"A"'!J79+'BS"A"'!K78-'BS"A"'!J78</f>
        <v>0</v>
      </c>
      <c r="K27" s="102">
        <f>'BS"A"'!L66-'BS"A"'!K66+'BS"A"'!L69-'BS"A"'!K69+'BS"A"'!L70-'BS"A"'!K70+'BS"A"'!L79-'BS"A"'!K79+'BS"A"'!L78-'BS"A"'!K78</f>
        <v>0</v>
      </c>
      <c r="L27" s="102">
        <f>'BS"A"'!M66-'BS"A"'!L66+'BS"A"'!M69-'BS"A"'!L69+'BS"A"'!M70-'BS"A"'!L70+'BS"A"'!M79-'BS"A"'!L79+'BS"A"'!M78-'BS"A"'!L78</f>
        <v>0</v>
      </c>
      <c r="M27" s="102">
        <f>'BS"A"'!N66-'BS"A"'!M66+'BS"A"'!N69-'BS"A"'!M69+'BS"A"'!N70-'BS"A"'!M70+'BS"A"'!N79-'BS"A"'!M79+'BS"A"'!N78-'BS"A"'!M78</f>
        <v>0</v>
      </c>
      <c r="N27" s="102">
        <f>'BS"A"'!O66-'BS"A"'!N66+'BS"A"'!O69-'BS"A"'!N69+'BS"A"'!O70-'BS"A"'!N70+'BS"A"'!O79-'BS"A"'!N79+'BS"A"'!O78-'BS"A"'!N78</f>
        <v>0</v>
      </c>
      <c r="O27" s="102">
        <f>'BS"A"'!P66-'BS"A"'!O66+'BS"A"'!P69-'BS"A"'!O69+'BS"A"'!P70-'BS"A"'!O70+'BS"A"'!P79-'BS"A"'!O79+'BS"A"'!P78-'BS"A"'!O78</f>
        <v>0</v>
      </c>
      <c r="P27" s="102">
        <f>'BS"A"'!Q66-'BS"A"'!P66+'BS"A"'!Q69-'BS"A"'!P69+'BS"A"'!Q70-'BS"A"'!P70+'BS"A"'!Q79-'BS"A"'!P79+'BS"A"'!Q78-'BS"A"'!P78</f>
        <v>0</v>
      </c>
      <c r="Q27" s="102">
        <f>'BS"A"'!R66-'BS"A"'!Q66+'BS"A"'!R69-'BS"A"'!Q69+'BS"A"'!R70-'BS"A"'!Q70+'BS"A"'!R79-'BS"A"'!Q79+'BS"A"'!R78-'BS"A"'!Q78</f>
        <v>0</v>
      </c>
      <c r="R27" s="102">
        <f>'BS"A"'!S66-'BS"A"'!R66+'BS"A"'!S69-'BS"A"'!R69+'BS"A"'!S70-'BS"A"'!R70+'BS"A"'!S79-'BS"A"'!R79+'BS"A"'!S78-'BS"A"'!R78</f>
        <v>0</v>
      </c>
      <c r="S27" s="102">
        <f>'BS"A"'!T66-'BS"A"'!S66+'BS"A"'!T69-'BS"A"'!S69+'BS"A"'!T70-'BS"A"'!S70+'BS"A"'!T79-'BS"A"'!S79+'BS"A"'!T78-'BS"A"'!S78</f>
        <v>0</v>
      </c>
      <c r="T27" s="102">
        <f>'BS"A"'!U66-'BS"A"'!T66+'BS"A"'!U69-'BS"A"'!T69+'BS"A"'!U70-'BS"A"'!T70+'BS"A"'!U79-'BS"A"'!T79+'BS"A"'!U78-'BS"A"'!T78</f>
        <v>0</v>
      </c>
      <c r="U27" s="102">
        <f>'BS"A"'!V66-'BS"A"'!U66+'BS"A"'!V69-'BS"A"'!U69+'BS"A"'!V70-'BS"A"'!U70+'BS"A"'!V79-'BS"A"'!U79+'BS"A"'!V78-'BS"A"'!U78</f>
        <v>0</v>
      </c>
      <c r="V27" s="102">
        <f>'BS"A"'!W66-'BS"A"'!V66+'BS"A"'!W69-'BS"A"'!V69+'BS"A"'!W70-'BS"A"'!V70+'BS"A"'!W79-'BS"A"'!V79+'BS"A"'!W78-'BS"A"'!V78</f>
        <v>0</v>
      </c>
      <c r="W27" s="102">
        <f>'BS"A"'!X66-'BS"A"'!W66+'BS"A"'!X69-'BS"A"'!W69+'BS"A"'!X70-'BS"A"'!W70+'BS"A"'!X79-'BS"A"'!W79+'BS"A"'!X78-'BS"A"'!W78</f>
        <v>0</v>
      </c>
      <c r="X27" s="102">
        <f>'BS"A"'!Y66-'BS"A"'!X66+'BS"A"'!Y69-'BS"A"'!X69+'BS"A"'!Y70-'BS"A"'!X70+'BS"A"'!Y79-'BS"A"'!X79+'BS"A"'!Y78-'BS"A"'!X78</f>
        <v>0</v>
      </c>
      <c r="Y27" s="102">
        <f>'BS"A"'!Z66-'BS"A"'!Y66+'BS"A"'!Z69-'BS"A"'!Y69+'BS"A"'!Z70-'BS"A"'!Y70+'BS"A"'!Z79-'BS"A"'!Y79+'BS"A"'!Z78-'BS"A"'!Y78</f>
        <v>0</v>
      </c>
      <c r="Z27" s="102">
        <f>'BS"A"'!AA66-'BS"A"'!Z66+'BS"A"'!AA69-'BS"A"'!Z69+'BS"A"'!AA70-'BS"A"'!Z70+'BS"A"'!AA79-'BS"A"'!Z79+'BS"A"'!AA78-'BS"A"'!Z78</f>
        <v>0</v>
      </c>
      <c r="AA27" s="102">
        <f>'BS"A"'!AB66-'BS"A"'!AA66+'BS"A"'!AB69-'BS"A"'!AA69+'BS"A"'!AB70-'BS"A"'!AA70+'BS"A"'!AB79-'BS"A"'!AA79+'BS"A"'!AB78-'BS"A"'!AA78</f>
        <v>0</v>
      </c>
      <c r="AB27" s="102">
        <f>'BS"A"'!AC66-'BS"A"'!AB66+'BS"A"'!AC69-'BS"A"'!AB69+'BS"A"'!AC70-'BS"A"'!AB70+'BS"A"'!AC79-'BS"A"'!AB79+'BS"A"'!AC78-'BS"A"'!AB78</f>
        <v>0</v>
      </c>
    </row>
    <row r="28" spans="2:28">
      <c r="B28" s="127" t="s">
        <v>201</v>
      </c>
      <c r="C28" s="128">
        <f t="shared" ref="C28:E28" si="11">SUM(C29:C30)</f>
        <v>619563.16999999434</v>
      </c>
      <c r="D28" s="128">
        <f t="shared" si="11"/>
        <v>-1227347.3199999966</v>
      </c>
      <c r="E28" s="128">
        <f t="shared" si="11"/>
        <v>204342.55999999447</v>
      </c>
      <c r="F28" s="128">
        <f t="shared" ref="F28:U28" si="12">SUM(F29:F30)</f>
        <v>-767394.99999998743</v>
      </c>
      <c r="G28" s="159">
        <f t="shared" si="12"/>
        <v>-403753.88000001013</v>
      </c>
      <c r="H28" s="129">
        <f t="shared" si="12"/>
        <v>69517006.778497204</v>
      </c>
      <c r="I28" s="129">
        <f t="shared" si="12"/>
        <v>178747211.8208636</v>
      </c>
      <c r="J28" s="129">
        <f t="shared" si="12"/>
        <v>214810704.3558327</v>
      </c>
      <c r="K28" s="129">
        <f t="shared" si="12"/>
        <v>176352812.98156512</v>
      </c>
      <c r="L28" s="129">
        <f t="shared" si="12"/>
        <v>118675480.59012735</v>
      </c>
      <c r="M28" s="129">
        <f t="shared" si="12"/>
        <v>238840758.54974726</v>
      </c>
      <c r="N28" s="129">
        <f t="shared" si="12"/>
        <v>153615106.28793362</v>
      </c>
      <c r="O28" s="129">
        <f t="shared" si="12"/>
        <v>33234193.734424114</v>
      </c>
      <c r="P28" s="129">
        <f t="shared" si="12"/>
        <v>33436141.36673639</v>
      </c>
      <c r="Q28" s="129">
        <f t="shared" si="12"/>
        <v>30720751.816460371</v>
      </c>
      <c r="R28" s="129">
        <f t="shared" si="12"/>
        <v>30384826.626707777</v>
      </c>
      <c r="S28" s="129">
        <f t="shared" si="12"/>
        <v>30093084.19073005</v>
      </c>
      <c r="T28" s="129">
        <f t="shared" si="12"/>
        <v>29833701.609278165</v>
      </c>
      <c r="U28" s="129">
        <f t="shared" si="12"/>
        <v>29570141.452424519</v>
      </c>
      <c r="V28" s="129">
        <f t="shared" ref="V28:AB28" si="13">SUM(V29:V30)</f>
        <v>2.2351741790771484E-8</v>
      </c>
      <c r="W28" s="129">
        <f t="shared" si="13"/>
        <v>-4.4703483581542969E-8</v>
      </c>
      <c r="X28" s="129">
        <f t="shared" si="13"/>
        <v>-7.4505805969238281E-9</v>
      </c>
      <c r="Y28" s="129">
        <f t="shared" si="13"/>
        <v>3.7252902984619141E-8</v>
      </c>
      <c r="Z28" s="129">
        <f t="shared" si="13"/>
        <v>-2.2351741790771484E-8</v>
      </c>
      <c r="AA28" s="129">
        <f t="shared" si="13"/>
        <v>1.0430812835693359E-7</v>
      </c>
      <c r="AB28" s="129">
        <f t="shared" si="13"/>
        <v>0</v>
      </c>
    </row>
    <row r="29" spans="2:28" ht="13">
      <c r="B29" s="130" t="s">
        <v>202</v>
      </c>
      <c r="C29" s="98">
        <f>'BS"A"'!D49-'BS"A"'!C49+'BS"A"'!D52-'BS"A"'!C52</f>
        <v>0</v>
      </c>
      <c r="D29" s="98">
        <f>'BS"A"'!E49-'BS"A"'!D49+'BS"A"'!E52-'BS"A"'!D52</f>
        <v>0</v>
      </c>
      <c r="E29" s="98">
        <f>'BS"A"'!F49-'BS"A"'!E49+'BS"A"'!F52-'BS"A"'!E52</f>
        <v>0</v>
      </c>
      <c r="F29" s="98">
        <f>'BS"A"'!G49-'BS"A"'!F49+'BS"A"'!G52-'BS"A"'!F52</f>
        <v>0</v>
      </c>
      <c r="G29" s="152">
        <f>'BS"A"'!H49-'BS"A"'!G49+'BS"A"'!H52-'BS"A"'!G52</f>
        <v>0</v>
      </c>
      <c r="H29" s="92">
        <f>'BS"A"'!I49-'BS"A"'!H49+'BS"A"'!I52-'BS"A"'!H52</f>
        <v>69517006.778497204</v>
      </c>
      <c r="I29" s="92">
        <f>'BS"A"'!J49-'BS"A"'!I49+'BS"A"'!J52-'BS"A"'!I52</f>
        <v>178747211.8208636</v>
      </c>
      <c r="J29" s="92">
        <f>'BS"A"'!K49-'BS"A"'!J49+'BS"A"'!K52-'BS"A"'!J52</f>
        <v>214810704.3558327</v>
      </c>
      <c r="K29" s="92">
        <f>'BS"A"'!L49-'BS"A"'!K49+'BS"A"'!L52-'BS"A"'!K52</f>
        <v>176352812.98156512</v>
      </c>
      <c r="L29" s="92">
        <f>'BS"A"'!M49-'BS"A"'!L49+'BS"A"'!M52-'BS"A"'!L52</f>
        <v>118675480.59012735</v>
      </c>
      <c r="M29" s="92">
        <f>'BS"A"'!N49-'BS"A"'!M49+'BS"A"'!N52-'BS"A"'!M52</f>
        <v>238840758.54974723</v>
      </c>
      <c r="N29" s="92">
        <f>'BS"A"'!O49-'BS"A"'!N49+'BS"A"'!O52-'BS"A"'!N52</f>
        <v>153615106.28793359</v>
      </c>
      <c r="O29" s="92">
        <f>'BS"A"'!P49-'BS"A"'!O49+'BS"A"'!P52-'BS"A"'!O52</f>
        <v>33234193.734424114</v>
      </c>
      <c r="P29" s="92">
        <f>'BS"A"'!Q49-'BS"A"'!P49+'BS"A"'!Q52-'BS"A"'!P52</f>
        <v>33436141.366736412</v>
      </c>
      <c r="Q29" s="92">
        <f>'BS"A"'!R49-'BS"A"'!Q49+'BS"A"'!R52-'BS"A"'!Q52</f>
        <v>30720751.816460371</v>
      </c>
      <c r="R29" s="92">
        <f>'BS"A"'!S49-'BS"A"'!R49+'BS"A"'!S52-'BS"A"'!R52</f>
        <v>30384826.626707792</v>
      </c>
      <c r="S29" s="92">
        <f>'BS"A"'!T49-'BS"A"'!S49+'BS"A"'!T52-'BS"A"'!S52</f>
        <v>30093084.190730095</v>
      </c>
      <c r="T29" s="92">
        <f>'BS"A"'!U49-'BS"A"'!T49+'BS"A"'!U52-'BS"A"'!T52</f>
        <v>29833701.609278202</v>
      </c>
      <c r="U29" s="92">
        <f>'BS"A"'!V49-'BS"A"'!U49+'BS"A"'!V52-'BS"A"'!U52</f>
        <v>29570141.452424526</v>
      </c>
      <c r="V29" s="92">
        <f>'BS"A"'!W49-'BS"A"'!V49+'BS"A"'!W52-'BS"A"'!V52</f>
        <v>0</v>
      </c>
      <c r="W29" s="92">
        <f>'BS"A"'!X49-'BS"A"'!W49+'BS"A"'!X52-'BS"A"'!W52</f>
        <v>0</v>
      </c>
      <c r="X29" s="92">
        <f>'BS"A"'!Y49-'BS"A"'!X49+'BS"A"'!Y52-'BS"A"'!X52</f>
        <v>0</v>
      </c>
      <c r="Y29" s="92">
        <f>'BS"A"'!Z49-'BS"A"'!Y49+'BS"A"'!Z52-'BS"A"'!Y52</f>
        <v>0</v>
      </c>
      <c r="Z29" s="92">
        <f>'BS"A"'!AA49-'BS"A"'!Z49+'BS"A"'!AA52-'BS"A"'!Z52</f>
        <v>0</v>
      </c>
      <c r="AA29" s="92">
        <f>'BS"A"'!AB49-'BS"A"'!AA49+'BS"A"'!AB52-'BS"A"'!AA52</f>
        <v>0</v>
      </c>
      <c r="AB29" s="92">
        <f>'BS"A"'!AC49-'BS"A"'!AB49+'BS"A"'!AC52-'BS"A"'!AB52</f>
        <v>0</v>
      </c>
    </row>
    <row r="30" spans="2:28" ht="13">
      <c r="B30" s="130" t="s">
        <v>203</v>
      </c>
      <c r="C30" s="98">
        <f>'BS"A"'!D58-'BS"A"'!C58-'BS"A"'!C59-'BS"A"'!C55+'BS"A"'!D55</f>
        <v>619563.16999999434</v>
      </c>
      <c r="D30" s="98">
        <f>'BS"A"'!E58-'BS"A"'!D58-'BS"A"'!D59-'BS"A"'!D55+'BS"A"'!E55</f>
        <v>-1227347.3199999966</v>
      </c>
      <c r="E30" s="98">
        <f>'BS"A"'!F58-'BS"A"'!E58-'BS"A"'!E59-'BS"A"'!E55+'BS"A"'!F55</f>
        <v>204342.55999999447</v>
      </c>
      <c r="F30" s="98">
        <f>'BS"A"'!G58-'BS"A"'!F58-'BS"A"'!F59-'BS"A"'!F55+'BS"A"'!G55</f>
        <v>-767394.99999998743</v>
      </c>
      <c r="G30" s="152">
        <f>'BS"A"'!H58-'BS"A"'!G58-'BS"A"'!G59-'BS"A"'!G55+'BS"A"'!H55</f>
        <v>-403753.88000001013</v>
      </c>
      <c r="H30" s="92">
        <f>'BS"A"'!I58-'BS"A"'!H58-'BS"A"'!H59-'BS"A"'!H55+'BS"A"'!I55</f>
        <v>0</v>
      </c>
      <c r="I30" s="92">
        <f>'BS"A"'!J58-'BS"A"'!I58-'BS"A"'!I59-'BS"A"'!I55+'BS"A"'!J55</f>
        <v>7.4505805969238281E-9</v>
      </c>
      <c r="J30" s="92">
        <f>'BS"A"'!K58-'BS"A"'!J58-'BS"A"'!J59-'BS"A"'!J55+'BS"A"'!K55</f>
        <v>7.4505805969238281E-9</v>
      </c>
      <c r="K30" s="92">
        <f>'BS"A"'!L58-'BS"A"'!K58-'BS"A"'!K59-'BS"A"'!K55+'BS"A"'!L55</f>
        <v>0</v>
      </c>
      <c r="L30" s="92">
        <f>'BS"A"'!M58-'BS"A"'!L58-'BS"A"'!L59-'BS"A"'!L55+'BS"A"'!M55</f>
        <v>0</v>
      </c>
      <c r="M30" s="92">
        <f>'BS"A"'!N58-'BS"A"'!M58-'BS"A"'!M59-'BS"A"'!M55+'BS"A"'!N55</f>
        <v>2.9802322387695312E-8</v>
      </c>
      <c r="N30" s="92">
        <f>'BS"A"'!O58-'BS"A"'!N58-'BS"A"'!N59-'BS"A"'!N55+'BS"A"'!O55</f>
        <v>2.9802322387695312E-8</v>
      </c>
      <c r="O30" s="92">
        <f>'BS"A"'!P58-'BS"A"'!O58-'BS"A"'!O59-'BS"A"'!O55+'BS"A"'!P55</f>
        <v>0</v>
      </c>
      <c r="P30" s="92">
        <f>'BS"A"'!Q58-'BS"A"'!P58-'BS"A"'!P59-'BS"A"'!P55+'BS"A"'!Q55</f>
        <v>-2.2351741790771484E-8</v>
      </c>
      <c r="Q30" s="92">
        <f>'BS"A"'!R58-'BS"A"'!Q58-'BS"A"'!Q59-'BS"A"'!Q55+'BS"A"'!R55</f>
        <v>0</v>
      </c>
      <c r="R30" s="92">
        <f>'BS"A"'!S58-'BS"A"'!R58-'BS"A"'!R59-'BS"A"'!R55+'BS"A"'!S55</f>
        <v>-1.4901161193847656E-8</v>
      </c>
      <c r="S30" s="92">
        <f>'BS"A"'!T58-'BS"A"'!S58-'BS"A"'!S59-'BS"A"'!S55+'BS"A"'!T55</f>
        <v>-4.4703483581542969E-8</v>
      </c>
      <c r="T30" s="92">
        <f>'BS"A"'!U58-'BS"A"'!T58-'BS"A"'!T59-'BS"A"'!T55+'BS"A"'!U55</f>
        <v>-3.7252902984619141E-8</v>
      </c>
      <c r="U30" s="92">
        <f>'BS"A"'!V58-'BS"A"'!U58-'BS"A"'!U59-'BS"A"'!U55+'BS"A"'!V55</f>
        <v>-7.4505805969238281E-9</v>
      </c>
      <c r="V30" s="92">
        <f>'BS"A"'!W58-'BS"A"'!V58-'BS"A"'!V59-'BS"A"'!V55+'BS"A"'!W55</f>
        <v>2.2351741790771484E-8</v>
      </c>
      <c r="W30" s="92">
        <f>'BS"A"'!X58-'BS"A"'!W58-'BS"A"'!W59-'BS"A"'!W55+'BS"A"'!X55</f>
        <v>-4.4703483581542969E-8</v>
      </c>
      <c r="X30" s="92">
        <f>'BS"A"'!Y58-'BS"A"'!X58-'BS"A"'!X59-'BS"A"'!X55+'BS"A"'!Y55</f>
        <v>-7.4505805969238281E-9</v>
      </c>
      <c r="Y30" s="92">
        <f>'BS"A"'!Z58-'BS"A"'!Y58-'BS"A"'!Y59-'BS"A"'!Y55+'BS"A"'!Z55</f>
        <v>3.7252902984619141E-8</v>
      </c>
      <c r="Z30" s="92">
        <f>'BS"A"'!AA58-'BS"A"'!Z58-'BS"A"'!Z59-'BS"A"'!Z55+'BS"A"'!AA55</f>
        <v>-2.2351741790771484E-8</v>
      </c>
      <c r="AA30" s="92">
        <f>'BS"A"'!AB58-'BS"A"'!AA58-'BS"A"'!AA59-'BS"A"'!AA55+'BS"A"'!AB55</f>
        <v>1.0430812835693359E-7</v>
      </c>
      <c r="AB30" s="92">
        <f>'BS"A"'!AC58-'BS"A"'!AB58-'BS"A"'!AB59-'BS"A"'!AB55+'BS"A"'!AC55</f>
        <v>0</v>
      </c>
    </row>
    <row r="31" spans="2:28" ht="13">
      <c r="B31" s="126" t="s">
        <v>204</v>
      </c>
      <c r="C31" s="101">
        <f t="shared" ref="C31:U31" si="14">C7+C8+C14+C18+C23+C27+C28</f>
        <v>-77199.19000002183</v>
      </c>
      <c r="D31" s="101">
        <f t="shared" si="14"/>
        <v>1622074.0400000107</v>
      </c>
      <c r="E31" s="101">
        <f t="shared" si="14"/>
        <v>7531406.8700000104</v>
      </c>
      <c r="F31" s="101">
        <f t="shared" si="14"/>
        <v>838061.03000000259</v>
      </c>
      <c r="G31" s="153">
        <f t="shared" si="14"/>
        <v>17257248.770000037</v>
      </c>
      <c r="H31" s="102">
        <f t="shared" si="14"/>
        <v>0</v>
      </c>
      <c r="I31" s="102">
        <f t="shared" si="14"/>
        <v>-23999.164835691452</v>
      </c>
      <c r="J31" s="102">
        <f t="shared" si="14"/>
        <v>356209.27334341407</v>
      </c>
      <c r="K31" s="102">
        <f t="shared" si="14"/>
        <v>1140641.7610477209</v>
      </c>
      <c r="L31" s="102">
        <f t="shared" si="14"/>
        <v>1702798.9363364726</v>
      </c>
      <c r="M31" s="102">
        <f t="shared" si="14"/>
        <v>2257062.7167975605</v>
      </c>
      <c r="N31" s="102">
        <f t="shared" si="14"/>
        <v>3650973.284401834</v>
      </c>
      <c r="O31" s="102">
        <f t="shared" si="14"/>
        <v>5098705.646949742</v>
      </c>
      <c r="P31" s="102">
        <f t="shared" si="14"/>
        <v>6477998.1978373155</v>
      </c>
      <c r="Q31" s="102">
        <f t="shared" si="14"/>
        <v>6606722.9930995405</v>
      </c>
      <c r="R31" s="102">
        <f t="shared" si="14"/>
        <v>6737586.0604897104</v>
      </c>
      <c r="S31" s="102">
        <f t="shared" si="14"/>
        <v>6868222.9560516924</v>
      </c>
      <c r="T31" s="102">
        <f t="shared" si="14"/>
        <v>6998306.1718646288</v>
      </c>
      <c r="U31" s="102">
        <f t="shared" si="14"/>
        <v>7128116.3905644678</v>
      </c>
      <c r="V31" s="102">
        <f t="shared" ref="V31:AB31" si="15">V7+V8+V14+V18+V23+V27+V28</f>
        <v>-24162546.530142691</v>
      </c>
      <c r="W31" s="102">
        <f t="shared" si="15"/>
        <v>-24749023.365407147</v>
      </c>
      <c r="X31" s="102">
        <f t="shared" si="15"/>
        <v>-24859216.023477003</v>
      </c>
      <c r="Y31" s="102">
        <f t="shared" si="15"/>
        <v>-24971553.316744268</v>
      </c>
      <c r="Z31" s="102">
        <f t="shared" si="15"/>
        <v>-25086078.137913115</v>
      </c>
      <c r="AA31" s="102">
        <f t="shared" si="15"/>
        <v>-25202834.237540796</v>
      </c>
      <c r="AB31" s="102">
        <f t="shared" si="15"/>
        <v>-25321866.241197415</v>
      </c>
    </row>
    <row r="32" spans="2:28">
      <c r="B32" s="134" t="s">
        <v>205</v>
      </c>
      <c r="C32" s="135">
        <f t="shared" ref="C32:U32" si="16">C6+C31</f>
        <v>1026010.4399999781</v>
      </c>
      <c r="D32" s="135">
        <f t="shared" si="16"/>
        <v>2648084.4800000107</v>
      </c>
      <c r="E32" s="135">
        <f t="shared" si="16"/>
        <v>10179491.350000011</v>
      </c>
      <c r="F32" s="135">
        <f t="shared" si="16"/>
        <v>11017552.380000003</v>
      </c>
      <c r="G32" s="161">
        <f t="shared" si="16"/>
        <v>28274801.150000036</v>
      </c>
      <c r="H32" s="136">
        <f t="shared" si="16"/>
        <v>28459962.109999999</v>
      </c>
      <c r="I32" s="136">
        <f t="shared" si="16"/>
        <v>28435962.945164308</v>
      </c>
      <c r="J32" s="136">
        <f t="shared" si="16"/>
        <v>28792172.218507722</v>
      </c>
      <c r="K32" s="136">
        <f t="shared" si="16"/>
        <v>29932813.979555443</v>
      </c>
      <c r="L32" s="136">
        <f t="shared" si="16"/>
        <v>31635612.915891916</v>
      </c>
      <c r="M32" s="136">
        <f t="shared" si="16"/>
        <v>33892675.632689476</v>
      </c>
      <c r="N32" s="136">
        <f t="shared" si="16"/>
        <v>37543648.91709131</v>
      </c>
      <c r="O32" s="136">
        <f t="shared" si="16"/>
        <v>42642354.564041048</v>
      </c>
      <c r="P32" s="136">
        <f t="shared" si="16"/>
        <v>49120352.761878364</v>
      </c>
      <c r="Q32" s="136">
        <f t="shared" si="16"/>
        <v>55727075.754977904</v>
      </c>
      <c r="R32" s="136">
        <f t="shared" si="16"/>
        <v>62464661.815467611</v>
      </c>
      <c r="S32" s="136">
        <f t="shared" si="16"/>
        <v>69332884.771519303</v>
      </c>
      <c r="T32" s="136">
        <f t="shared" si="16"/>
        <v>76331190.943383932</v>
      </c>
      <c r="U32" s="136">
        <f t="shared" si="16"/>
        <v>83459307.333948404</v>
      </c>
      <c r="V32" s="136">
        <f t="shared" ref="V32:AB32" si="17">V6+V31</f>
        <v>59296760.803805709</v>
      </c>
      <c r="W32" s="136">
        <f t="shared" si="17"/>
        <v>34547737.438398562</v>
      </c>
      <c r="X32" s="136">
        <f t="shared" si="17"/>
        <v>9688521.4149215594</v>
      </c>
      <c r="Y32" s="136">
        <f t="shared" si="17"/>
        <v>-15283031.901822709</v>
      </c>
      <c r="Z32" s="136">
        <f t="shared" si="17"/>
        <v>-40369110.039735824</v>
      </c>
      <c r="AA32" s="136">
        <f t="shared" si="17"/>
        <v>-65571944.27727662</v>
      </c>
      <c r="AB32" s="136">
        <f t="shared" si="17"/>
        <v>-90893810.518474042</v>
      </c>
    </row>
    <row r="33" spans="2:28">
      <c r="C33" s="168"/>
      <c r="D33" s="168"/>
      <c r="E33" s="168"/>
      <c r="F33" s="168"/>
      <c r="G33" s="16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</row>
    <row r="34" spans="2:28">
      <c r="B34" s="138" t="s">
        <v>206</v>
      </c>
      <c r="C34" s="139">
        <f t="shared" ref="C34:U34" si="18">+C35-C36</f>
        <v>0</v>
      </c>
      <c r="D34" s="139">
        <f t="shared" si="18"/>
        <v>0</v>
      </c>
      <c r="E34" s="139">
        <f t="shared" si="18"/>
        <v>0</v>
      </c>
      <c r="F34" s="139">
        <f t="shared" si="18"/>
        <v>0</v>
      </c>
      <c r="G34" s="162">
        <f t="shared" si="18"/>
        <v>0</v>
      </c>
      <c r="H34" s="140">
        <f t="shared" si="18"/>
        <v>-69517006.778497204</v>
      </c>
      <c r="I34" s="140">
        <f t="shared" si="18"/>
        <v>-178747211.8208636</v>
      </c>
      <c r="J34" s="140">
        <f t="shared" si="18"/>
        <v>-214810704.3558327</v>
      </c>
      <c r="K34" s="140">
        <f t="shared" si="18"/>
        <v>-176352812.98156509</v>
      </c>
      <c r="L34" s="140">
        <f t="shared" si="18"/>
        <v>-118675480.59012736</v>
      </c>
      <c r="M34" s="140">
        <f t="shared" si="18"/>
        <v>-238840758.54974726</v>
      </c>
      <c r="N34" s="140">
        <f t="shared" si="18"/>
        <v>-153615106.28793368</v>
      </c>
      <c r="O34" s="140">
        <f t="shared" si="18"/>
        <v>-33234193.734424174</v>
      </c>
      <c r="P34" s="140">
        <f t="shared" si="18"/>
        <v>-33436141.366736382</v>
      </c>
      <c r="Q34" s="140">
        <f t="shared" si="18"/>
        <v>-30720751.816460289</v>
      </c>
      <c r="R34" s="140">
        <f t="shared" si="18"/>
        <v>-30384826.62670783</v>
      </c>
      <c r="S34" s="140">
        <f t="shared" si="18"/>
        <v>-30093084.190730106</v>
      </c>
      <c r="T34" s="140">
        <f t="shared" si="18"/>
        <v>-29833701.609278124</v>
      </c>
      <c r="U34" s="140">
        <f t="shared" si="18"/>
        <v>-29570141.452424578</v>
      </c>
      <c r="V34" s="140">
        <f t="shared" ref="V34:AB34" si="19">+V35-V36</f>
        <v>0</v>
      </c>
      <c r="W34" s="140">
        <f t="shared" si="19"/>
        <v>0</v>
      </c>
      <c r="X34" s="140">
        <f t="shared" si="19"/>
        <v>0</v>
      </c>
      <c r="Y34" s="140">
        <f t="shared" si="19"/>
        <v>0</v>
      </c>
      <c r="Z34" s="140">
        <f t="shared" si="19"/>
        <v>0</v>
      </c>
      <c r="AA34" s="140">
        <f t="shared" si="19"/>
        <v>0</v>
      </c>
      <c r="AB34" s="140">
        <f t="shared" si="19"/>
        <v>0</v>
      </c>
    </row>
    <row r="35" spans="2:28">
      <c r="B35" s="141" t="s">
        <v>207</v>
      </c>
      <c r="C35" s="142"/>
      <c r="D35" s="142"/>
      <c r="E35" s="142"/>
      <c r="F35" s="142"/>
      <c r="G35" s="163"/>
      <c r="H35" s="143">
        <f>'FCFs"A"'!C32</f>
        <v>0</v>
      </c>
      <c r="I35" s="143">
        <f>'FCFs"A"'!D32</f>
        <v>0</v>
      </c>
      <c r="J35" s="143">
        <f>'FCFs"A"'!E32</f>
        <v>0</v>
      </c>
      <c r="K35" s="143">
        <f>'FCFs"A"'!F32</f>
        <v>0</v>
      </c>
      <c r="L35" s="143">
        <f>'FCFs"A"'!G32</f>
        <v>0</v>
      </c>
      <c r="M35" s="143">
        <f>'FCFs"A"'!H32</f>
        <v>0</v>
      </c>
      <c r="N35" s="143">
        <f>'FCFs"A"'!I32</f>
        <v>0</v>
      </c>
      <c r="O35" s="143">
        <f>'FCFs"A"'!J32</f>
        <v>0</v>
      </c>
      <c r="P35" s="143">
        <f>'FCFs"A"'!K32</f>
        <v>0</v>
      </c>
      <c r="Q35" s="143">
        <f>'FCFs"A"'!L32</f>
        <v>0</v>
      </c>
      <c r="R35" s="143">
        <f>'FCFs"A"'!M32</f>
        <v>0</v>
      </c>
      <c r="S35" s="143">
        <f>'FCFs"A"'!N32</f>
        <v>0</v>
      </c>
      <c r="T35" s="143">
        <f>'FCFs"A"'!O32</f>
        <v>0</v>
      </c>
      <c r="U35" s="143">
        <f>'FCFs"A"'!P32</f>
        <v>0</v>
      </c>
      <c r="V35" s="143">
        <f>'FCFs"A"'!Q32</f>
        <v>0</v>
      </c>
      <c r="W35" s="143">
        <f>'FCFs"A"'!R32</f>
        <v>0</v>
      </c>
      <c r="X35" s="143">
        <f>'FCFs"A"'!S32</f>
        <v>0</v>
      </c>
      <c r="Y35" s="143">
        <f>'FCFs"A"'!T32</f>
        <v>0</v>
      </c>
      <c r="Z35" s="143">
        <f>'FCFs"A"'!U32</f>
        <v>0</v>
      </c>
      <c r="AA35" s="143">
        <f>'FCFs"A"'!V32</f>
        <v>0</v>
      </c>
      <c r="AB35" s="143">
        <f>'FCFs"A"'!W32</f>
        <v>0</v>
      </c>
    </row>
    <row r="36" spans="2:28">
      <c r="B36" s="144" t="s">
        <v>19</v>
      </c>
      <c r="C36" s="145"/>
      <c r="D36" s="145"/>
      <c r="E36" s="145"/>
      <c r="F36" s="145"/>
      <c r="G36" s="164"/>
      <c r="H36" s="118">
        <f>-'FCFs"A"'!C33</f>
        <v>69517006.778497204</v>
      </c>
      <c r="I36" s="118">
        <f>-'FCFs"A"'!D33</f>
        <v>178747211.8208636</v>
      </c>
      <c r="J36" s="118">
        <f>-'FCFs"A"'!E33</f>
        <v>214810704.3558327</v>
      </c>
      <c r="K36" s="118">
        <f>-'FCFs"A"'!F33</f>
        <v>176352812.98156509</v>
      </c>
      <c r="L36" s="118">
        <f>-'FCFs"A"'!G33</f>
        <v>118675480.59012736</v>
      </c>
      <c r="M36" s="118">
        <f>-'FCFs"A"'!H33</f>
        <v>238840758.54974726</v>
      </c>
      <c r="N36" s="118">
        <f>-'FCFs"A"'!I33</f>
        <v>153615106.28793368</v>
      </c>
      <c r="O36" s="118">
        <f>-'FCFs"A"'!J33</f>
        <v>33234193.734424174</v>
      </c>
      <c r="P36" s="118">
        <f>-'FCFs"A"'!K33</f>
        <v>33436141.366736382</v>
      </c>
      <c r="Q36" s="118">
        <f>-'FCFs"A"'!L33</f>
        <v>30720751.816460289</v>
      </c>
      <c r="R36" s="118">
        <f>-'FCFs"A"'!M33</f>
        <v>30384826.62670783</v>
      </c>
      <c r="S36" s="118">
        <f>-'FCFs"A"'!N33</f>
        <v>30093084.190730106</v>
      </c>
      <c r="T36" s="118">
        <f>-'FCFs"A"'!O33</f>
        <v>29833701.609278124</v>
      </c>
      <c r="U36" s="118">
        <f>-'FCFs"A"'!P33</f>
        <v>29570141.452424578</v>
      </c>
      <c r="V36" s="118">
        <f>-'FCFs"A"'!Q33</f>
        <v>0</v>
      </c>
      <c r="W36" s="118">
        <f>-'FCFs"A"'!R33</f>
        <v>0</v>
      </c>
      <c r="X36" s="118">
        <f>-'FCFs"A"'!S33</f>
        <v>0</v>
      </c>
      <c r="Y36" s="118">
        <f>-'FCFs"A"'!T33</f>
        <v>0</v>
      </c>
      <c r="Z36" s="118">
        <f>-'FCFs"A"'!U33</f>
        <v>0</v>
      </c>
      <c r="AA36" s="118">
        <f>-'FCFs"A"'!V33</f>
        <v>0</v>
      </c>
      <c r="AB36" s="118">
        <f>-'FCFs"A"'!W33</f>
        <v>0</v>
      </c>
    </row>
    <row r="37" spans="2:28">
      <c r="C37" s="137"/>
      <c r="D37" s="137"/>
      <c r="E37" s="137"/>
      <c r="F37" s="137"/>
      <c r="G37" s="137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</row>
    <row r="38" spans="2:28" s="117" customFormat="1">
      <c r="B38" s="117" t="s">
        <v>208</v>
      </c>
      <c r="C38" s="146">
        <f>C32-'BS"A"'!D41</f>
        <v>-2.1886080503463745E-8</v>
      </c>
      <c r="D38" s="146">
        <f>D32-'BS"A"'!E41</f>
        <v>1.0710209608078003E-8</v>
      </c>
      <c r="E38" s="146">
        <f>E32-'BS"A"'!F41</f>
        <v>0</v>
      </c>
      <c r="F38" s="146">
        <f>F32-'BS"A"'!G41</f>
        <v>0</v>
      </c>
      <c r="G38" s="602">
        <f>G32-'BS"A"'!H41</f>
        <v>-185160.95999996364</v>
      </c>
      <c r="H38" s="146">
        <f>+H31-'FCFs"A"'!C27+H34-H30</f>
        <v>0</v>
      </c>
      <c r="I38" s="146">
        <f>+I31-'FCFs"A"'!D27+I34-I30</f>
        <v>-23999.164835698903</v>
      </c>
      <c r="J38" s="146">
        <f>+J31-'FCFs"A"'!E27+J34-J30</f>
        <v>356209.27334340662</v>
      </c>
      <c r="K38" s="146">
        <f>+K31-'FCFs"A"'!F27+K34-K30</f>
        <v>1140641.7610477209</v>
      </c>
      <c r="L38" s="146">
        <f>+L31-'FCFs"A"'!G27+L34-L30</f>
        <v>1702798.9363364726</v>
      </c>
      <c r="M38" s="146">
        <f>+M31-'FCFs"A"'!H27+M34-M30</f>
        <v>2257062.7167975307</v>
      </c>
      <c r="N38" s="146">
        <f>+N31-'FCFs"A"'!I27+N34-N30</f>
        <v>3650973.2844018042</v>
      </c>
      <c r="O38" s="146">
        <f>+O31-'FCFs"A"'!J27+O34-O30</f>
        <v>5098705.6469497383</v>
      </c>
      <c r="P38" s="146">
        <f>+P31-'FCFs"A"'!K27+P34-P30</f>
        <v>6477998.1978373379</v>
      </c>
      <c r="Q38" s="146">
        <f>+Q31-'FCFs"A"'!L27+Q34-Q30</f>
        <v>6606722.9930995405</v>
      </c>
      <c r="R38" s="146">
        <f>+R31-'FCFs"A"'!M27+R34-R30</f>
        <v>6737586.0604897216</v>
      </c>
      <c r="S38" s="146">
        <f>+S31-'FCFs"A"'!N27+S34-S30</f>
        <v>6868222.9560517408</v>
      </c>
      <c r="T38" s="146">
        <f>+T31-'FCFs"A"'!O27+T34-T30</f>
        <v>6998306.1718646698</v>
      </c>
      <c r="U38" s="146">
        <f>+U31-'FCFs"A"'!P27+U34-U30</f>
        <v>7128116.3905644715</v>
      </c>
      <c r="V38" s="146">
        <f>+V31-'FCFs"A"'!Q27+V34-V30</f>
        <v>7125155.4923635684</v>
      </c>
      <c r="W38" s="146">
        <f>+W31-'FCFs"A"'!R27+W34-W30</f>
        <v>7122194.5941626132</v>
      </c>
      <c r="X38" s="146">
        <f>+X31-'FCFs"A"'!S27+X34-X30</f>
        <v>7119233.6959616542</v>
      </c>
      <c r="Y38" s="146">
        <f>+Y31-'FCFs"A"'!T27+Y34-Y30</f>
        <v>7116272.7977606952</v>
      </c>
      <c r="Z38" s="146">
        <f>+Z31-'FCFs"A"'!U27+Z34-Z30</f>
        <v>7113311.8995597363</v>
      </c>
      <c r="AA38" s="146">
        <f>+AA31-'FCFs"A"'!V27+AA34-AA30</f>
        <v>7110351.0013587773</v>
      </c>
      <c r="AB38" s="146">
        <f>+AB31-'FCFs"A"'!W27+AB34-AB30</f>
        <v>7107390.1031578183</v>
      </c>
    </row>
    <row r="39" spans="2:28">
      <c r="C39" s="137"/>
      <c r="D39" s="137"/>
      <c r="E39" s="137"/>
      <c r="F39" s="137"/>
      <c r="G39" s="137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</row>
    <row r="40" spans="2:28">
      <c r="C40" s="137"/>
      <c r="D40" s="137"/>
      <c r="E40" s="137"/>
      <c r="F40" s="137"/>
      <c r="G40" s="137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</row>
    <row r="41" spans="2:28">
      <c r="C41" s="137"/>
      <c r="D41" s="137"/>
      <c r="E41" s="137"/>
      <c r="F41" s="137"/>
      <c r="G41" s="137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2:28">
      <c r="C42" s="137"/>
      <c r="D42" s="137"/>
      <c r="E42" s="137"/>
      <c r="F42" s="137"/>
      <c r="G42" s="137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7F99F-F20B-40E1-B8E4-95FD328BE678}">
  <sheetPr>
    <tabColor rgb="FFC5E4ED"/>
  </sheetPr>
  <dimension ref="A2:AD77"/>
  <sheetViews>
    <sheetView topLeftCell="A18" workbookViewId="0">
      <selection activeCell="A43" sqref="A43:XFD46"/>
    </sheetView>
  </sheetViews>
  <sheetFormatPr baseColWidth="10" defaultColWidth="9.1640625" defaultRowHeight="12" outlineLevelRow="1"/>
  <cols>
    <col min="1" max="1" width="3.1640625" style="8" customWidth="1"/>
    <col min="2" max="2" width="34.6640625" style="8" customWidth="1"/>
    <col min="3" max="3" width="13.33203125" style="8" customWidth="1"/>
    <col min="4" max="23" width="13.33203125" style="41" customWidth="1"/>
    <col min="24" max="24" width="13" style="41" customWidth="1"/>
    <col min="25" max="25" width="4.5" style="41" customWidth="1"/>
    <col min="26" max="26" width="11.1640625" style="41" customWidth="1"/>
    <col min="27" max="28" width="9.1640625" style="41"/>
    <col min="29" max="29" width="10.33203125" style="41" customWidth="1"/>
    <col min="30" max="30" width="10.33203125" style="8" customWidth="1"/>
    <col min="31" max="16384" width="9.1640625" style="8"/>
  </cols>
  <sheetData>
    <row r="2" spans="2:30">
      <c r="J2" s="41">
        <f>J6/I6-1</f>
        <v>6.2283764994293112E-3</v>
      </c>
      <c r="K2" s="41">
        <f t="shared" ref="K2:O2" si="0">K6/J6-1</f>
        <v>6.2352250761343875E-3</v>
      </c>
      <c r="L2" s="41">
        <f t="shared" si="0"/>
        <v>1.0035370774605923E-2</v>
      </c>
      <c r="M2" s="41">
        <f t="shared" si="0"/>
        <v>1.0864680693328133E-2</v>
      </c>
      <c r="N2" s="41">
        <f t="shared" si="0"/>
        <v>1.1656653812364137E-2</v>
      </c>
      <c r="O2" s="41">
        <f t="shared" si="0"/>
        <v>1.2424815137636047E-2</v>
      </c>
      <c r="P2" s="41">
        <f t="shared" ref="P2" si="1">P6/O6-1</f>
        <v>8.6993778136704503E-2</v>
      </c>
      <c r="Q2" s="41">
        <f t="shared" ref="Q2" si="2">Q6/P6-1</f>
        <v>8.4668476319422536E-2</v>
      </c>
      <c r="R2" s="41">
        <f t="shared" ref="R2" si="3">R6/Q6-1</f>
        <v>8.2069924971058139E-2</v>
      </c>
      <c r="S2" s="41">
        <f t="shared" ref="S2" si="4">S6/R6-1</f>
        <v>7.9739042970872198E-2</v>
      </c>
      <c r="T2" s="41">
        <f t="shared" ref="T2" si="5">T6/S6-1</f>
        <v>7.7638663133727359E-2</v>
      </c>
      <c r="U2" s="41">
        <f t="shared" ref="U2" si="6">U6/T6-1</f>
        <v>7.5738161016466909E-2</v>
      </c>
      <c r="V2" s="41">
        <f t="shared" ref="V2" si="7">V6/U6-1</f>
        <v>7.4012075321620463E-2</v>
      </c>
      <c r="W2" s="41">
        <f t="shared" ref="W2" si="8">W6/V6-1</f>
        <v>4.997794036191272E-2</v>
      </c>
    </row>
    <row r="3" spans="2:30" ht="15" thickBot="1">
      <c r="B3" s="1" t="s">
        <v>20</v>
      </c>
      <c r="C3" s="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AA3" s="117"/>
      <c r="AB3" s="4"/>
      <c r="AC3" s="39"/>
    </row>
    <row r="5" spans="2:30">
      <c r="B5" s="9" t="s">
        <v>21</v>
      </c>
      <c r="C5" s="234">
        <f t="shared" ref="C5:O5" si="9">C16</f>
        <v>44926</v>
      </c>
      <c r="D5" s="235">
        <f t="shared" si="9"/>
        <v>45291</v>
      </c>
      <c r="E5" s="235">
        <f t="shared" si="9"/>
        <v>45657</v>
      </c>
      <c r="F5" s="235">
        <f t="shared" si="9"/>
        <v>46022</v>
      </c>
      <c r="G5" s="235">
        <f t="shared" si="9"/>
        <v>46387</v>
      </c>
      <c r="H5" s="235">
        <f t="shared" si="9"/>
        <v>46752</v>
      </c>
      <c r="I5" s="235">
        <f t="shared" si="9"/>
        <v>47118</v>
      </c>
      <c r="J5" s="235">
        <f t="shared" si="9"/>
        <v>47483</v>
      </c>
      <c r="K5" s="235">
        <f t="shared" si="9"/>
        <v>47848</v>
      </c>
      <c r="L5" s="235">
        <f t="shared" si="9"/>
        <v>48213</v>
      </c>
      <c r="M5" s="235">
        <f t="shared" si="9"/>
        <v>48579</v>
      </c>
      <c r="N5" s="235">
        <f t="shared" si="9"/>
        <v>48944</v>
      </c>
      <c r="O5" s="235">
        <f t="shared" si="9"/>
        <v>49309</v>
      </c>
      <c r="P5" s="235">
        <f t="shared" ref="P5" si="10">P16</f>
        <v>49674</v>
      </c>
      <c r="Q5" s="235">
        <f t="shared" ref="Q5:W5" si="11">Q16</f>
        <v>50040</v>
      </c>
      <c r="R5" s="235">
        <f t="shared" si="11"/>
        <v>50405</v>
      </c>
      <c r="S5" s="235">
        <f t="shared" si="11"/>
        <v>50770</v>
      </c>
      <c r="T5" s="235">
        <f t="shared" si="11"/>
        <v>51135</v>
      </c>
      <c r="U5" s="235">
        <f t="shared" si="11"/>
        <v>51501</v>
      </c>
      <c r="V5" s="235">
        <f t="shared" si="11"/>
        <v>51866</v>
      </c>
      <c r="W5" s="235">
        <f t="shared" si="11"/>
        <v>52231</v>
      </c>
      <c r="X5" s="234" t="s">
        <v>2</v>
      </c>
    </row>
    <row r="6" spans="2:30">
      <c r="B6" s="10" t="s">
        <v>3083</v>
      </c>
      <c r="C6" s="11">
        <f>+SUM(D28:$P$28,$C$38)/C64-C61</f>
        <v>-1484065423.0724304</v>
      </c>
      <c r="D6" s="237">
        <f>+SUM(E28:$P$28,$C$38)/D64-D61</f>
        <v>-1379491038.7186882</v>
      </c>
      <c r="E6" s="237">
        <f>+SUM(F28:$P$28,$C$38)/E64-E61</f>
        <v>-1233624442.6122899</v>
      </c>
      <c r="F6" s="237">
        <f>+SUM(G28:$P$28,$C$38)/F64-F61</f>
        <v>-1118922408.0748396</v>
      </c>
      <c r="G6" s="237">
        <f>+SUM(H28:$P$28,$C$38)/G64-G61</f>
        <v>-1056162604.2019544</v>
      </c>
      <c r="H6" s="237">
        <f>+SUM(I28:$P$28,$C$38)/H64-H61</f>
        <v>-870099532.17580485</v>
      </c>
      <c r="I6" s="237">
        <f>+SUM(J28:$P$28,$C$38)/I64-I61</f>
        <v>-759958958.81016135</v>
      </c>
      <c r="J6" s="237">
        <f>+SUM(K28:$P$28,$C$38)/J64-J61</f>
        <v>-764692269.32974529</v>
      </c>
      <c r="K6" s="237">
        <f>+SUM(L28:$P$28,$C$38)/K64-K61</f>
        <v>-769460297.74299622</v>
      </c>
      <c r="L6" s="237">
        <f>+SUM(M28:$P$28,$C$38)/L64-L61</f>
        <v>-777182117.12718582</v>
      </c>
      <c r="M6" s="237">
        <f>+SUM(N28:$P$28,$C$38)/M64-M61</f>
        <v>-785625952.67033744</v>
      </c>
      <c r="N6" s="237">
        <f>+SUM(O28:$P$28,$C$38)/N64-N61</f>
        <v>-794783722.4266243</v>
      </c>
      <c r="O6" s="237">
        <f>+SUM(P28:$P$28,$C$38)/O64-O61</f>
        <v>-804658763.25217736</v>
      </c>
      <c r="P6" s="237">
        <f>+SUM($P28:Q$28,$C$38)/P64-P61</f>
        <v>-874659069.17829239</v>
      </c>
      <c r="Q6" s="237">
        <f>+SUM($P28:R$28,$C$38)/Q64-Q61</f>
        <v>-948715119.86458278</v>
      </c>
      <c r="R6" s="237">
        <f>+SUM($P28:S$28,$C$38)/R64-R61</f>
        <v>-1026576098.5707774</v>
      </c>
      <c r="S6" s="237">
        <f>+SUM($P28:T$28,$C$38)/S64-S61</f>
        <v>-1108434294.207583</v>
      </c>
      <c r="T6" s="237">
        <f>+SUM($P28:U$28,$C$38)/T64-T61</f>
        <v>-1194491650.9814363</v>
      </c>
      <c r="U6" s="237">
        <f>+SUM($P28:V$28,$C$38)/U64-U61</f>
        <v>-1284960251.9762936</v>
      </c>
      <c r="V6" s="237">
        <f>+SUM($P28:W$28,$C$38)/V64-V61</f>
        <v>-1380062826.9308515</v>
      </c>
      <c r="W6" s="237">
        <f>+SUM($P28:X$28,$C$38)/W64-W61</f>
        <v>-1449035524.5908942</v>
      </c>
      <c r="X6" s="236">
        <f>+INDEX(C6:M6,MATCH('summary"A"'!$C$5,'FCFs"A"'!$C$5:$M$5))</f>
        <v>-785625952.67033744</v>
      </c>
      <c r="AD6" s="40"/>
    </row>
    <row r="7" spans="2:30">
      <c r="B7" s="12" t="s">
        <v>3084</v>
      </c>
      <c r="C7" s="13">
        <f>+SUM(D29:$P$29,$D$38)/C49</f>
        <v>-1483456549.3424304</v>
      </c>
      <c r="D7" s="239">
        <f>+SUM(E29:$P$29,$D$38)/D49</f>
        <v>-1378882164.9886882</v>
      </c>
      <c r="E7" s="239">
        <f>+SUM(F29:$P$29,$D$38)/E49</f>
        <v>-1233015568.8822899</v>
      </c>
      <c r="F7" s="239">
        <f>+SUM(G29:$P$29,$D$38)/F49</f>
        <v>-1118313534.3448396</v>
      </c>
      <c r="G7" s="239">
        <f>+SUM(H29:$P$29,$D$38)/G49</f>
        <v>-1055553730.4719543</v>
      </c>
      <c r="H7" s="239">
        <f>+SUM(I29:$P$29,$D$38)/H49</f>
        <v>-869490658.44580483</v>
      </c>
      <c r="I7" s="239">
        <f>+SUM(J29:$P$29,$D$38)/I49</f>
        <v>-759350085.08016133</v>
      </c>
      <c r="J7" s="239">
        <f>+SUM(K29:$P$29,$D$38)/J49</f>
        <v>-764083395.59974527</v>
      </c>
      <c r="K7" s="239">
        <f>+SUM(L29:$P$29,$D$38)/K49</f>
        <v>-768851424.0129962</v>
      </c>
      <c r="L7" s="239">
        <f>+SUM(M29:$P$29,$D$38)/L49</f>
        <v>-776573243.3971858</v>
      </c>
      <c r="M7" s="239">
        <f>+SUM(N29:$P$29,$D$38)/M49</f>
        <v>-785017078.94033742</v>
      </c>
      <c r="N7" s="239">
        <f>+SUM(O29:$P$29,$D$38)/N49</f>
        <v>-794174848.69662428</v>
      </c>
      <c r="O7" s="239">
        <f>+SUM(P29:$P$29,$D$38)/O49</f>
        <v>-804049889.52217734</v>
      </c>
      <c r="P7" s="239">
        <f>+SUM($P29:Q$29,$D$38)/P49</f>
        <v>-874050195.44829237</v>
      </c>
      <c r="Q7" s="239">
        <f>+SUM($P29:R$29,$D$38)/Q49</f>
        <v>-948106246.13458276</v>
      </c>
      <c r="R7" s="239">
        <f>+SUM($P29:S$29,$D$38)/R49</f>
        <v>-1025967224.8407774</v>
      </c>
      <c r="S7" s="239">
        <f>+SUM($P29:T$29,$D$38)/S49</f>
        <v>-1107825420.4775829</v>
      </c>
      <c r="T7" s="239">
        <f>+SUM($P29:U$29,$D$38)/T49</f>
        <v>-1193882777.2514362</v>
      </c>
      <c r="U7" s="239">
        <f>+SUM($P29:V$29,$D$38)/U49</f>
        <v>-1284351378.2462935</v>
      </c>
      <c r="V7" s="239">
        <f>+SUM($P29:W$29,$D$38)/V49</f>
        <v>-1379453953.2008514</v>
      </c>
      <c r="W7" s="239">
        <f>+SUM($P29:X$29,$D$38)/W49</f>
        <v>-1448426650.8608942</v>
      </c>
      <c r="X7" s="238">
        <f>+INDEX(C7:M7,MATCH('summary"A"'!$C$5,'FCFs"A"'!$C$5:$M$5))</f>
        <v>-785017078.94033742</v>
      </c>
    </row>
    <row r="8" spans="2:30" s="320" customFormat="1">
      <c r="B8" s="315" t="s">
        <v>22</v>
      </c>
      <c r="C8" s="316">
        <f>'BS"A"'!I90</f>
        <v>-46284566.925028779</v>
      </c>
      <c r="D8" s="317">
        <f>'BS"A"'!J90</f>
        <v>29575893.816041771</v>
      </c>
      <c r="E8" s="317">
        <f>'BS"A"'!K90</f>
        <v>126982815.25586912</v>
      </c>
      <c r="F8" s="317">
        <f>'BS"A"'!L90</f>
        <v>237088554.33077237</v>
      </c>
      <c r="G8" s="317">
        <f>'BS"A"'!M90</f>
        <v>265834587.31920955</v>
      </c>
      <c r="H8" s="317">
        <f>'BS"A"'!N90</f>
        <v>368759580.77709365</v>
      </c>
      <c r="I8" s="317">
        <f>'BS"A"'!O90</f>
        <v>474730312.27616853</v>
      </c>
      <c r="J8" s="317">
        <f>'BS"A"'!P90</f>
        <v>447414725.59192818</v>
      </c>
      <c r="K8" s="317">
        <f>'BS"A"'!Q90</f>
        <v>426666360.01417285</v>
      </c>
      <c r="L8" s="317">
        <f>'BS"A"'!R90</f>
        <v>405656192.94115412</v>
      </c>
      <c r="M8" s="317">
        <f>'BS"A"'!S90</f>
        <v>385185138.63915318</v>
      </c>
      <c r="N8" s="317">
        <f>'BS"A"'!T90</f>
        <v>373426452.31453866</v>
      </c>
      <c r="O8" s="317">
        <f>'BS"A"'!U90</f>
        <v>361687326.62886256</v>
      </c>
      <c r="P8" s="317">
        <f>'BS"A"'!V90</f>
        <v>349951629.28750366</v>
      </c>
      <c r="Q8" s="317">
        <f>'BS"A"'!W90</f>
        <v>318107744.28102094</v>
      </c>
      <c r="R8" s="317">
        <f>'BS"A"'!X90</f>
        <v>286133094.04666543</v>
      </c>
      <c r="S8" s="317">
        <f>'BS"A"'!Y90</f>
        <v>254502740.10976186</v>
      </c>
      <c r="T8" s="317">
        <f>'BS"A"'!Z90</f>
        <v>223399286.97494325</v>
      </c>
      <c r="U8" s="317">
        <f>'BS"A"'!AA90</f>
        <v>192264643.59357497</v>
      </c>
      <c r="V8" s="317">
        <f>'BS"A"'!AB90</f>
        <v>161098245.37869057</v>
      </c>
      <c r="W8" s="317">
        <f>'BS"A"'!AC90</f>
        <v>129899516.4515833</v>
      </c>
      <c r="X8" s="318">
        <f>+INDEX(C8:M8,MATCH('summary"A"'!$C$5,'FCFs"A"'!$C$5:$M$5))</f>
        <v>385185138.63915318</v>
      </c>
      <c r="Y8" s="319"/>
      <c r="Z8" s="319"/>
      <c r="AA8" s="319"/>
      <c r="AB8" s="319"/>
      <c r="AC8" s="319"/>
    </row>
    <row r="9" spans="2:30">
      <c r="C9" s="41"/>
    </row>
    <row r="10" spans="2:30">
      <c r="B10" s="321" t="s">
        <v>257</v>
      </c>
      <c r="C10" s="234">
        <f t="shared" ref="C10:O10" si="12">+C5</f>
        <v>44926</v>
      </c>
      <c r="D10" s="235">
        <f t="shared" si="12"/>
        <v>45291</v>
      </c>
      <c r="E10" s="235">
        <f t="shared" si="12"/>
        <v>45657</v>
      </c>
      <c r="F10" s="235">
        <f t="shared" si="12"/>
        <v>46022</v>
      </c>
      <c r="G10" s="235">
        <f t="shared" si="12"/>
        <v>46387</v>
      </c>
      <c r="H10" s="235">
        <f t="shared" si="12"/>
        <v>46752</v>
      </c>
      <c r="I10" s="235">
        <f t="shared" si="12"/>
        <v>47118</v>
      </c>
      <c r="J10" s="235">
        <f t="shared" si="12"/>
        <v>47483</v>
      </c>
      <c r="K10" s="235">
        <f t="shared" si="12"/>
        <v>47848</v>
      </c>
      <c r="L10" s="235">
        <f t="shared" si="12"/>
        <v>48213</v>
      </c>
      <c r="M10" s="235">
        <f t="shared" si="12"/>
        <v>48579</v>
      </c>
      <c r="N10" s="235">
        <f t="shared" si="12"/>
        <v>48944</v>
      </c>
      <c r="O10" s="235">
        <f t="shared" si="12"/>
        <v>49309</v>
      </c>
      <c r="P10" s="235">
        <f t="shared" ref="P10" si="13">+P5</f>
        <v>49674</v>
      </c>
      <c r="Q10" s="235">
        <f t="shared" ref="Q10:W10" si="14">+Q5</f>
        <v>50040</v>
      </c>
      <c r="R10" s="235">
        <f t="shared" si="14"/>
        <v>50405</v>
      </c>
      <c r="S10" s="235">
        <f t="shared" si="14"/>
        <v>50770</v>
      </c>
      <c r="T10" s="235">
        <f t="shared" si="14"/>
        <v>51135</v>
      </c>
      <c r="U10" s="235">
        <f t="shared" si="14"/>
        <v>51501</v>
      </c>
      <c r="V10" s="235">
        <f t="shared" si="14"/>
        <v>51866</v>
      </c>
      <c r="W10" s="235">
        <f t="shared" si="14"/>
        <v>52231</v>
      </c>
      <c r="X10" s="234" t="s">
        <v>2</v>
      </c>
    </row>
    <row r="11" spans="2:30">
      <c r="B11" s="10" t="str">
        <f>B6</f>
        <v>DCFE</v>
      </c>
      <c r="C11" s="236">
        <f t="shared" ref="C11:O11" si="15">+(C6+C73)</f>
        <v>-1455605460.9624305</v>
      </c>
      <c r="D11" s="237">
        <f t="shared" si="15"/>
        <v>-1351055075.773524</v>
      </c>
      <c r="E11" s="237">
        <f t="shared" si="15"/>
        <v>-1204832270.3937821</v>
      </c>
      <c r="F11" s="237">
        <f t="shared" si="15"/>
        <v>-1088989594.0952842</v>
      </c>
      <c r="G11" s="237">
        <f t="shared" si="15"/>
        <v>-1024526991.2860625</v>
      </c>
      <c r="H11" s="237">
        <f t="shared" si="15"/>
        <v>-836206856.54311538</v>
      </c>
      <c r="I11" s="237">
        <f t="shared" si="15"/>
        <v>-722415309.89306998</v>
      </c>
      <c r="J11" s="237">
        <f t="shared" si="15"/>
        <v>-722049914.76570427</v>
      </c>
      <c r="K11" s="237">
        <f t="shared" si="15"/>
        <v>-720339944.98111784</v>
      </c>
      <c r="L11" s="237">
        <f t="shared" si="15"/>
        <v>-721455041.37220788</v>
      </c>
      <c r="M11" s="237">
        <f t="shared" si="15"/>
        <v>-723161290.85486984</v>
      </c>
      <c r="N11" s="237">
        <f t="shared" si="15"/>
        <v>-725450837.65510499</v>
      </c>
      <c r="O11" s="237">
        <f t="shared" si="15"/>
        <v>-728327572.30879343</v>
      </c>
      <c r="P11" s="237">
        <f t="shared" ref="P11" si="16">+(P6+P73)</f>
        <v>-791199761.84434402</v>
      </c>
      <c r="Q11" s="237">
        <f t="shared" ref="Q11:W11" si="17">+(Q6+Q73)</f>
        <v>-889418359.06077707</v>
      </c>
      <c r="R11" s="237">
        <f t="shared" si="17"/>
        <v>-992028361.13237882</v>
      </c>
      <c r="S11" s="237">
        <f t="shared" si="17"/>
        <v>-1098745772.7926614</v>
      </c>
      <c r="T11" s="237">
        <f t="shared" si="17"/>
        <v>-1209774682.8832591</v>
      </c>
      <c r="U11" s="237">
        <f t="shared" si="17"/>
        <v>-1325329362.0160294</v>
      </c>
      <c r="V11" s="237">
        <f t="shared" si="17"/>
        <v>-1445634771.208128</v>
      </c>
      <c r="W11" s="237">
        <f t="shared" si="17"/>
        <v>-1539929335.1093683</v>
      </c>
      <c r="X11" s="236">
        <f>+INDEX(C11:M11,MATCH('summary"A"'!$C$5,'FCFs"A"'!$C$10:$M$10))</f>
        <v>-723161290.85486984</v>
      </c>
    </row>
    <row r="12" spans="2:30">
      <c r="B12" s="12" t="str">
        <f>B7</f>
        <v>DCFF</v>
      </c>
      <c r="C12" s="238">
        <f t="shared" ref="C12:O12" si="18">+(C7+C73)</f>
        <v>-1454996587.2324305</v>
      </c>
      <c r="D12" s="239">
        <f t="shared" si="18"/>
        <v>-1350446202.043524</v>
      </c>
      <c r="E12" s="239">
        <f t="shared" si="18"/>
        <v>-1204223396.6637821</v>
      </c>
      <c r="F12" s="239">
        <f t="shared" si="18"/>
        <v>-1088380720.3652842</v>
      </c>
      <c r="G12" s="239">
        <f t="shared" si="18"/>
        <v>-1023918117.5560625</v>
      </c>
      <c r="H12" s="239">
        <f t="shared" si="18"/>
        <v>-835597982.81311536</v>
      </c>
      <c r="I12" s="239">
        <f t="shared" si="18"/>
        <v>-721806436.16306996</v>
      </c>
      <c r="J12" s="239">
        <f t="shared" si="18"/>
        <v>-721441041.03570426</v>
      </c>
      <c r="K12" s="239">
        <f t="shared" si="18"/>
        <v>-719731071.25111783</v>
      </c>
      <c r="L12" s="239">
        <f t="shared" si="18"/>
        <v>-720846167.64220786</v>
      </c>
      <c r="M12" s="239">
        <f t="shared" si="18"/>
        <v>-722552417.12486982</v>
      </c>
      <c r="N12" s="239">
        <f t="shared" si="18"/>
        <v>-724841963.92510498</v>
      </c>
      <c r="O12" s="239">
        <f t="shared" si="18"/>
        <v>-727718698.57879341</v>
      </c>
      <c r="P12" s="239">
        <f t="shared" ref="P12" si="19">+(P7+P73)</f>
        <v>-790590888.114344</v>
      </c>
      <c r="Q12" s="239">
        <f t="shared" ref="Q12:W12" si="20">+(Q7+Q73)</f>
        <v>-888809485.33077705</v>
      </c>
      <c r="R12" s="239">
        <f t="shared" si="20"/>
        <v>-991419487.4023788</v>
      </c>
      <c r="S12" s="239">
        <f t="shared" si="20"/>
        <v>-1098136899.0626614</v>
      </c>
      <c r="T12" s="239">
        <f t="shared" si="20"/>
        <v>-1209165809.153259</v>
      </c>
      <c r="U12" s="239">
        <f t="shared" si="20"/>
        <v>-1324720488.2860293</v>
      </c>
      <c r="V12" s="239">
        <f t="shared" si="20"/>
        <v>-1445025897.478128</v>
      </c>
      <c r="W12" s="239">
        <f t="shared" si="20"/>
        <v>-1539320461.3793683</v>
      </c>
      <c r="X12" s="238">
        <f>+INDEX(C12:M12,MATCH('summary"A"'!$C$5,'FCFs"A"'!$C$10:$M$10))</f>
        <v>-722552417.12486982</v>
      </c>
    </row>
    <row r="13" spans="2:30">
      <c r="B13" s="12" t="s">
        <v>22</v>
      </c>
      <c r="C13" s="13">
        <f t="shared" ref="C13:O13" si="21">C8</f>
        <v>-46284566.925028779</v>
      </c>
      <c r="D13" s="239">
        <f t="shared" si="21"/>
        <v>29575893.816041771</v>
      </c>
      <c r="E13" s="239">
        <f t="shared" si="21"/>
        <v>126982815.25586912</v>
      </c>
      <c r="F13" s="239">
        <f t="shared" si="21"/>
        <v>237088554.33077237</v>
      </c>
      <c r="G13" s="239">
        <f t="shared" si="21"/>
        <v>265834587.31920955</v>
      </c>
      <c r="H13" s="239">
        <f t="shared" si="21"/>
        <v>368759580.77709365</v>
      </c>
      <c r="I13" s="239">
        <f t="shared" si="21"/>
        <v>474730312.27616853</v>
      </c>
      <c r="J13" s="239">
        <f t="shared" si="21"/>
        <v>447414725.59192818</v>
      </c>
      <c r="K13" s="239">
        <f t="shared" si="21"/>
        <v>426666360.01417285</v>
      </c>
      <c r="L13" s="239">
        <f t="shared" si="21"/>
        <v>405656192.94115412</v>
      </c>
      <c r="M13" s="239">
        <f t="shared" si="21"/>
        <v>385185138.63915318</v>
      </c>
      <c r="N13" s="239">
        <f t="shared" si="21"/>
        <v>373426452.31453866</v>
      </c>
      <c r="O13" s="239">
        <f t="shared" si="21"/>
        <v>361687326.62886256</v>
      </c>
      <c r="P13" s="239">
        <f t="shared" ref="P13" si="22">P8</f>
        <v>349951629.28750366</v>
      </c>
      <c r="Q13" s="239">
        <f t="shared" ref="Q13:W13" si="23">Q8</f>
        <v>318107744.28102094</v>
      </c>
      <c r="R13" s="239">
        <f t="shared" si="23"/>
        <v>286133094.04666543</v>
      </c>
      <c r="S13" s="239">
        <f t="shared" si="23"/>
        <v>254502740.10976186</v>
      </c>
      <c r="T13" s="239">
        <f t="shared" si="23"/>
        <v>223399286.97494325</v>
      </c>
      <c r="U13" s="239">
        <f t="shared" si="23"/>
        <v>192264643.59357497</v>
      </c>
      <c r="V13" s="239">
        <f t="shared" si="23"/>
        <v>161098245.37869057</v>
      </c>
      <c r="W13" s="239">
        <f t="shared" si="23"/>
        <v>129899516.4515833</v>
      </c>
      <c r="X13" s="238">
        <f>+INDEX(C13:M13,MATCH('summary"A"'!$C$5,'FCFs"A"'!$C$10:$M$10))</f>
        <v>385185138.63915318</v>
      </c>
    </row>
    <row r="14" spans="2:30">
      <c r="C14" s="13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8"/>
    </row>
    <row r="15" spans="2:30">
      <c r="X15" s="252"/>
    </row>
    <row r="16" spans="2:30" ht="11.25" customHeight="1">
      <c r="B16" s="14" t="s">
        <v>23</v>
      </c>
      <c r="C16" s="234">
        <f>+'BS"A"'!I5</f>
        <v>44926</v>
      </c>
      <c r="D16" s="235">
        <f>+'BS"A"'!J5</f>
        <v>45291</v>
      </c>
      <c r="E16" s="235">
        <f>+'BS"A"'!K5</f>
        <v>45657</v>
      </c>
      <c r="F16" s="235">
        <f>+'BS"A"'!L5</f>
        <v>46022</v>
      </c>
      <c r="G16" s="235">
        <f>+'BS"A"'!M5</f>
        <v>46387</v>
      </c>
      <c r="H16" s="235">
        <f>+'BS"A"'!N5</f>
        <v>46752</v>
      </c>
      <c r="I16" s="235">
        <f>+'BS"A"'!O5</f>
        <v>47118</v>
      </c>
      <c r="J16" s="235">
        <f>+'BS"A"'!P5</f>
        <v>47483</v>
      </c>
      <c r="K16" s="235">
        <f>+'BS"A"'!Q5</f>
        <v>47848</v>
      </c>
      <c r="L16" s="235">
        <f>+'BS"A"'!R5</f>
        <v>48213</v>
      </c>
      <c r="M16" s="235">
        <f>+'BS"A"'!S5</f>
        <v>48579</v>
      </c>
      <c r="N16" s="235">
        <f>+'BS"A"'!T5</f>
        <v>48944</v>
      </c>
      <c r="O16" s="235">
        <f>+'BS"A"'!U5</f>
        <v>49309</v>
      </c>
      <c r="P16" s="235">
        <f>+'BS"A"'!V5</f>
        <v>49674</v>
      </c>
      <c r="Q16" s="235">
        <f>+'BS"A"'!W5</f>
        <v>50040</v>
      </c>
      <c r="R16" s="235">
        <f>+'BS"A"'!X5</f>
        <v>50405</v>
      </c>
      <c r="S16" s="235">
        <f>+'BS"A"'!Y5</f>
        <v>50770</v>
      </c>
      <c r="T16" s="235">
        <f>+'BS"A"'!Z5</f>
        <v>51135</v>
      </c>
      <c r="U16" s="235">
        <f>+'BS"A"'!AA5</f>
        <v>51501</v>
      </c>
      <c r="V16" s="235">
        <f>+'BS"A"'!AB5</f>
        <v>51866</v>
      </c>
      <c r="W16" s="235">
        <f>+'BS"A"'!AC5</f>
        <v>52231</v>
      </c>
      <c r="X16" s="234" t="s">
        <v>24</v>
      </c>
    </row>
    <row r="17" spans="2:29" ht="11.25" customHeight="1">
      <c r="B17" s="15" t="s">
        <v>25</v>
      </c>
      <c r="C17" s="11">
        <f>+'PL"A"'!I55</f>
        <v>-49921769.758126236</v>
      </c>
      <c r="D17" s="237">
        <f>+'PL"A"'!J55</f>
        <v>-50228211.327922381</v>
      </c>
      <c r="E17" s="237">
        <f>+'PL"A"'!K55</f>
        <v>-53008400.073576719</v>
      </c>
      <c r="F17" s="237">
        <f>+'PL"A"'!L55</f>
        <v>-54592611.667923182</v>
      </c>
      <c r="G17" s="237">
        <f>+'PL"A"'!M55</f>
        <v>-60825075.920034438</v>
      </c>
      <c r="H17" s="237">
        <f>+'PL"A"'!N55</f>
        <v>-59697361.780353814</v>
      </c>
      <c r="I17" s="237">
        <f>+'PL"A"'!O55</f>
        <v>-59101780.144131541</v>
      </c>
      <c r="J17" s="237">
        <f>+'PL"A"'!P55</f>
        <v>-65827743.589300014</v>
      </c>
      <c r="K17" s="237">
        <f>+'PL"A"'!Q55</f>
        <v>-59820833.800317883</v>
      </c>
      <c r="L17" s="237">
        <f>+'PL"A"'!R55</f>
        <v>-57560394.498564228</v>
      </c>
      <c r="M17" s="237">
        <f>+'PL"A"'!S55</f>
        <v>-56723734.063596085</v>
      </c>
      <c r="N17" s="237">
        <f>+'PL"A"'!T55</f>
        <v>-48530282.694537245</v>
      </c>
      <c r="O17" s="237">
        <f>+'PL"A"'!U55</f>
        <v>-48240947.860013597</v>
      </c>
      <c r="P17" s="237">
        <f>+'PL"A"'!V55</f>
        <v>-47962067.537017129</v>
      </c>
      <c r="Q17" s="237">
        <f>+'PL"A"'!W55</f>
        <v>-39715865.717979029</v>
      </c>
      <c r="R17" s="237">
        <f>+'PL"A"'!X55</f>
        <v>-39752846.370700471</v>
      </c>
      <c r="S17" s="237">
        <f>+'PL"A"'!Y55</f>
        <v>-39166523.478512324</v>
      </c>
      <c r="T17" s="237">
        <f>+'PL"A"'!Z55</f>
        <v>-38275649.309316374</v>
      </c>
      <c r="U17" s="237">
        <f>+'PL"A"'!AA55</f>
        <v>-38314712.243172511</v>
      </c>
      <c r="V17" s="237">
        <f>+'PL"A"'!AB55</f>
        <v>-38354497.217741728</v>
      </c>
      <c r="W17" s="237">
        <f>+'PL"A"'!AC55</f>
        <v>-38395018.673838325</v>
      </c>
      <c r="X17" s="236">
        <f>+M17</f>
        <v>-56723734.063596085</v>
      </c>
      <c r="AA17" s="353"/>
    </row>
    <row r="18" spans="2:29" ht="11.25" customHeight="1">
      <c r="B18" s="16" t="s">
        <v>26</v>
      </c>
      <c r="C18" s="13">
        <f>+'PL"A"'!I23</f>
        <v>4576757.6347500011</v>
      </c>
      <c r="D18" s="239">
        <f>+'PL"A"'!J23</f>
        <v>5219863.2021748722</v>
      </c>
      <c r="E18" s="239">
        <f>+'PL"A"'!K23</f>
        <v>8549341.8620966394</v>
      </c>
      <c r="F18" s="239">
        <f>+'PL"A"'!L23</f>
        <v>13243816.506763393</v>
      </c>
      <c r="G18" s="239">
        <f>+'PL"A"'!M23</f>
        <v>22575420.307578012</v>
      </c>
      <c r="H18" s="239">
        <f>+'PL"A"'!N23</f>
        <v>24581598.381007757</v>
      </c>
      <c r="I18" s="239">
        <f>+'PL"A"'!O23</f>
        <v>29597043.564582117</v>
      </c>
      <c r="J18" s="239">
        <f>+'PL"A"'!P23</f>
        <v>40596050.049678989</v>
      </c>
      <c r="K18" s="239">
        <f>+'PL"A"'!Q23</f>
        <v>39887899.066013843</v>
      </c>
      <c r="L18" s="239">
        <f>+'PL"A"'!R23</f>
        <v>38166317.416075371</v>
      </c>
      <c r="M18" s="239">
        <f>+'PL"A"'!S23</f>
        <v>37875768.395189077</v>
      </c>
      <c r="N18" s="239">
        <f>+'PL"A"'!T23</f>
        <v>30226426.394690357</v>
      </c>
      <c r="O18" s="239">
        <f>+'PL"A"'!U23</f>
        <v>30474090.321889669</v>
      </c>
      <c r="P18" s="239">
        <f>+'PL"A"'!V23</f>
        <v>30726707.527632959</v>
      </c>
      <c r="Q18" s="239">
        <f>+'PL"A"'!W23</f>
        <v>20331391.244221445</v>
      </c>
      <c r="R18" s="239">
        <f>+'PL"A"'!X23</f>
        <v>20365410.998741925</v>
      </c>
      <c r="S18" s="239">
        <f>+'PL"A"'!Y23</f>
        <v>19776127.208352823</v>
      </c>
      <c r="T18" s="239">
        <f>+'PL"A"'!Z23</f>
        <v>18882292.140955918</v>
      </c>
      <c r="U18" s="239">
        <f>+'PL"A"'!AA23</f>
        <v>18918394.176611088</v>
      </c>
      <c r="V18" s="239">
        <f>+'PL"A"'!AB23</f>
        <v>18955218.252979357</v>
      </c>
      <c r="W18" s="239">
        <f>+'PL"A"'!AC23</f>
        <v>18992778.810874995</v>
      </c>
      <c r="X18" s="238">
        <f>+M18</f>
        <v>37875768.395189077</v>
      </c>
      <c r="AA18" s="353"/>
    </row>
    <row r="19" spans="2:29" ht="11.25" customHeight="1">
      <c r="B19" s="17" t="s">
        <v>27</v>
      </c>
      <c r="C19" s="18">
        <f>-(+'BS"A"'!I23-'BS"A"'!H23+'BS"A"'!I42-'BS"A"'!H42+'BS"A"'!I33-'BS"A"'!H33+'BS"A"'!H71-'BS"A"'!I71+'BS"A"'!H83-'BS"A"'!I83)</f>
        <v>1552228.0418738723</v>
      </c>
      <c r="D19" s="250">
        <f>-(+'BS"A"'!J23-'BS"A"'!I23+'BS"A"'!J42-'BS"A"'!I42+'BS"A"'!J33-'BS"A"'!I33+'BS"A"'!I71-'BS"A"'!J71+'BS"A"'!I83-'BS"A"'!J83)</f>
        <v>-583716.46308112144</v>
      </c>
      <c r="E19" s="250">
        <f>-(+'BS"A"'!K23-'BS"A"'!J23+'BS"A"'!K42-'BS"A"'!J42+'BS"A"'!K33-'BS"A"'!J33+'BS"A"'!J71-'BS"A"'!K71+'BS"A"'!J83-'BS"A"'!K83)</f>
        <v>1925673.2371888161</v>
      </c>
      <c r="F19" s="250">
        <f>-(+'BS"A"'!L23-'BS"A"'!K23+'BS"A"'!L42-'BS"A"'!K42+'BS"A"'!L33-'BS"A"'!K33+'BS"A"'!K71-'BS"A"'!L71+'BS"A"'!K83-'BS"A"'!L83)</f>
        <v>2636282.805344969</v>
      </c>
      <c r="G19" s="250">
        <f>-(+'BS"A"'!M23-'BS"A"'!L23+'BS"A"'!M42-'BS"A"'!L42+'BS"A"'!M33-'BS"A"'!L33+'BS"A"'!L71-'BS"A"'!M71+'BS"A"'!L83-'BS"A"'!M83)</f>
        <v>1524096.8958552778</v>
      </c>
      <c r="H19" s="250">
        <f>-(+'BS"A"'!N23-'BS"A"'!M23+'BS"A"'!N42-'BS"A"'!M42+'BS"A"'!N33-'BS"A"'!M33+'BS"A"'!M71-'BS"A"'!N71+'BS"A"'!M83-'BS"A"'!N83)</f>
        <v>-850125.090629071</v>
      </c>
      <c r="I19" s="250">
        <f>-(+'BS"A"'!O23-'BS"A"'!N23+'BS"A"'!O42-'BS"A"'!N42+'BS"A"'!O33-'BS"A"'!N33+'BS"A"'!N71-'BS"A"'!O71+'BS"A"'!N83-'BS"A"'!O83)</f>
        <v>-88712.018197774887</v>
      </c>
      <c r="J19" s="250">
        <f>-(+'BS"A"'!P23-'BS"A"'!O23+'BS"A"'!P42-'BS"A"'!O42+'BS"A"'!P33-'BS"A"'!O33+'BS"A"'!O71-'BS"A"'!P71+'BS"A"'!O83-'BS"A"'!P83)</f>
        <v>1672269.1788435876</v>
      </c>
      <c r="K19" s="250">
        <f>-(+'BS"A"'!Q23-'BS"A"'!P23+'BS"A"'!Q42-'BS"A"'!P42+'BS"A"'!Q33-'BS"A"'!P33+'BS"A"'!P71-'BS"A"'!Q71+'BS"A"'!P83-'BS"A"'!Q83)</f>
        <v>-2357623.4333641827</v>
      </c>
      <c r="L19" s="250">
        <f>-(+'BS"A"'!R23-'BS"A"'!Q23+'BS"A"'!R42-'BS"A"'!Q42+'BS"A"'!R33-'BS"A"'!Q33+'BS"A"'!Q71-'BS"A"'!R71+'BS"A"'!Q83-'BS"A"'!R83)</f>
        <v>40984.960383564234</v>
      </c>
      <c r="M19" s="250">
        <f>-(+'BS"A"'!S23-'BS"A"'!R23+'BS"A"'!S42-'BS"A"'!R42+'BS"A"'!S33-'BS"A"'!R33+'BS"A"'!R71-'BS"A"'!S71+'BS"A"'!R83-'BS"A"'!S83)</f>
        <v>56880.537469536066</v>
      </c>
      <c r="N19" s="250">
        <f>-(+'BS"A"'!T23-'BS"A"'!S23+'BS"A"'!T42-'BS"A"'!S42+'BS"A"'!T33-'BS"A"'!S33+'BS"A"'!S71-'BS"A"'!T71+'BS"A"'!S83-'BS"A"'!T83)</f>
        <v>32273.609154731035</v>
      </c>
      <c r="O19" s="250">
        <f>-(+'BS"A"'!U23-'BS"A"'!T23+'BS"A"'!U42-'BS"A"'!T42+'BS"A"'!U33-'BS"A"'!T33+'BS"A"'!T71-'BS"A"'!U71+'BS"A"'!T83-'BS"A"'!U83)</f>
        <v>-16193.784423857927</v>
      </c>
      <c r="P19" s="250">
        <f>-(+'BS"A"'!V23-'BS"A"'!U23+'BS"A"'!V42-'BS"A"'!U42+'BS"A"'!V33-'BS"A"'!U33+'BS"A"'!U71-'BS"A"'!V71+'BS"A"'!U83-'BS"A"'!V83)</f>
        <v>-53274.055312693119</v>
      </c>
      <c r="Q19" s="250">
        <f>-(+'BS"A"'!W23-'BS"A"'!V23+'BS"A"'!W42-'BS"A"'!V42+'BS"A"'!W33-'BS"A"'!V33+'BS"A"'!V71-'BS"A"'!W71+'BS"A"'!V83-'BS"A"'!W83)</f>
        <v>478386.76072135568</v>
      </c>
      <c r="R19" s="250">
        <f>-(+'BS"A"'!X23-'BS"A"'!W23+'BS"A"'!X42-'BS"A"'!W42+'BS"A"'!X33-'BS"A"'!W33+'BS"A"'!W71-'BS"A"'!X71+'BS"A"'!W83-'BS"A"'!X83)</f>
        <v>0</v>
      </c>
      <c r="S19" s="250">
        <f>-(+'BS"A"'!Y23-'BS"A"'!X23+'BS"A"'!Y42-'BS"A"'!X42+'BS"A"'!Y33-'BS"A"'!X33+'BS"A"'!X71-'BS"A"'!Y71+'BS"A"'!X83-'BS"A"'!Y83)</f>
        <v>0</v>
      </c>
      <c r="T19" s="250">
        <f>-(+'BS"A"'!Z23-'BS"A"'!Y23+'BS"A"'!Z42-'BS"A"'!Y42+'BS"A"'!Z33-'BS"A"'!Y33+'BS"A"'!Y71-'BS"A"'!Z71+'BS"A"'!Y83-'BS"A"'!Z83)</f>
        <v>0</v>
      </c>
      <c r="U19" s="250">
        <f>-(+'BS"A"'!AA23-'BS"A"'!Z23+'BS"A"'!AA42-'BS"A"'!Z42+'BS"A"'!AA33-'BS"A"'!Z33+'BS"A"'!Z71-'BS"A"'!AA71+'BS"A"'!Z83-'BS"A"'!AA83)</f>
        <v>0</v>
      </c>
      <c r="V19" s="250">
        <f>-(+'BS"A"'!AB23-'BS"A"'!AA23+'BS"A"'!AB42-'BS"A"'!AA42+'BS"A"'!AB33-'BS"A"'!AA33+'BS"A"'!AA71-'BS"A"'!AB71+'BS"A"'!AA83-'BS"A"'!AB83)</f>
        <v>0</v>
      </c>
      <c r="W19" s="250">
        <f>-(+'BS"A"'!AC23-'BS"A"'!AB23+'BS"A"'!AC42-'BS"A"'!AB42+'BS"A"'!AC33-'BS"A"'!AB33+'BS"A"'!AB71-'BS"A"'!AC71+'BS"A"'!AB83-'BS"A"'!AC83)</f>
        <v>0</v>
      </c>
      <c r="X19" s="253">
        <f>+M19</f>
        <v>56880.537469536066</v>
      </c>
      <c r="AA19" s="353"/>
    </row>
    <row r="20" spans="2:29" ht="11.25" customHeight="1">
      <c r="B20" s="17" t="s">
        <v>12</v>
      </c>
      <c r="C20" s="18">
        <f>'CF"A"'!H24</f>
        <v>-25724222.696994841</v>
      </c>
      <c r="D20" s="250">
        <f>'CF"A"'!I24</f>
        <v>-133179146.39687067</v>
      </c>
      <c r="E20" s="250">
        <f>'CF"A"'!J24</f>
        <v>-171921110.10819799</v>
      </c>
      <c r="F20" s="250">
        <f>'CF"A"'!K24</f>
        <v>-136499658.86470258</v>
      </c>
      <c r="G20" s="250">
        <f>'CF"A"'!L24</f>
        <v>-80247122.937189743</v>
      </c>
      <c r="H20" s="250">
        <f>'CF"A"'!M24</f>
        <v>-200617807.34297451</v>
      </c>
      <c r="I20" s="250">
        <f>'CF"A"'!N24</f>
        <v>-120370684.40578461</v>
      </c>
      <c r="J20" s="250">
        <f>'CF"A"'!O24</f>
        <v>-4576063.7266969159</v>
      </c>
      <c r="K20" s="250">
        <f>'CF"A"'!P24</f>
        <v>-4667585.0012308657</v>
      </c>
      <c r="L20" s="250">
        <f>'CF"A"'!Q24</f>
        <v>-4760936.7012555823</v>
      </c>
      <c r="M20" s="250">
        <f>'CF"A"'!R24</f>
        <v>-4856155.4352805912</v>
      </c>
      <c r="N20" s="250">
        <f>'CF"A"'!S24</f>
        <v>-4953278.543986164</v>
      </c>
      <c r="O20" s="250">
        <f>'CF"A"'!T24</f>
        <v>-5052344.1148658097</v>
      </c>
      <c r="P20" s="250">
        <f>'CF"A"'!U24</f>
        <v>-5153390.997163184</v>
      </c>
      <c r="Q20" s="250">
        <f>'CF"A"'!V24</f>
        <v>-5256458.8171064816</v>
      </c>
      <c r="R20" s="250">
        <f>'CF"A"'!W24</f>
        <v>-5361587.9934485555</v>
      </c>
      <c r="S20" s="250">
        <f>'CF"A"'!X24</f>
        <v>-5468819.7533174939</v>
      </c>
      <c r="T20" s="250">
        <f>'CF"A"'!Y24</f>
        <v>-5578196.1483838484</v>
      </c>
      <c r="U20" s="250">
        <f>'CF"A"'!Z24</f>
        <v>-5689760.0713516697</v>
      </c>
      <c r="V20" s="250">
        <f>'CF"A"'!AA24</f>
        <v>-5803555.2727785297</v>
      </c>
      <c r="W20" s="250">
        <f>'CF"A"'!AB24</f>
        <v>-5919626.3782340847</v>
      </c>
      <c r="X20" s="253">
        <f>M20</f>
        <v>-4856155.4352805912</v>
      </c>
      <c r="AA20" s="353"/>
    </row>
    <row r="21" spans="2:29" ht="11.25" customHeight="1">
      <c r="B21" s="17" t="s">
        <v>28</v>
      </c>
      <c r="C21" s="18">
        <f>'BS"A"'!I65-'BS"A"'!H65+'BS"A"'!H27-'BS"A"'!I27</f>
        <v>0</v>
      </c>
      <c r="D21" s="250">
        <f>'BS"A"'!J65-'BS"A"'!I65+'BS"A"'!I27-'BS"A"'!J27</f>
        <v>0</v>
      </c>
      <c r="E21" s="250">
        <f>'BS"A"'!K65-'BS"A"'!J65+'BS"A"'!J27-'BS"A"'!K27</f>
        <v>0</v>
      </c>
      <c r="F21" s="250">
        <f>'BS"A"'!L65-'BS"A"'!K65+'BS"A"'!K27-'BS"A"'!L27</f>
        <v>0</v>
      </c>
      <c r="G21" s="250">
        <f>'BS"A"'!M65-'BS"A"'!L65+'BS"A"'!L27-'BS"A"'!M27</f>
        <v>0</v>
      </c>
      <c r="H21" s="250">
        <f>'BS"A"'!N65-'BS"A"'!M65+'BS"A"'!M27-'BS"A"'!N27</f>
        <v>0</v>
      </c>
      <c r="I21" s="250">
        <f>'BS"A"'!O65-'BS"A"'!N65+'BS"A"'!N27-'BS"A"'!O27</f>
        <v>0</v>
      </c>
      <c r="J21" s="250">
        <f>'BS"A"'!P65-'BS"A"'!O65+'BS"A"'!O27-'BS"A"'!P27</f>
        <v>0</v>
      </c>
      <c r="K21" s="250">
        <f>'BS"A"'!Q65-'BS"A"'!P65+'BS"A"'!P27-'BS"A"'!Q27</f>
        <v>0</v>
      </c>
      <c r="L21" s="250">
        <f>'BS"A"'!R65-'BS"A"'!Q65+'BS"A"'!Q27-'BS"A"'!R27</f>
        <v>0</v>
      </c>
      <c r="M21" s="250">
        <f>'BS"A"'!S65-'BS"A"'!R65+'BS"A"'!R27-'BS"A"'!S27</f>
        <v>0</v>
      </c>
      <c r="N21" s="250">
        <f>'BS"A"'!T65-'BS"A"'!S65+'BS"A"'!S27-'BS"A"'!T27</f>
        <v>0</v>
      </c>
      <c r="O21" s="250">
        <f>'BS"A"'!U65-'BS"A"'!T65+'BS"A"'!T27-'BS"A"'!U27</f>
        <v>0</v>
      </c>
      <c r="P21" s="250">
        <f>'BS"A"'!V65-'BS"A"'!U65+'BS"A"'!U27-'BS"A"'!V27</f>
        <v>0</v>
      </c>
      <c r="Q21" s="250">
        <f>'BS"A"'!W65-'BS"A"'!V65+'BS"A"'!V27-'BS"A"'!W27</f>
        <v>0</v>
      </c>
      <c r="R21" s="250">
        <f>'BS"A"'!X65-'BS"A"'!W65+'BS"A"'!W27-'BS"A"'!X27</f>
        <v>0</v>
      </c>
      <c r="S21" s="250">
        <f>'BS"A"'!Y65-'BS"A"'!X65+'BS"A"'!X27-'BS"A"'!Y27</f>
        <v>0</v>
      </c>
      <c r="T21" s="250">
        <f>'BS"A"'!Z65-'BS"A"'!Y65+'BS"A"'!Y27-'BS"A"'!Z27</f>
        <v>0</v>
      </c>
      <c r="U21" s="250">
        <f>'BS"A"'!AA65-'BS"A"'!Z65+'BS"A"'!Z27-'BS"A"'!AA27</f>
        <v>0</v>
      </c>
      <c r="V21" s="250">
        <f>'BS"A"'!AB65-'BS"A"'!AA65+'BS"A"'!AA27-'BS"A"'!AB27</f>
        <v>0</v>
      </c>
      <c r="W21" s="250">
        <f>'BS"A"'!AC65-'BS"A"'!AB65+'BS"A"'!AB27-'BS"A"'!AC27</f>
        <v>0</v>
      </c>
      <c r="X21" s="253"/>
      <c r="AA21" s="353"/>
    </row>
    <row r="22" spans="2:29" ht="11.25" customHeight="1">
      <c r="B22" s="17" t="s">
        <v>29</v>
      </c>
      <c r="C22" s="18">
        <f>+'BS"A"'!I61-'BS"A"'!H61</f>
        <v>0</v>
      </c>
      <c r="D22" s="250">
        <f>+'BS"A"'!J61-'BS"A"'!I61</f>
        <v>0</v>
      </c>
      <c r="E22" s="250">
        <f>+'BS"A"'!K61-'BS"A"'!J61</f>
        <v>0</v>
      </c>
      <c r="F22" s="250">
        <f>+'BS"A"'!L61-'BS"A"'!K61</f>
        <v>0</v>
      </c>
      <c r="G22" s="250">
        <f>+'BS"A"'!M61-'BS"A"'!L61</f>
        <v>0</v>
      </c>
      <c r="H22" s="250">
        <f>+'BS"A"'!N61-'BS"A"'!M61</f>
        <v>0</v>
      </c>
      <c r="I22" s="250">
        <f>+'BS"A"'!O61-'BS"A"'!N61</f>
        <v>0</v>
      </c>
      <c r="J22" s="250">
        <f>+'BS"A"'!P61-'BS"A"'!O61</f>
        <v>0</v>
      </c>
      <c r="K22" s="250">
        <f>+'BS"A"'!Q61-'BS"A"'!P61</f>
        <v>0</v>
      </c>
      <c r="L22" s="250">
        <f>+'BS"A"'!R61-'BS"A"'!Q61</f>
        <v>0</v>
      </c>
      <c r="M22" s="250">
        <f>+'BS"A"'!S61-'BS"A"'!R61</f>
        <v>0</v>
      </c>
      <c r="N22" s="250">
        <f>+'BS"A"'!T61-'BS"A"'!S61</f>
        <v>0</v>
      </c>
      <c r="O22" s="250">
        <f>+'BS"A"'!U61-'BS"A"'!T61</f>
        <v>0</v>
      </c>
      <c r="P22" s="250">
        <f>+'BS"A"'!V61-'BS"A"'!U61</f>
        <v>0</v>
      </c>
      <c r="Q22" s="250">
        <f>+'BS"A"'!W61-'BS"A"'!V61</f>
        <v>0</v>
      </c>
      <c r="R22" s="250">
        <f>+'BS"A"'!X61-'BS"A"'!W61</f>
        <v>0</v>
      </c>
      <c r="S22" s="250">
        <f>+'BS"A"'!Y61-'BS"A"'!X61</f>
        <v>0</v>
      </c>
      <c r="T22" s="250">
        <f>+'BS"A"'!Z61-'BS"A"'!Y61</f>
        <v>0</v>
      </c>
      <c r="U22" s="250">
        <f>+'BS"A"'!AA61-'BS"A"'!Z61</f>
        <v>0</v>
      </c>
      <c r="V22" s="250">
        <f>+'BS"A"'!AB61-'BS"A"'!AA61</f>
        <v>0</v>
      </c>
      <c r="W22" s="250">
        <f>+'BS"A"'!AC61-'BS"A"'!AB61</f>
        <v>0</v>
      </c>
      <c r="X22" s="253"/>
      <c r="AA22" s="353"/>
    </row>
    <row r="23" spans="2:29" ht="11.25" customHeight="1">
      <c r="B23" s="17" t="s">
        <v>30</v>
      </c>
      <c r="C23" s="18">
        <f>+'PL"A"'!I41*(1-'FCFs"A"'!C51)</f>
        <v>0</v>
      </c>
      <c r="D23" s="250">
        <f>+'PL"A"'!J41*(1-'FCFs"A"'!D51)</f>
        <v>0</v>
      </c>
      <c r="E23" s="250">
        <f>+'PL"A"'!K41*(1-'FCFs"A"'!E51)</f>
        <v>0</v>
      </c>
      <c r="F23" s="250">
        <f>+'PL"A"'!L41*(1-'FCFs"A"'!F51)</f>
        <v>0</v>
      </c>
      <c r="G23" s="250">
        <f>+'PL"A"'!M41*(1-'FCFs"A"'!G51)</f>
        <v>0</v>
      </c>
      <c r="H23" s="250">
        <f>+'PL"A"'!N41*(1-'FCFs"A"'!H51)</f>
        <v>0</v>
      </c>
      <c r="I23" s="250">
        <f>+'PL"A"'!O41*(1-'FCFs"A"'!I51)</f>
        <v>0</v>
      </c>
      <c r="J23" s="250">
        <f>+'PL"A"'!P41*(1-'FCFs"A"'!J51)</f>
        <v>0</v>
      </c>
      <c r="K23" s="250">
        <f>+'PL"A"'!Q41*(1-'FCFs"A"'!K51)</f>
        <v>0</v>
      </c>
      <c r="L23" s="250">
        <f>+'PL"A"'!R41*(1-'FCFs"A"'!L51)</f>
        <v>0</v>
      </c>
      <c r="M23" s="250">
        <f>+'PL"A"'!S41*(1-'FCFs"A"'!M51)</f>
        <v>0</v>
      </c>
      <c r="N23" s="250">
        <f>+'PL"A"'!T41*(1-'FCFs"A"'!N51)</f>
        <v>0</v>
      </c>
      <c r="O23" s="250">
        <f>+'PL"A"'!U41*(1-'FCFs"A"'!O51)</f>
        <v>0</v>
      </c>
      <c r="P23" s="250">
        <f>+'PL"A"'!V41*(1-'FCFs"A"'!P51)</f>
        <v>0</v>
      </c>
      <c r="Q23" s="250">
        <f>+'PL"A"'!W41*(1-'FCFs"A"'!Q51)</f>
        <v>0</v>
      </c>
      <c r="R23" s="250">
        <f>+'PL"A"'!X41*(1-'FCFs"A"'!R51)</f>
        <v>0</v>
      </c>
      <c r="S23" s="250">
        <f>+'PL"A"'!Y41*(1-'FCFs"A"'!S51)</f>
        <v>0</v>
      </c>
      <c r="T23" s="250">
        <f>+'PL"A"'!Z41*(1-'FCFs"A"'!T51)</f>
        <v>0</v>
      </c>
      <c r="U23" s="250">
        <f>+'PL"A"'!AA41*(1-'FCFs"A"'!U51)</f>
        <v>0</v>
      </c>
      <c r="V23" s="250">
        <f>+'PL"A"'!AB41*(1-'FCFs"A"'!V51)</f>
        <v>0</v>
      </c>
      <c r="W23" s="250">
        <f>+'PL"A"'!AC41*(1-'FCFs"A"'!W51)</f>
        <v>0</v>
      </c>
      <c r="X23" s="253">
        <f>+M23</f>
        <v>0</v>
      </c>
      <c r="AA23" s="353"/>
    </row>
    <row r="24" spans="2:29" ht="11.25" customHeight="1">
      <c r="B24" s="19" t="s">
        <v>31</v>
      </c>
      <c r="C24" s="20">
        <f>+C17+C18+C19+C20+C23+C22+C21-C30</f>
        <v>-69517006.778497204</v>
      </c>
      <c r="D24" s="254">
        <f t="shared" ref="D24:W24" si="24">+D17+D18+D19+D20+D23+D22+D21-D30</f>
        <v>-178747211.8208636</v>
      </c>
      <c r="E24" s="254">
        <f t="shared" si="24"/>
        <v>-214810704.3558327</v>
      </c>
      <c r="F24" s="254">
        <f t="shared" si="24"/>
        <v>-176352812.98156509</v>
      </c>
      <c r="G24" s="254">
        <f t="shared" si="24"/>
        <v>-118675480.59012736</v>
      </c>
      <c r="H24" s="254">
        <f t="shared" si="24"/>
        <v>-238840758.54974726</v>
      </c>
      <c r="I24" s="254">
        <f t="shared" si="24"/>
        <v>-153615106.28793368</v>
      </c>
      <c r="J24" s="254">
        <f t="shared" si="24"/>
        <v>-33234193.734424174</v>
      </c>
      <c r="K24" s="254">
        <f t="shared" si="24"/>
        <v>-33436141.366736382</v>
      </c>
      <c r="L24" s="254">
        <f t="shared" si="24"/>
        <v>-30720751.816460289</v>
      </c>
      <c r="M24" s="254">
        <f t="shared" si="24"/>
        <v>-30384826.62670783</v>
      </c>
      <c r="N24" s="254">
        <f t="shared" si="24"/>
        <v>-30093084.190730106</v>
      </c>
      <c r="O24" s="254">
        <f t="shared" si="24"/>
        <v>-29833701.609278124</v>
      </c>
      <c r="P24" s="254">
        <f t="shared" si="24"/>
        <v>-29570141.452424578</v>
      </c>
      <c r="Q24" s="254">
        <f t="shared" si="24"/>
        <v>-31287702.022506282</v>
      </c>
      <c r="R24" s="254">
        <f t="shared" si="24"/>
        <v>-31871217.959569715</v>
      </c>
      <c r="S24" s="254">
        <f t="shared" si="24"/>
        <v>-31978449.71943865</v>
      </c>
      <c r="T24" s="254">
        <f t="shared" si="24"/>
        <v>-32087826.114505</v>
      </c>
      <c r="U24" s="254">
        <f t="shared" si="24"/>
        <v>-32199390.037472829</v>
      </c>
      <c r="V24" s="254">
        <f t="shared" si="24"/>
        <v>-32313185.238899678</v>
      </c>
      <c r="W24" s="254">
        <f t="shared" si="24"/>
        <v>-32429256.344355233</v>
      </c>
      <c r="X24" s="256">
        <f t="shared" ref="X24" si="25">+X17+X18+X19+X20+X23+X22+X21</f>
        <v>-23647240.566218063</v>
      </c>
      <c r="AA24" s="353"/>
    </row>
    <row r="25" spans="2:29" ht="11.25" customHeight="1">
      <c r="B25" s="17" t="s">
        <v>30</v>
      </c>
      <c r="C25" s="18">
        <f>-C23</f>
        <v>0</v>
      </c>
      <c r="D25" s="250">
        <f t="shared" ref="D25:O25" si="26">-D23</f>
        <v>0</v>
      </c>
      <c r="E25" s="250">
        <f t="shared" si="26"/>
        <v>0</v>
      </c>
      <c r="F25" s="250">
        <f t="shared" si="26"/>
        <v>0</v>
      </c>
      <c r="G25" s="250">
        <f t="shared" si="26"/>
        <v>0</v>
      </c>
      <c r="H25" s="250">
        <f t="shared" si="26"/>
        <v>0</v>
      </c>
      <c r="I25" s="250">
        <f t="shared" si="26"/>
        <v>0</v>
      </c>
      <c r="J25" s="250">
        <f t="shared" si="26"/>
        <v>0</v>
      </c>
      <c r="K25" s="250">
        <f t="shared" si="26"/>
        <v>0</v>
      </c>
      <c r="L25" s="250">
        <f t="shared" si="26"/>
        <v>0</v>
      </c>
      <c r="M25" s="250">
        <f t="shared" si="26"/>
        <v>0</v>
      </c>
      <c r="N25" s="250">
        <f t="shared" si="26"/>
        <v>0</v>
      </c>
      <c r="O25" s="250">
        <f t="shared" si="26"/>
        <v>0</v>
      </c>
      <c r="P25" s="250">
        <f t="shared" ref="P25" si="27">-P23</f>
        <v>0</v>
      </c>
      <c r="Q25" s="250">
        <f t="shared" ref="Q25:W25" si="28">-Q23</f>
        <v>0</v>
      </c>
      <c r="R25" s="250">
        <f t="shared" si="28"/>
        <v>0</v>
      </c>
      <c r="S25" s="250">
        <f t="shared" si="28"/>
        <v>0</v>
      </c>
      <c r="T25" s="250">
        <f t="shared" si="28"/>
        <v>0</v>
      </c>
      <c r="U25" s="250">
        <f t="shared" si="28"/>
        <v>0</v>
      </c>
      <c r="V25" s="250">
        <f t="shared" si="28"/>
        <v>0</v>
      </c>
      <c r="W25" s="250">
        <f t="shared" si="28"/>
        <v>0</v>
      </c>
      <c r="X25" s="253">
        <f>+M25</f>
        <v>0</v>
      </c>
      <c r="AA25" s="353"/>
    </row>
    <row r="26" spans="2:29" ht="11.25" customHeight="1">
      <c r="B26" s="17" t="s">
        <v>32</v>
      </c>
      <c r="C26" s="18">
        <f>+'BS"A"'!I79-'BS"A"'!H79</f>
        <v>0</v>
      </c>
      <c r="D26" s="250">
        <f>+'BS"A"'!J79-'BS"A"'!I79</f>
        <v>0</v>
      </c>
      <c r="E26" s="250">
        <f>+'BS"A"'!K79-'BS"A"'!J79</f>
        <v>0</v>
      </c>
      <c r="F26" s="250">
        <f>+'BS"A"'!L79-'BS"A"'!K79</f>
        <v>0</v>
      </c>
      <c r="G26" s="250">
        <f>+'BS"A"'!M79-'BS"A"'!L79</f>
        <v>0</v>
      </c>
      <c r="H26" s="250">
        <f>+'BS"A"'!N79-'BS"A"'!M79</f>
        <v>0</v>
      </c>
      <c r="I26" s="250">
        <f>+'BS"A"'!O79-'BS"A"'!N79</f>
        <v>0</v>
      </c>
      <c r="J26" s="250">
        <f>+'BS"A"'!P79-'BS"A"'!O79</f>
        <v>0</v>
      </c>
      <c r="K26" s="250">
        <f>+'BS"A"'!Q79-'BS"A"'!P79</f>
        <v>0</v>
      </c>
      <c r="L26" s="250">
        <f>+'BS"A"'!R79-'BS"A"'!Q79</f>
        <v>0</v>
      </c>
      <c r="M26" s="250">
        <f>+'BS"A"'!S79-'BS"A"'!R79</f>
        <v>0</v>
      </c>
      <c r="N26" s="250">
        <f>+'BS"A"'!T79-'BS"A"'!S79</f>
        <v>0</v>
      </c>
      <c r="O26" s="250">
        <f>+'BS"A"'!U79-'BS"A"'!T79</f>
        <v>0</v>
      </c>
      <c r="P26" s="250">
        <f>+'BS"A"'!V79-'BS"A"'!U79</f>
        <v>0</v>
      </c>
      <c r="Q26" s="250">
        <f>+'BS"A"'!W79-'BS"A"'!V79</f>
        <v>0</v>
      </c>
      <c r="R26" s="250">
        <f>+'BS"A"'!X79-'BS"A"'!W79</f>
        <v>0</v>
      </c>
      <c r="S26" s="250">
        <f>+'BS"A"'!Y79-'BS"A"'!X79</f>
        <v>0</v>
      </c>
      <c r="T26" s="250">
        <f>+'BS"A"'!Z79-'BS"A"'!Y79</f>
        <v>0</v>
      </c>
      <c r="U26" s="250">
        <f>+'BS"A"'!AA79-'BS"A"'!Z79</f>
        <v>0</v>
      </c>
      <c r="V26" s="250">
        <f>+'BS"A"'!AB79-'BS"A"'!AA79</f>
        <v>0</v>
      </c>
      <c r="W26" s="250">
        <f>+'BS"A"'!AC79-'BS"A"'!AB79</f>
        <v>0</v>
      </c>
      <c r="X26" s="253">
        <f>+M26</f>
        <v>0</v>
      </c>
      <c r="AA26" s="353"/>
    </row>
    <row r="27" spans="2:29" ht="11.25" customHeight="1">
      <c r="B27" s="19" t="s">
        <v>33</v>
      </c>
      <c r="C27" s="20">
        <f t="shared" ref="C27:X27" si="29">+C24+C25+C26</f>
        <v>-69517006.778497204</v>
      </c>
      <c r="D27" s="254">
        <f t="shared" si="29"/>
        <v>-178747211.8208636</v>
      </c>
      <c r="E27" s="254">
        <f t="shared" si="29"/>
        <v>-214810704.3558327</v>
      </c>
      <c r="F27" s="254">
        <f t="shared" si="29"/>
        <v>-176352812.98156509</v>
      </c>
      <c r="G27" s="254">
        <f t="shared" si="29"/>
        <v>-118675480.59012736</v>
      </c>
      <c r="H27" s="254">
        <f t="shared" si="29"/>
        <v>-238840758.54974726</v>
      </c>
      <c r="I27" s="254">
        <f t="shared" si="29"/>
        <v>-153615106.28793368</v>
      </c>
      <c r="J27" s="254">
        <f t="shared" si="29"/>
        <v>-33234193.734424174</v>
      </c>
      <c r="K27" s="254">
        <f t="shared" si="29"/>
        <v>-33436141.366736382</v>
      </c>
      <c r="L27" s="254">
        <f t="shared" si="29"/>
        <v>-30720751.816460289</v>
      </c>
      <c r="M27" s="254">
        <f t="shared" si="29"/>
        <v>-30384826.62670783</v>
      </c>
      <c r="N27" s="254">
        <f t="shared" si="29"/>
        <v>-30093084.190730106</v>
      </c>
      <c r="O27" s="254">
        <f t="shared" si="29"/>
        <v>-29833701.609278124</v>
      </c>
      <c r="P27" s="254">
        <f t="shared" ref="P27" si="30">+P24+P25+P26</f>
        <v>-29570141.452424578</v>
      </c>
      <c r="Q27" s="254">
        <f t="shared" ref="Q27:W27" si="31">+Q24+Q25+Q26</f>
        <v>-31287702.022506282</v>
      </c>
      <c r="R27" s="254">
        <f t="shared" si="31"/>
        <v>-31871217.959569715</v>
      </c>
      <c r="S27" s="254">
        <f t="shared" si="31"/>
        <v>-31978449.71943865</v>
      </c>
      <c r="T27" s="254">
        <f t="shared" si="31"/>
        <v>-32087826.114505</v>
      </c>
      <c r="U27" s="254">
        <f t="shared" si="31"/>
        <v>-32199390.037472829</v>
      </c>
      <c r="V27" s="254">
        <f t="shared" si="31"/>
        <v>-32313185.238899678</v>
      </c>
      <c r="W27" s="254">
        <f t="shared" si="31"/>
        <v>-32429256.344355233</v>
      </c>
      <c r="X27" s="256">
        <f t="shared" si="29"/>
        <v>-23647240.566218063</v>
      </c>
      <c r="AA27" s="353"/>
    </row>
    <row r="28" spans="2:29" ht="11.25" customHeight="1">
      <c r="B28" s="230" t="s">
        <v>34</v>
      </c>
      <c r="C28" s="231">
        <f t="shared" ref="C28:O28" si="32">(C24)*C64</f>
        <v>-67286224.915966898</v>
      </c>
      <c r="D28" s="231">
        <f t="shared" si="32"/>
        <v>-164772630.81143218</v>
      </c>
      <c r="E28" s="231">
        <f t="shared" si="32"/>
        <v>-188587289.98506567</v>
      </c>
      <c r="F28" s="231">
        <f t="shared" si="32"/>
        <v>-147451635.13313541</v>
      </c>
      <c r="G28" s="231">
        <f t="shared" si="32"/>
        <v>-94501543.416476846</v>
      </c>
      <c r="H28" s="231">
        <f t="shared" si="32"/>
        <v>-181132776.87608355</v>
      </c>
      <c r="I28" s="231">
        <f t="shared" si="32"/>
        <v>-110951513.27325597</v>
      </c>
      <c r="J28" s="231">
        <f t="shared" si="32"/>
        <v>-22860996.250121087</v>
      </c>
      <c r="K28" s="231">
        <f t="shared" si="32"/>
        <v>-21904677.267655898</v>
      </c>
      <c r="L28" s="231">
        <f t="shared" si="32"/>
        <v>-19167401.79802287</v>
      </c>
      <c r="M28" s="231">
        <f t="shared" si="32"/>
        <v>-18055057.283099361</v>
      </c>
      <c r="N28" s="231">
        <f t="shared" si="32"/>
        <v>-17030190.62030885</v>
      </c>
      <c r="O28" s="231">
        <f t="shared" si="32"/>
        <v>-16079430.080702687</v>
      </c>
      <c r="P28" s="231">
        <f t="shared" ref="P28" si="33">(P24)*P64</f>
        <v>-15178456.587622885</v>
      </c>
      <c r="Q28" s="231">
        <f t="shared" ref="Q28:W28" si="34">(Q24)*Q64</f>
        <v>-15295320.390258169</v>
      </c>
      <c r="R28" s="231">
        <f t="shared" si="34"/>
        <v>-14838645.961361405</v>
      </c>
      <c r="S28" s="231">
        <f t="shared" si="34"/>
        <v>-14179591.49826913</v>
      </c>
      <c r="T28" s="231">
        <f t="shared" si="34"/>
        <v>-13550562.074594297</v>
      </c>
      <c r="U28" s="231">
        <f t="shared" si="34"/>
        <v>-12950166.741024993</v>
      </c>
      <c r="V28" s="231">
        <f t="shared" si="34"/>
        <v>-12377079.674945747</v>
      </c>
      <c r="W28" s="231">
        <f t="shared" si="34"/>
        <v>-11830037.11085216</v>
      </c>
      <c r="X28" s="257"/>
    </row>
    <row r="29" spans="2:29" ht="11.25" customHeight="1">
      <c r="B29" s="230" t="s">
        <v>35</v>
      </c>
      <c r="C29" s="231">
        <f t="shared" ref="C29:O29" si="35">(C27)*C49</f>
        <v>-67286224.915966898</v>
      </c>
      <c r="D29" s="231">
        <f t="shared" si="35"/>
        <v>-164772630.81143218</v>
      </c>
      <c r="E29" s="231">
        <f t="shared" si="35"/>
        <v>-188587289.98506567</v>
      </c>
      <c r="F29" s="231">
        <f t="shared" si="35"/>
        <v>-147451635.13313541</v>
      </c>
      <c r="G29" s="231">
        <f t="shared" si="35"/>
        <v>-94501543.416476846</v>
      </c>
      <c r="H29" s="231">
        <f t="shared" si="35"/>
        <v>-181132776.87608355</v>
      </c>
      <c r="I29" s="231">
        <f t="shared" si="35"/>
        <v>-110951513.27325597</v>
      </c>
      <c r="J29" s="231">
        <f t="shared" si="35"/>
        <v>-22860996.250121087</v>
      </c>
      <c r="K29" s="231">
        <f t="shared" si="35"/>
        <v>-21904677.267655898</v>
      </c>
      <c r="L29" s="231">
        <f t="shared" si="35"/>
        <v>-19167401.79802287</v>
      </c>
      <c r="M29" s="231">
        <f t="shared" si="35"/>
        <v>-18055057.283099361</v>
      </c>
      <c r="N29" s="231">
        <f t="shared" si="35"/>
        <v>-17030190.62030885</v>
      </c>
      <c r="O29" s="231">
        <f t="shared" si="35"/>
        <v>-16079430.080702687</v>
      </c>
      <c r="P29" s="231">
        <f t="shared" ref="P29" si="36">(P27)*P49</f>
        <v>-15178456.587622885</v>
      </c>
      <c r="Q29" s="231">
        <f t="shared" ref="Q29:W29" si="37">(Q27)*Q49</f>
        <v>-15295320.390258169</v>
      </c>
      <c r="R29" s="231">
        <f t="shared" si="37"/>
        <v>-14838645.961361405</v>
      </c>
      <c r="S29" s="231">
        <f t="shared" si="37"/>
        <v>-14179591.49826913</v>
      </c>
      <c r="T29" s="231">
        <f t="shared" si="37"/>
        <v>-13550562.074594297</v>
      </c>
      <c r="U29" s="231">
        <f t="shared" si="37"/>
        <v>-12950166.741024993</v>
      </c>
      <c r="V29" s="231">
        <f t="shared" si="37"/>
        <v>-12377079.674945747</v>
      </c>
      <c r="W29" s="231">
        <f t="shared" si="37"/>
        <v>-11830037.11085216</v>
      </c>
    </row>
    <row r="30" spans="2:29" s="1141" customFormat="1" ht="11.25" customHeight="1">
      <c r="B30" s="1142" t="s">
        <v>3414</v>
      </c>
      <c r="C30" s="1143">
        <f>SUM('Revenues"A"'!H39:H42,'Revenues"A"'!H48)</f>
        <v>0</v>
      </c>
      <c r="D30" s="1143">
        <f>SUM('Revenues"A"'!I39:I42,'Revenues"A"'!I48)</f>
        <v>-23999.164835705215</v>
      </c>
      <c r="E30" s="1143">
        <f>SUM('Revenues"A"'!J39:J42,'Revenues"A"'!J48)</f>
        <v>356209.27334343735</v>
      </c>
      <c r="F30" s="1143">
        <f>SUM('Revenues"A"'!K39:K42,'Revenues"A"'!K48)</f>
        <v>1140641.7610476823</v>
      </c>
      <c r="G30" s="1143">
        <f>SUM('Revenues"A"'!L39:L42,'Revenues"A"'!L48)</f>
        <v>1702798.936336468</v>
      </c>
      <c r="H30" s="1143">
        <f>SUM('Revenues"A"'!M39:M42,'Revenues"A"'!M48)</f>
        <v>2257062.7167976289</v>
      </c>
      <c r="I30" s="1143">
        <f>SUM('Revenues"A"'!N39:N42,'Revenues"A"'!N48)</f>
        <v>3650973.2844018503</v>
      </c>
      <c r="J30" s="1143">
        <f>SUM('Revenues"A"'!O39:O42,'Revenues"A"'!O48)</f>
        <v>5098705.6469498202</v>
      </c>
      <c r="K30" s="1143">
        <f>SUM('Revenues"A"'!P39:P42,'Revenues"A"'!P48)</f>
        <v>6477998.1978372913</v>
      </c>
      <c r="L30" s="1143">
        <f>SUM('Revenues"A"'!Q39:Q42,'Revenues"A"'!Q48)</f>
        <v>6606722.9930994119</v>
      </c>
      <c r="M30" s="1143">
        <f>SUM('Revenues"A"'!R39:R42,'Revenues"A"'!R48)</f>
        <v>6737586.0604897644</v>
      </c>
      <c r="N30" s="1143">
        <f>SUM('Revenues"A"'!S39:S42,'Revenues"A"'!S48)</f>
        <v>6868222.9560517846</v>
      </c>
      <c r="O30" s="1143">
        <f>SUM('Revenues"A"'!T39:T42,'Revenues"A"'!T48)</f>
        <v>6998306.1718645291</v>
      </c>
      <c r="P30" s="1143">
        <f>SUM('Revenues"A"'!U39:U42,'Revenues"A"'!U48)</f>
        <v>7128116.3905645302</v>
      </c>
      <c r="Q30" s="1143">
        <f>SUM('Revenues"A"'!V39:V42,'Revenues"A"'!V48)</f>
        <v>7125155.4923635721</v>
      </c>
      <c r="R30" s="1143">
        <f>SUM('Revenues"A"'!W39:W42,'Revenues"A"'!W48)</f>
        <v>7122194.5941626122</v>
      </c>
      <c r="S30" s="1143">
        <f>SUM('Revenues"A"'!X39:X42,'Revenues"A"'!X48)</f>
        <v>7119233.6959616523</v>
      </c>
      <c r="T30" s="1143">
        <f>SUM('Revenues"A"'!Y39:Y42,'Revenues"A"'!Y48)</f>
        <v>7116272.7977606952</v>
      </c>
      <c r="U30" s="1143">
        <f>SUM('Revenues"A"'!Z39:Z42,'Revenues"A"'!Z48)</f>
        <v>7113311.8995597344</v>
      </c>
      <c r="V30" s="1143">
        <f>SUM('Revenues"A"'!AA39:AA42,'Revenues"A"'!AA48)</f>
        <v>7110351.0013587773</v>
      </c>
      <c r="W30" s="1143">
        <f>SUM('Revenues"A"'!AB39:AB42,'Revenues"A"'!AB48)</f>
        <v>7107390.1031578174</v>
      </c>
      <c r="X30" s="1144"/>
      <c r="Y30" s="1144"/>
      <c r="Z30" s="1144"/>
      <c r="AA30" s="1144"/>
      <c r="AB30" s="1144"/>
      <c r="AC30" s="1144"/>
    </row>
    <row r="31" spans="2:29" s="1141" customFormat="1" ht="11.25" customHeight="1">
      <c r="B31" s="1142" t="s">
        <v>3415</v>
      </c>
      <c r="C31" s="1143">
        <f>C30*C55</f>
        <v>0</v>
      </c>
      <c r="D31" s="1143">
        <f t="shared" ref="D31:W31" si="38">D30*D55</f>
        <v>-22122.893481658197</v>
      </c>
      <c r="E31" s="1143">
        <f t="shared" si="38"/>
        <v>312724.36692033184</v>
      </c>
      <c r="F31" s="1143">
        <f t="shared" si="38"/>
        <v>953710.29202239856</v>
      </c>
      <c r="G31" s="1143">
        <f t="shared" si="38"/>
        <v>1355942.4980758666</v>
      </c>
      <c r="H31" s="1143">
        <f t="shared" si="38"/>
        <v>1711718.0499654065</v>
      </c>
      <c r="I31" s="1143">
        <f t="shared" si="38"/>
        <v>2636986.8212396866</v>
      </c>
      <c r="J31" s="1143">
        <f t="shared" si="38"/>
        <v>3507276.0183935491</v>
      </c>
      <c r="K31" s="1143">
        <f t="shared" si="38"/>
        <v>4243864.6944245985</v>
      </c>
      <c r="L31" s="1143">
        <f t="shared" si="38"/>
        <v>4122090.3359898212</v>
      </c>
      <c r="M31" s="1143">
        <f t="shared" si="38"/>
        <v>4003560.8485265481</v>
      </c>
      <c r="N31" s="1143">
        <f t="shared" si="38"/>
        <v>3886844.7455569766</v>
      </c>
      <c r="O31" s="1143">
        <f t="shared" si="38"/>
        <v>3771867.6766160964</v>
      </c>
      <c r="P31" s="1143">
        <f t="shared" si="38"/>
        <v>3658886.9674424771</v>
      </c>
      <c r="Q31" s="1143">
        <f t="shared" si="38"/>
        <v>3483206.7886517998</v>
      </c>
      <c r="R31" s="1143">
        <f t="shared" si="38"/>
        <v>3315961.2596156923</v>
      </c>
      <c r="S31" s="1143">
        <f t="shared" si="38"/>
        <v>3156745.4481098903</v>
      </c>
      <c r="T31" s="1143">
        <f t="shared" si="38"/>
        <v>3005173.8606939493</v>
      </c>
      <c r="U31" s="1143">
        <f t="shared" si="38"/>
        <v>2860879.5096121556</v>
      </c>
      <c r="V31" s="1143">
        <f t="shared" si="38"/>
        <v>2723513.0244821575</v>
      </c>
      <c r="W31" s="1143">
        <f t="shared" si="38"/>
        <v>2592741.8066216549</v>
      </c>
      <c r="X31" s="1144"/>
      <c r="Y31" s="1144"/>
      <c r="Z31" s="1144"/>
      <c r="AA31" s="1144"/>
      <c r="AB31" s="1144"/>
      <c r="AC31" s="1144"/>
    </row>
    <row r="32" spans="2:29" ht="11.25" customHeight="1">
      <c r="B32" s="230" t="s">
        <v>18</v>
      </c>
      <c r="C32" s="231">
        <f>MAX(0,C27)*IF(C16&lt;='summary"A"'!$C$5,1,0)</f>
        <v>0</v>
      </c>
      <c r="D32" s="231">
        <f>MAX(0,D27)*IF(D16&lt;='summary"A"'!$C$5,1,0)</f>
        <v>0</v>
      </c>
      <c r="E32" s="231">
        <f>MAX(0,E27)*IF(E16&lt;='summary"A"'!$C$5,1,0)</f>
        <v>0</v>
      </c>
      <c r="F32" s="231">
        <f>MAX(0,F27)*IF(F16&lt;='summary"A"'!$C$5,1,0)</f>
        <v>0</v>
      </c>
      <c r="G32" s="231">
        <f>MAX(0,G27)*IF(G16&lt;='summary"A"'!$C$5,1,0)</f>
        <v>0</v>
      </c>
      <c r="H32" s="231">
        <f>MAX(0,H27)*IF(H16&lt;='summary"A"'!$C$5,1,0)</f>
        <v>0</v>
      </c>
      <c r="I32" s="231">
        <f>MAX(0,I27)*IF(I16&lt;='summary"A"'!$C$5,1,0)</f>
        <v>0</v>
      </c>
      <c r="J32" s="231">
        <f>MAX(0,J27)*IF(J16&lt;='summary"A"'!$C$5,1,0)</f>
        <v>0</v>
      </c>
      <c r="K32" s="231">
        <f>MAX(0,K27)*IF(K16&lt;='summary"A"'!$C$5,1,0)</f>
        <v>0</v>
      </c>
      <c r="L32" s="231">
        <f>MAX(0,L27)*IF(L16&lt;='summary"A"'!$C$5,1,0)</f>
        <v>0</v>
      </c>
      <c r="M32" s="231">
        <f>MAX(0,M27)*IF(M16&lt;='summary"A"'!$C$5,1,0)</f>
        <v>0</v>
      </c>
      <c r="N32" s="231">
        <f>MAX(0,N27)*IF(N16&lt;='summary"A"'!$C$5,1,0)</f>
        <v>0</v>
      </c>
      <c r="O32" s="231">
        <f>MAX(0,O27)*IF(O16&lt;='summary"A"'!$C$5,1,0)</f>
        <v>0</v>
      </c>
      <c r="P32" s="231">
        <f>MAX(0,P27)*IF(P16&lt;='summary"A"'!$C$5,1,0)</f>
        <v>0</v>
      </c>
      <c r="Q32" s="231">
        <f>MAX(0,Q27)*IF(Q16&lt;='summary"A"'!$C$5,1,0)</f>
        <v>0</v>
      </c>
      <c r="R32" s="231">
        <f>MAX(0,R27)*IF(R16&lt;='summary"A"'!$C$5,1,0)</f>
        <v>0</v>
      </c>
      <c r="S32" s="231">
        <f>MAX(0,S27)*IF(S16&lt;='summary"A"'!$C$5,1,0)</f>
        <v>0</v>
      </c>
      <c r="T32" s="231">
        <f>MAX(0,T27)*IF(T16&lt;='summary"A"'!$C$5,1,0)</f>
        <v>0</v>
      </c>
      <c r="U32" s="231">
        <f>MAX(0,U27)*IF(U16&lt;='summary"A"'!$C$5,1,0)</f>
        <v>0</v>
      </c>
      <c r="V32" s="231">
        <f>MAX(0,V27)*IF(V16&lt;='summary"A"'!$C$5,1,0)</f>
        <v>0</v>
      </c>
      <c r="W32" s="231">
        <f>MAX(0,W27)*IF(W16&lt;='summary"A"'!$C$5,1,0)</f>
        <v>0</v>
      </c>
    </row>
    <row r="33" spans="2:29" ht="11.25" customHeight="1">
      <c r="B33" s="232" t="s">
        <v>19</v>
      </c>
      <c r="C33" s="233">
        <f>MIN(0,C27)*IF(C16&lt;='summary"A"'!$C$5,1,0)</f>
        <v>-69517006.778497204</v>
      </c>
      <c r="D33" s="233">
        <f>MIN(0,D27)*IF(D16&lt;='summary"A"'!$C$5,1,0)</f>
        <v>-178747211.8208636</v>
      </c>
      <c r="E33" s="233">
        <f>MIN(0,E27)*IF(E16&lt;='summary"A"'!$C$5,1,0)</f>
        <v>-214810704.3558327</v>
      </c>
      <c r="F33" s="233">
        <f>MIN(0,F27)*IF(F16&lt;='summary"A"'!$C$5,1,0)</f>
        <v>-176352812.98156509</v>
      </c>
      <c r="G33" s="233">
        <f>MIN(0,G27)*IF(G16&lt;='summary"A"'!$C$5,1,0)</f>
        <v>-118675480.59012736</v>
      </c>
      <c r="H33" s="233">
        <f>MIN(0,H27)*IF(H16&lt;='summary"A"'!$C$5,1,0)</f>
        <v>-238840758.54974726</v>
      </c>
      <c r="I33" s="233">
        <f>MIN(0,I27)*IF(I16&lt;='summary"A"'!$C$5,1,0)</f>
        <v>-153615106.28793368</v>
      </c>
      <c r="J33" s="233">
        <f>MIN(0,J27)*IF(J16&lt;='summary"A"'!$C$5,1,0)</f>
        <v>-33234193.734424174</v>
      </c>
      <c r="K33" s="233">
        <f>MIN(0,K27)*IF(K16&lt;='summary"A"'!$C$5,1,0)</f>
        <v>-33436141.366736382</v>
      </c>
      <c r="L33" s="233">
        <f>MIN(0,L27)*IF(L16&lt;='summary"A"'!$C$5,1,0)</f>
        <v>-30720751.816460289</v>
      </c>
      <c r="M33" s="233">
        <f>MIN(0,M27)*IF(M16&lt;='summary"A"'!$C$5,1,0)</f>
        <v>-30384826.62670783</v>
      </c>
      <c r="N33" s="233">
        <f>MIN(0,N27)*IF(N16&lt;='summary"A"'!$C$5,1,0)</f>
        <v>-30093084.190730106</v>
      </c>
      <c r="O33" s="233">
        <f>MIN(0,O27)*IF(O16&lt;='summary"A"'!$C$5,1,0)</f>
        <v>-29833701.609278124</v>
      </c>
      <c r="P33" s="233">
        <f>MIN(0,P27)*IF(P16&lt;='summary"A"'!$C$5,1,0)</f>
        <v>-29570141.452424578</v>
      </c>
      <c r="Q33" s="233">
        <f>MIN(0,Q27)*IF(Q16&lt;='summary"A"'!$C$5,1,0)</f>
        <v>0</v>
      </c>
      <c r="R33" s="233">
        <f>MIN(0,R27)*IF(R16&lt;='summary"A"'!$C$5,1,0)</f>
        <v>0</v>
      </c>
      <c r="S33" s="233">
        <f>MIN(0,S27)*IF(S16&lt;='summary"A"'!$C$5,1,0)</f>
        <v>0</v>
      </c>
      <c r="T33" s="233">
        <f>MIN(0,T27)*IF(T16&lt;='summary"A"'!$C$5,1,0)</f>
        <v>0</v>
      </c>
      <c r="U33" s="233">
        <f>MIN(0,U27)*IF(U16&lt;='summary"A"'!$C$5,1,0)</f>
        <v>0</v>
      </c>
      <c r="V33" s="233">
        <f>MIN(0,V27)*IF(V16&lt;='summary"A"'!$C$5,1,0)</f>
        <v>0</v>
      </c>
      <c r="W33" s="233">
        <f>MIN(0,W27)*IF(W16&lt;='summary"A"'!$C$5,1,0)</f>
        <v>0</v>
      </c>
    </row>
    <row r="34" spans="2:29" s="1108" customFormat="1" ht="11.25" customHeight="1">
      <c r="B34" s="1123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N34" s="1124"/>
      <c r="O34" s="1124"/>
      <c r="P34" s="1124"/>
      <c r="Q34" s="1124"/>
      <c r="R34" s="1124"/>
      <c r="S34" s="1124"/>
      <c r="T34" s="1124"/>
      <c r="U34" s="1124"/>
      <c r="V34" s="1124"/>
      <c r="W34" s="1124"/>
      <c r="X34" s="1124"/>
      <c r="Y34" s="1112"/>
      <c r="Z34" s="1112"/>
      <c r="AA34" s="1112"/>
      <c r="AB34" s="1112"/>
      <c r="AC34" s="1112"/>
    </row>
    <row r="35" spans="2:29" s="1108" customFormat="1" ht="11.25" customHeight="1">
      <c r="C35" s="1125"/>
      <c r="D35" s="1125"/>
      <c r="E35" s="1125"/>
      <c r="F35" s="1125"/>
      <c r="G35" s="1125"/>
      <c r="H35" s="1125"/>
      <c r="I35" s="1125"/>
      <c r="J35" s="1125"/>
      <c r="K35" s="1125"/>
      <c r="L35" s="1125"/>
      <c r="M35" s="1125"/>
      <c r="N35" s="1125"/>
      <c r="O35" s="1125"/>
      <c r="P35" s="1125"/>
      <c r="Q35" s="1125"/>
      <c r="R35" s="1125"/>
      <c r="S35" s="1125"/>
      <c r="T35" s="1125"/>
      <c r="U35" s="1125"/>
      <c r="V35" s="1125"/>
      <c r="W35" s="1125"/>
      <c r="X35" s="1125"/>
      <c r="Y35" s="1112"/>
      <c r="Z35" s="1112"/>
      <c r="AA35" s="1112"/>
      <c r="AB35" s="1112"/>
      <c r="AC35" s="1112"/>
    </row>
    <row r="36" spans="2:29" ht="11.25" customHeight="1">
      <c r="B36" s="241"/>
      <c r="C36" s="242" t="s">
        <v>31</v>
      </c>
      <c r="D36" s="243" t="s">
        <v>33</v>
      </c>
      <c r="G36" s="258"/>
    </row>
    <row r="37" spans="2:29" ht="11.25" customHeight="1">
      <c r="B37" s="244" t="s">
        <v>36</v>
      </c>
      <c r="C37" s="245">
        <f>X24*(1+C39)/(E39-C39)*E38</f>
        <v>-706635188.68463385</v>
      </c>
      <c r="D37" s="246">
        <f>X27*(1+D39)/(E39-D39)*E38</f>
        <v>-706635188.68463385</v>
      </c>
      <c r="E37" s="239"/>
      <c r="F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</row>
    <row r="38" spans="2:29" ht="11.25" customHeight="1">
      <c r="B38" s="247" t="s">
        <v>37</v>
      </c>
      <c r="C38" s="248">
        <f>C37*X64</f>
        <v>-418179232.2868889</v>
      </c>
      <c r="D38" s="249">
        <f>D37*X49</f>
        <v>-418179232.2868889</v>
      </c>
      <c r="E38" s="753">
        <v>1</v>
      </c>
      <c r="F38" s="258" t="s">
        <v>3064</v>
      </c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</row>
    <row r="39" spans="2:29" ht="11.25" customHeight="1">
      <c r="B39" s="21" t="s">
        <v>38</v>
      </c>
      <c r="C39" s="22">
        <v>1.6E-2</v>
      </c>
      <c r="D39" s="23">
        <f>+C39</f>
        <v>1.6E-2</v>
      </c>
      <c r="E39" s="1126">
        <f>Scenarios_Operating!AC12</f>
        <v>0.05</v>
      </c>
      <c r="F39" s="258" t="s">
        <v>3401</v>
      </c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</row>
    <row r="40" spans="2:29" ht="11.25" customHeight="1">
      <c r="B40" s="25" t="str">
        <f>"PV ALL as of  ("&amp;TEXT('summary"A"'!C4,"d.m.yyyy")&amp;")"</f>
        <v>PV ALL as of  (1.5.2022)</v>
      </c>
      <c r="C40" s="26">
        <f>SUM(C28:W28)+SUM(C31:W31)+C38</f>
        <v>-1542878887.9176655</v>
      </c>
      <c r="D40" s="259">
        <f>SUM(C29:W29)+D38+SUM(C31:W31)</f>
        <v>-1542878887.9176655</v>
      </c>
      <c r="E40" s="260"/>
      <c r="F40" s="261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</row>
    <row r="41" spans="2:29">
      <c r="B41" s="27"/>
      <c r="C41" s="106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</row>
    <row r="42" spans="2:29" ht="11.25" customHeight="1" outlineLevel="1">
      <c r="B42" s="9" t="s">
        <v>39</v>
      </c>
      <c r="C42" s="234">
        <f t="shared" ref="C42:O42" si="39">C16</f>
        <v>44926</v>
      </c>
      <c r="D42" s="235">
        <f t="shared" si="39"/>
        <v>45291</v>
      </c>
      <c r="E42" s="235">
        <f t="shared" si="39"/>
        <v>45657</v>
      </c>
      <c r="F42" s="235">
        <f t="shared" si="39"/>
        <v>46022</v>
      </c>
      <c r="G42" s="235">
        <f t="shared" si="39"/>
        <v>46387</v>
      </c>
      <c r="H42" s="235">
        <f t="shared" si="39"/>
        <v>46752</v>
      </c>
      <c r="I42" s="235">
        <f t="shared" si="39"/>
        <v>47118</v>
      </c>
      <c r="J42" s="235">
        <f t="shared" si="39"/>
        <v>47483</v>
      </c>
      <c r="K42" s="235">
        <f t="shared" si="39"/>
        <v>47848</v>
      </c>
      <c r="L42" s="235">
        <f t="shared" si="39"/>
        <v>48213</v>
      </c>
      <c r="M42" s="235">
        <f t="shared" si="39"/>
        <v>48579</v>
      </c>
      <c r="N42" s="235">
        <f t="shared" si="39"/>
        <v>48944</v>
      </c>
      <c r="O42" s="235">
        <f t="shared" si="39"/>
        <v>49309</v>
      </c>
      <c r="P42" s="235">
        <f t="shared" ref="P42" si="40">P16</f>
        <v>49674</v>
      </c>
      <c r="Q42" s="235">
        <f t="shared" ref="Q42:W42" si="41">Q16</f>
        <v>50040</v>
      </c>
      <c r="R42" s="235">
        <f t="shared" si="41"/>
        <v>50405</v>
      </c>
      <c r="S42" s="235">
        <f t="shared" si="41"/>
        <v>50770</v>
      </c>
      <c r="T42" s="235">
        <f t="shared" si="41"/>
        <v>51135</v>
      </c>
      <c r="U42" s="235">
        <f t="shared" si="41"/>
        <v>51501</v>
      </c>
      <c r="V42" s="235">
        <f t="shared" si="41"/>
        <v>51866</v>
      </c>
      <c r="W42" s="235">
        <f t="shared" si="41"/>
        <v>52231</v>
      </c>
      <c r="X42" s="234" t="s">
        <v>40</v>
      </c>
    </row>
    <row r="43" spans="2:29" s="1581" customFormat="1" ht="11.25" customHeight="1" outlineLevel="1">
      <c r="B43" s="1578" t="s">
        <v>41</v>
      </c>
      <c r="C43" s="1579">
        <f>'FCFs"0"'!C41</f>
        <v>1.55E-2</v>
      </c>
      <c r="D43" s="1580">
        <f>+C43</f>
        <v>1.55E-2</v>
      </c>
      <c r="E43" s="1580">
        <f t="shared" ref="E43:O43" si="42">+D43</f>
        <v>1.55E-2</v>
      </c>
      <c r="F43" s="1580">
        <f t="shared" si="42"/>
        <v>1.55E-2</v>
      </c>
      <c r="G43" s="1580">
        <f t="shared" si="42"/>
        <v>1.55E-2</v>
      </c>
      <c r="H43" s="1580">
        <f t="shared" si="42"/>
        <v>1.55E-2</v>
      </c>
      <c r="I43" s="1580">
        <f t="shared" si="42"/>
        <v>1.55E-2</v>
      </c>
      <c r="J43" s="1580">
        <f t="shared" si="42"/>
        <v>1.55E-2</v>
      </c>
      <c r="K43" s="1580">
        <f t="shared" si="42"/>
        <v>1.55E-2</v>
      </c>
      <c r="L43" s="1580">
        <f t="shared" si="42"/>
        <v>1.55E-2</v>
      </c>
      <c r="M43" s="1580">
        <f t="shared" si="42"/>
        <v>1.55E-2</v>
      </c>
      <c r="N43" s="1580">
        <f t="shared" si="42"/>
        <v>1.55E-2</v>
      </c>
      <c r="O43" s="1580">
        <f t="shared" si="42"/>
        <v>1.55E-2</v>
      </c>
      <c r="P43" s="1580">
        <f t="shared" ref="P43" si="43">+O43</f>
        <v>1.55E-2</v>
      </c>
      <c r="Q43" s="1580">
        <f t="shared" ref="Q43" si="44">+P43</f>
        <v>1.55E-2</v>
      </c>
      <c r="R43" s="1580">
        <f t="shared" ref="R43" si="45">+Q43</f>
        <v>1.55E-2</v>
      </c>
      <c r="S43" s="1580">
        <f t="shared" ref="S43" si="46">+R43</f>
        <v>1.55E-2</v>
      </c>
      <c r="T43" s="1580">
        <f t="shared" ref="T43" si="47">+S43</f>
        <v>1.55E-2</v>
      </c>
      <c r="U43" s="1580">
        <f t="shared" ref="U43" si="48">+T43</f>
        <v>1.55E-2</v>
      </c>
      <c r="V43" s="1580">
        <f t="shared" ref="V43" si="49">+U43</f>
        <v>1.55E-2</v>
      </c>
      <c r="W43" s="1580">
        <f t="shared" ref="W43" si="50">+V43</f>
        <v>1.55E-2</v>
      </c>
      <c r="X43" s="1579">
        <f>M43</f>
        <v>1.55E-2</v>
      </c>
      <c r="Y43" s="278"/>
      <c r="Z43" s="278"/>
      <c r="AA43" s="278"/>
      <c r="AB43" s="278"/>
      <c r="AC43" s="278"/>
    </row>
    <row r="44" spans="2:29" s="1581" customFormat="1" ht="11.25" customHeight="1" outlineLevel="1">
      <c r="B44" s="1582" t="s">
        <v>42</v>
      </c>
      <c r="C44" s="1583">
        <f>'FCFs"0"'!C42</f>
        <v>0.65</v>
      </c>
      <c r="D44" s="1584">
        <f>C44</f>
        <v>0.65</v>
      </c>
      <c r="E44" s="1584">
        <f t="shared" ref="E44:O45" si="51">D44</f>
        <v>0.65</v>
      </c>
      <c r="F44" s="1584">
        <f t="shared" si="51"/>
        <v>0.65</v>
      </c>
      <c r="G44" s="1584">
        <f t="shared" si="51"/>
        <v>0.65</v>
      </c>
      <c r="H44" s="1584">
        <f t="shared" si="51"/>
        <v>0.65</v>
      </c>
      <c r="I44" s="1584">
        <f t="shared" si="51"/>
        <v>0.65</v>
      </c>
      <c r="J44" s="1584">
        <f t="shared" si="51"/>
        <v>0.65</v>
      </c>
      <c r="K44" s="1584">
        <f t="shared" si="51"/>
        <v>0.65</v>
      </c>
      <c r="L44" s="1584">
        <f t="shared" si="51"/>
        <v>0.65</v>
      </c>
      <c r="M44" s="1584">
        <f t="shared" si="51"/>
        <v>0.65</v>
      </c>
      <c r="N44" s="1584">
        <f t="shared" si="51"/>
        <v>0.65</v>
      </c>
      <c r="O44" s="1584">
        <f t="shared" si="51"/>
        <v>0.65</v>
      </c>
      <c r="P44" s="1584">
        <f t="shared" ref="P44:P45" si="52">O44</f>
        <v>0.65</v>
      </c>
      <c r="Q44" s="1584">
        <f t="shared" ref="Q44:Q45" si="53">P44</f>
        <v>0.65</v>
      </c>
      <c r="R44" s="1584">
        <f t="shared" ref="R44:R45" si="54">Q44</f>
        <v>0.65</v>
      </c>
      <c r="S44" s="1584">
        <f t="shared" ref="S44:S45" si="55">R44</f>
        <v>0.65</v>
      </c>
      <c r="T44" s="1584">
        <f t="shared" ref="T44:T45" si="56">S44</f>
        <v>0.65</v>
      </c>
      <c r="U44" s="1584">
        <f t="shared" ref="U44:U45" si="57">T44</f>
        <v>0.65</v>
      </c>
      <c r="V44" s="1584">
        <f t="shared" ref="V44:V45" si="58">U44</f>
        <v>0.65</v>
      </c>
      <c r="W44" s="1584">
        <f t="shared" ref="W44:W45" si="59">V44</f>
        <v>0.65</v>
      </c>
      <c r="X44" s="1585">
        <f>M44</f>
        <v>0.65</v>
      </c>
      <c r="Y44" s="278"/>
      <c r="Z44" s="278"/>
      <c r="AA44" s="278"/>
      <c r="AB44" s="278"/>
      <c r="AC44" s="278"/>
    </row>
    <row r="45" spans="2:29" s="1581" customFormat="1" ht="11.25" customHeight="1" outlineLevel="1">
      <c r="B45" s="1582" t="s">
        <v>43</v>
      </c>
      <c r="C45" s="1586">
        <f>'FCFs"0"'!C43</f>
        <v>5.1999999999999998E-2</v>
      </c>
      <c r="D45" s="1587">
        <f t="shared" ref="D45" si="60">C45</f>
        <v>5.1999999999999998E-2</v>
      </c>
      <c r="E45" s="1587">
        <f t="shared" si="51"/>
        <v>5.1999999999999998E-2</v>
      </c>
      <c r="F45" s="1587">
        <f t="shared" si="51"/>
        <v>5.1999999999999998E-2</v>
      </c>
      <c r="G45" s="1587">
        <f t="shared" si="51"/>
        <v>5.1999999999999998E-2</v>
      </c>
      <c r="H45" s="1587">
        <f t="shared" si="51"/>
        <v>5.1999999999999998E-2</v>
      </c>
      <c r="I45" s="1587">
        <f t="shared" si="51"/>
        <v>5.1999999999999998E-2</v>
      </c>
      <c r="J45" s="1587">
        <f t="shared" si="51"/>
        <v>5.1999999999999998E-2</v>
      </c>
      <c r="K45" s="1587">
        <f t="shared" si="51"/>
        <v>5.1999999999999998E-2</v>
      </c>
      <c r="L45" s="1587">
        <f t="shared" si="51"/>
        <v>5.1999999999999998E-2</v>
      </c>
      <c r="M45" s="1587">
        <f t="shared" si="51"/>
        <v>5.1999999999999998E-2</v>
      </c>
      <c r="N45" s="1587">
        <f t="shared" si="51"/>
        <v>5.1999999999999998E-2</v>
      </c>
      <c r="O45" s="1587">
        <f t="shared" si="51"/>
        <v>5.1999999999999998E-2</v>
      </c>
      <c r="P45" s="1587">
        <f t="shared" si="52"/>
        <v>5.1999999999999998E-2</v>
      </c>
      <c r="Q45" s="1587">
        <f t="shared" si="53"/>
        <v>5.1999999999999998E-2</v>
      </c>
      <c r="R45" s="1587">
        <f t="shared" si="54"/>
        <v>5.1999999999999998E-2</v>
      </c>
      <c r="S45" s="1587">
        <f t="shared" si="55"/>
        <v>5.1999999999999998E-2</v>
      </c>
      <c r="T45" s="1587">
        <f t="shared" si="56"/>
        <v>5.1999999999999998E-2</v>
      </c>
      <c r="U45" s="1587">
        <f t="shared" si="57"/>
        <v>5.1999999999999998E-2</v>
      </c>
      <c r="V45" s="1587">
        <f t="shared" si="58"/>
        <v>5.1999999999999998E-2</v>
      </c>
      <c r="W45" s="1587">
        <f t="shared" si="59"/>
        <v>5.1999999999999998E-2</v>
      </c>
      <c r="X45" s="1586">
        <f>M45</f>
        <v>5.1999999999999998E-2</v>
      </c>
      <c r="Y45" s="278"/>
      <c r="Z45" s="278"/>
      <c r="AA45" s="278"/>
      <c r="AB45" s="278"/>
      <c r="AC45" s="278"/>
    </row>
    <row r="46" spans="2:29" s="1581" customFormat="1" ht="11.25" customHeight="1" outlineLevel="1">
      <c r="B46" s="1582" t="s">
        <v>44</v>
      </c>
      <c r="C46" s="1588">
        <f>'FCFs"0"'!C44</f>
        <v>5.0000000000000001E-3</v>
      </c>
      <c r="D46" s="1587">
        <f>+C46</f>
        <v>5.0000000000000001E-3</v>
      </c>
      <c r="E46" s="1587">
        <f t="shared" ref="E46:O46" si="61">+D46</f>
        <v>5.0000000000000001E-3</v>
      </c>
      <c r="F46" s="1587">
        <f t="shared" si="61"/>
        <v>5.0000000000000001E-3</v>
      </c>
      <c r="G46" s="1587">
        <f t="shared" si="61"/>
        <v>5.0000000000000001E-3</v>
      </c>
      <c r="H46" s="1587">
        <f t="shared" si="61"/>
        <v>5.0000000000000001E-3</v>
      </c>
      <c r="I46" s="1587">
        <f t="shared" si="61"/>
        <v>5.0000000000000001E-3</v>
      </c>
      <c r="J46" s="1587">
        <f t="shared" si="61"/>
        <v>5.0000000000000001E-3</v>
      </c>
      <c r="K46" s="1587">
        <f t="shared" si="61"/>
        <v>5.0000000000000001E-3</v>
      </c>
      <c r="L46" s="1587">
        <f t="shared" si="61"/>
        <v>5.0000000000000001E-3</v>
      </c>
      <c r="M46" s="1587">
        <f t="shared" si="61"/>
        <v>5.0000000000000001E-3</v>
      </c>
      <c r="N46" s="1587">
        <f t="shared" si="61"/>
        <v>5.0000000000000001E-3</v>
      </c>
      <c r="O46" s="1587">
        <f t="shared" si="61"/>
        <v>5.0000000000000001E-3</v>
      </c>
      <c r="P46" s="1587">
        <f t="shared" ref="P46" si="62">+O46</f>
        <v>5.0000000000000001E-3</v>
      </c>
      <c r="Q46" s="1587">
        <f t="shared" ref="Q46" si="63">+P46</f>
        <v>5.0000000000000001E-3</v>
      </c>
      <c r="R46" s="1587">
        <f t="shared" ref="R46" si="64">+Q46</f>
        <v>5.0000000000000001E-3</v>
      </c>
      <c r="S46" s="1587">
        <f t="shared" ref="S46" si="65">+R46</f>
        <v>5.0000000000000001E-3</v>
      </c>
      <c r="T46" s="1587">
        <f t="shared" ref="T46" si="66">+S46</f>
        <v>5.0000000000000001E-3</v>
      </c>
      <c r="U46" s="1587">
        <f t="shared" ref="U46" si="67">+T46</f>
        <v>5.0000000000000001E-3</v>
      </c>
      <c r="V46" s="1587">
        <f t="shared" ref="V46" si="68">+U46</f>
        <v>5.0000000000000001E-3</v>
      </c>
      <c r="W46" s="1587">
        <f t="shared" ref="W46" si="69">+V46</f>
        <v>5.0000000000000001E-3</v>
      </c>
      <c r="X46" s="1586">
        <f>M46</f>
        <v>5.0000000000000001E-3</v>
      </c>
      <c r="Y46" s="278"/>
      <c r="Z46" s="278"/>
      <c r="AA46" s="278"/>
      <c r="AB46" s="278"/>
      <c r="AC46" s="278"/>
    </row>
    <row r="47" spans="2:29" ht="11.25" customHeight="1" outlineLevel="1">
      <c r="B47" s="19" t="s">
        <v>45</v>
      </c>
      <c r="C47" s="1577">
        <v>0.05</v>
      </c>
      <c r="D47" s="262">
        <f>C47</f>
        <v>0.05</v>
      </c>
      <c r="E47" s="262">
        <f t="shared" ref="E47:W47" si="70">D47</f>
        <v>0.05</v>
      </c>
      <c r="F47" s="262">
        <f t="shared" si="70"/>
        <v>0.05</v>
      </c>
      <c r="G47" s="262">
        <f t="shared" si="70"/>
        <v>0.05</v>
      </c>
      <c r="H47" s="262">
        <f t="shared" si="70"/>
        <v>0.05</v>
      </c>
      <c r="I47" s="262">
        <f t="shared" si="70"/>
        <v>0.05</v>
      </c>
      <c r="J47" s="262">
        <f t="shared" si="70"/>
        <v>0.05</v>
      </c>
      <c r="K47" s="262">
        <f t="shared" si="70"/>
        <v>0.05</v>
      </c>
      <c r="L47" s="262">
        <f t="shared" si="70"/>
        <v>0.05</v>
      </c>
      <c r="M47" s="262">
        <f t="shared" si="70"/>
        <v>0.05</v>
      </c>
      <c r="N47" s="262">
        <f t="shared" si="70"/>
        <v>0.05</v>
      </c>
      <c r="O47" s="262">
        <f t="shared" si="70"/>
        <v>0.05</v>
      </c>
      <c r="P47" s="262">
        <f t="shared" si="70"/>
        <v>0.05</v>
      </c>
      <c r="Q47" s="262">
        <f t="shared" si="70"/>
        <v>0.05</v>
      </c>
      <c r="R47" s="262">
        <f t="shared" si="70"/>
        <v>0.05</v>
      </c>
      <c r="S47" s="262">
        <f t="shared" si="70"/>
        <v>0.05</v>
      </c>
      <c r="T47" s="262">
        <f t="shared" si="70"/>
        <v>0.05</v>
      </c>
      <c r="U47" s="262">
        <f t="shared" si="70"/>
        <v>0.05</v>
      </c>
      <c r="V47" s="262">
        <f t="shared" si="70"/>
        <v>0.05</v>
      </c>
      <c r="W47" s="262">
        <f t="shared" si="70"/>
        <v>0.05</v>
      </c>
      <c r="X47" s="263">
        <f t="shared" ref="X47" si="71">X43+X44*X45+X46</f>
        <v>5.4299999999999994E-2</v>
      </c>
    </row>
    <row r="48" spans="2:29" ht="11.25" customHeight="1" outlineLevel="1">
      <c r="B48" s="28" t="s">
        <v>46</v>
      </c>
      <c r="C48" s="30">
        <f>1/POWER((1+C47),1-C50)</f>
        <v>0.96791027166002308</v>
      </c>
      <c r="D48" s="264">
        <f t="shared" ref="D48:X48" si="72">1/(1+D47)</f>
        <v>0.95238095238095233</v>
      </c>
      <c r="E48" s="264">
        <f t="shared" si="72"/>
        <v>0.95238095238095233</v>
      </c>
      <c r="F48" s="264">
        <f t="shared" si="72"/>
        <v>0.95238095238095233</v>
      </c>
      <c r="G48" s="264">
        <f t="shared" si="72"/>
        <v>0.95238095238095233</v>
      </c>
      <c r="H48" s="264">
        <f t="shared" si="72"/>
        <v>0.95238095238095233</v>
      </c>
      <c r="I48" s="264">
        <f t="shared" si="72"/>
        <v>0.95238095238095233</v>
      </c>
      <c r="J48" s="264">
        <f t="shared" si="72"/>
        <v>0.95238095238095233</v>
      </c>
      <c r="K48" s="264">
        <f t="shared" si="72"/>
        <v>0.95238095238095233</v>
      </c>
      <c r="L48" s="264">
        <f t="shared" si="72"/>
        <v>0.95238095238095233</v>
      </c>
      <c r="M48" s="264">
        <f t="shared" si="72"/>
        <v>0.95238095238095233</v>
      </c>
      <c r="N48" s="264">
        <f t="shared" si="72"/>
        <v>0.95238095238095233</v>
      </c>
      <c r="O48" s="264">
        <f t="shared" si="72"/>
        <v>0.95238095238095233</v>
      </c>
      <c r="P48" s="264">
        <f t="shared" ref="P48" si="73">1/(1+P47)</f>
        <v>0.95238095238095233</v>
      </c>
      <c r="Q48" s="264">
        <f t="shared" ref="Q48:W48" si="74">1/(1+Q47)</f>
        <v>0.95238095238095233</v>
      </c>
      <c r="R48" s="264">
        <f t="shared" si="74"/>
        <v>0.95238095238095233</v>
      </c>
      <c r="S48" s="264">
        <f t="shared" si="74"/>
        <v>0.95238095238095233</v>
      </c>
      <c r="T48" s="264">
        <f t="shared" si="74"/>
        <v>0.95238095238095233</v>
      </c>
      <c r="U48" s="264">
        <f t="shared" si="74"/>
        <v>0.95238095238095233</v>
      </c>
      <c r="V48" s="264">
        <f t="shared" si="74"/>
        <v>0.95238095238095233</v>
      </c>
      <c r="W48" s="264">
        <f t="shared" si="74"/>
        <v>0.95238095238095233</v>
      </c>
      <c r="X48" s="265">
        <f t="shared" si="72"/>
        <v>0.9484966328369534</v>
      </c>
    </row>
    <row r="49" spans="2:29" ht="11.25" customHeight="1" outlineLevel="1">
      <c r="B49" s="28" t="s">
        <v>47</v>
      </c>
      <c r="C49" s="30">
        <f>C48</f>
        <v>0.96791027166002308</v>
      </c>
      <c r="D49" s="264">
        <f>D48*C49</f>
        <v>0.92181930634287912</v>
      </c>
      <c r="E49" s="264">
        <f t="shared" ref="E49:O49" si="75">E48*D49</f>
        <v>0.87792314889798007</v>
      </c>
      <c r="F49" s="264">
        <f t="shared" si="75"/>
        <v>0.83611728466474289</v>
      </c>
      <c r="G49" s="264">
        <f t="shared" si="75"/>
        <v>0.79630217587118368</v>
      </c>
      <c r="H49" s="264">
        <f t="shared" si="75"/>
        <v>0.75838302463922247</v>
      </c>
      <c r="I49" s="264">
        <f t="shared" si="75"/>
        <v>0.7222695472754499</v>
      </c>
      <c r="J49" s="264">
        <f t="shared" si="75"/>
        <v>0.68787575930995226</v>
      </c>
      <c r="K49" s="264">
        <f t="shared" si="75"/>
        <v>0.65511977077138306</v>
      </c>
      <c r="L49" s="264">
        <f t="shared" si="75"/>
        <v>0.62392359121084096</v>
      </c>
      <c r="M49" s="264">
        <f t="shared" si="75"/>
        <v>0.59421294401032465</v>
      </c>
      <c r="N49" s="264">
        <f t="shared" si="75"/>
        <v>0.5659170895336425</v>
      </c>
      <c r="O49" s="264">
        <f t="shared" si="75"/>
        <v>0.53896865669870708</v>
      </c>
      <c r="P49" s="264">
        <f t="shared" ref="P49" si="76">P48*O49</f>
        <v>0.5133034825701972</v>
      </c>
      <c r="Q49" s="264">
        <f t="shared" ref="Q49" si="77">Q48*P49</f>
        <v>0.48886045959066399</v>
      </c>
      <c r="R49" s="264">
        <f t="shared" ref="R49" si="78">R48*Q49</f>
        <v>0.46558139008634664</v>
      </c>
      <c r="S49" s="264">
        <f t="shared" ref="S49" si="79">S48*R49</f>
        <v>0.44341084770128247</v>
      </c>
      <c r="T49" s="264">
        <f t="shared" ref="T49" si="80">T48*S49</f>
        <v>0.42229604542979282</v>
      </c>
      <c r="U49" s="264">
        <f t="shared" ref="U49" si="81">U48*T49</f>
        <v>0.40218670993313599</v>
      </c>
      <c r="V49" s="264">
        <f t="shared" ref="V49" si="82">V48*U49</f>
        <v>0.38303496184108188</v>
      </c>
      <c r="W49" s="264">
        <f t="shared" ref="W49" si="83">W48*V49</f>
        <v>0.36479520175341129</v>
      </c>
      <c r="X49" s="265">
        <f>X48*L49</f>
        <v>0.59178942541102242</v>
      </c>
    </row>
    <row r="50" spans="2:29" ht="11.25" customHeight="1" outlineLevel="1">
      <c r="B50" s="31" t="s">
        <v>48</v>
      </c>
      <c r="C50" s="32">
        <f>1-(C16-'summary"A"'!C4)/365</f>
        <v>0.33150684931506846</v>
      </c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7"/>
    </row>
    <row r="51" spans="2:29" ht="11.25" customHeight="1" outlineLevel="1">
      <c r="B51" s="28" t="s">
        <v>50</v>
      </c>
      <c r="C51" s="34">
        <f>'PL"A"'!I66</f>
        <v>0.21</v>
      </c>
      <c r="D51" s="268">
        <f>'PL"A"'!J66</f>
        <v>0.21</v>
      </c>
      <c r="E51" s="268">
        <f>'PL"A"'!K66</f>
        <v>0.21</v>
      </c>
      <c r="F51" s="268">
        <f>'PL"A"'!L66</f>
        <v>0.21</v>
      </c>
      <c r="G51" s="268">
        <f>'PL"A"'!M66</f>
        <v>0.21</v>
      </c>
      <c r="H51" s="268">
        <f>'PL"A"'!N66</f>
        <v>0.21</v>
      </c>
      <c r="I51" s="268">
        <f>'PL"A"'!O66</f>
        <v>0.21</v>
      </c>
      <c r="J51" s="268">
        <f>'PL"A"'!P66</f>
        <v>0.21</v>
      </c>
      <c r="K51" s="268">
        <f>'PL"A"'!Q66</f>
        <v>0.21</v>
      </c>
      <c r="L51" s="268">
        <f>'PL"A"'!R66</f>
        <v>0.21</v>
      </c>
      <c r="M51" s="268">
        <f>'PL"A"'!S66</f>
        <v>0.21</v>
      </c>
      <c r="N51" s="268">
        <f>'PL"A"'!T66</f>
        <v>0.21</v>
      </c>
      <c r="O51" s="268">
        <f>'PL"A"'!U66</f>
        <v>0.21</v>
      </c>
      <c r="P51" s="268">
        <f>'PL"A"'!V66</f>
        <v>0.21</v>
      </c>
      <c r="Q51" s="268">
        <f>'PL"A"'!W66</f>
        <v>0.21</v>
      </c>
      <c r="R51" s="268">
        <f>'PL"A"'!X66</f>
        <v>0.21</v>
      </c>
      <c r="S51" s="268">
        <f>'PL"A"'!Y66</f>
        <v>0.21</v>
      </c>
      <c r="T51" s="268">
        <f>'PL"A"'!Z66</f>
        <v>0.21</v>
      </c>
      <c r="U51" s="268">
        <f>'PL"A"'!AA66</f>
        <v>0.21</v>
      </c>
      <c r="V51" s="268">
        <f>'PL"A"'!AB66</f>
        <v>0.21</v>
      </c>
      <c r="W51" s="268">
        <f>'PL"A"'!AC66</f>
        <v>0.21</v>
      </c>
      <c r="X51" s="34">
        <f>+M51</f>
        <v>0.21</v>
      </c>
    </row>
    <row r="52" spans="2:29" ht="11.25" customHeight="1" outlineLevel="1">
      <c r="B52" s="314" t="s">
        <v>256</v>
      </c>
      <c r="C52" s="35">
        <v>1</v>
      </c>
      <c r="D52" s="264"/>
      <c r="E52" s="264"/>
      <c r="G52" s="269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</row>
    <row r="53" spans="2:29" s="1141" customFormat="1" ht="11.25" customHeight="1" outlineLevel="1">
      <c r="B53" s="1147" t="s">
        <v>3396</v>
      </c>
      <c r="C53" s="1148">
        <f>Assumtions!C36</f>
        <v>0.05</v>
      </c>
      <c r="D53" s="1149">
        <f>C53</f>
        <v>0.05</v>
      </c>
      <c r="E53" s="1149">
        <f t="shared" ref="E53:W53" si="84">D53</f>
        <v>0.05</v>
      </c>
      <c r="F53" s="1149">
        <f t="shared" si="84"/>
        <v>0.05</v>
      </c>
      <c r="G53" s="1149">
        <f t="shared" si="84"/>
        <v>0.05</v>
      </c>
      <c r="H53" s="1149">
        <f t="shared" si="84"/>
        <v>0.05</v>
      </c>
      <c r="I53" s="1149">
        <f t="shared" si="84"/>
        <v>0.05</v>
      </c>
      <c r="J53" s="1149">
        <f t="shared" si="84"/>
        <v>0.05</v>
      </c>
      <c r="K53" s="1149">
        <f t="shared" si="84"/>
        <v>0.05</v>
      </c>
      <c r="L53" s="1149">
        <f t="shared" si="84"/>
        <v>0.05</v>
      </c>
      <c r="M53" s="1149">
        <f t="shared" si="84"/>
        <v>0.05</v>
      </c>
      <c r="N53" s="1149">
        <f t="shared" si="84"/>
        <v>0.05</v>
      </c>
      <c r="O53" s="1149">
        <f t="shared" si="84"/>
        <v>0.05</v>
      </c>
      <c r="P53" s="1149">
        <f t="shared" si="84"/>
        <v>0.05</v>
      </c>
      <c r="Q53" s="1149">
        <f t="shared" si="84"/>
        <v>0.05</v>
      </c>
      <c r="R53" s="1149">
        <f t="shared" si="84"/>
        <v>0.05</v>
      </c>
      <c r="S53" s="1149">
        <f t="shared" si="84"/>
        <v>0.05</v>
      </c>
      <c r="T53" s="1149">
        <f t="shared" si="84"/>
        <v>0.05</v>
      </c>
      <c r="U53" s="1149">
        <f t="shared" si="84"/>
        <v>0.05</v>
      </c>
      <c r="V53" s="1149">
        <f t="shared" si="84"/>
        <v>0.05</v>
      </c>
      <c r="W53" s="1149">
        <f t="shared" si="84"/>
        <v>0.05</v>
      </c>
      <c r="X53" s="1150">
        <f>W53</f>
        <v>0.05</v>
      </c>
      <c r="Y53" s="1144"/>
      <c r="Z53" s="1144"/>
      <c r="AA53" s="1144"/>
      <c r="AB53" s="1144"/>
      <c r="AC53" s="1144"/>
    </row>
    <row r="54" spans="2:29" s="1141" customFormat="1" ht="11.25" customHeight="1" outlineLevel="1">
      <c r="B54" s="1151" t="s">
        <v>46</v>
      </c>
      <c r="C54" s="1152">
        <f>1/POWER((1+C53),1-C50)</f>
        <v>0.96791027166002308</v>
      </c>
      <c r="D54" s="1153">
        <f>1/(1+D53)</f>
        <v>0.95238095238095233</v>
      </c>
      <c r="E54" s="1153">
        <f t="shared" ref="E54:X54" si="85">1/(1+E53)</f>
        <v>0.95238095238095233</v>
      </c>
      <c r="F54" s="1153">
        <f t="shared" si="85"/>
        <v>0.95238095238095233</v>
      </c>
      <c r="G54" s="1153">
        <f t="shared" si="85"/>
        <v>0.95238095238095233</v>
      </c>
      <c r="H54" s="1153">
        <f t="shared" si="85"/>
        <v>0.95238095238095233</v>
      </c>
      <c r="I54" s="1153">
        <f t="shared" si="85"/>
        <v>0.95238095238095233</v>
      </c>
      <c r="J54" s="1153">
        <f t="shared" si="85"/>
        <v>0.95238095238095233</v>
      </c>
      <c r="K54" s="1153">
        <f t="shared" si="85"/>
        <v>0.95238095238095233</v>
      </c>
      <c r="L54" s="1153">
        <f t="shared" si="85"/>
        <v>0.95238095238095233</v>
      </c>
      <c r="M54" s="1153">
        <f t="shared" si="85"/>
        <v>0.95238095238095233</v>
      </c>
      <c r="N54" s="1153">
        <f t="shared" si="85"/>
        <v>0.95238095238095233</v>
      </c>
      <c r="O54" s="1153">
        <f t="shared" si="85"/>
        <v>0.95238095238095233</v>
      </c>
      <c r="P54" s="1153">
        <f t="shared" si="85"/>
        <v>0.95238095238095233</v>
      </c>
      <c r="Q54" s="1153">
        <f t="shared" si="85"/>
        <v>0.95238095238095233</v>
      </c>
      <c r="R54" s="1153">
        <f t="shared" si="85"/>
        <v>0.95238095238095233</v>
      </c>
      <c r="S54" s="1153">
        <f t="shared" si="85"/>
        <v>0.95238095238095233</v>
      </c>
      <c r="T54" s="1153">
        <f t="shared" si="85"/>
        <v>0.95238095238095233</v>
      </c>
      <c r="U54" s="1153">
        <f t="shared" si="85"/>
        <v>0.95238095238095233</v>
      </c>
      <c r="V54" s="1153">
        <f t="shared" si="85"/>
        <v>0.95238095238095233</v>
      </c>
      <c r="W54" s="1153">
        <f t="shared" si="85"/>
        <v>0.95238095238095233</v>
      </c>
      <c r="X54" s="1154">
        <f t="shared" si="85"/>
        <v>0.95238095238095233</v>
      </c>
      <c r="Y54" s="1144"/>
      <c r="Z54" s="1144"/>
      <c r="AA54" s="1144"/>
      <c r="AB54" s="1144"/>
      <c r="AC54" s="1144"/>
    </row>
    <row r="55" spans="2:29" s="1141" customFormat="1" ht="11.25" customHeight="1" outlineLevel="1">
      <c r="B55" s="1151" t="s">
        <v>47</v>
      </c>
      <c r="C55" s="1152">
        <f>C54</f>
        <v>0.96791027166002308</v>
      </c>
      <c r="D55" s="1153">
        <f>D54*C55</f>
        <v>0.92181930634287912</v>
      </c>
      <c r="E55" s="1153">
        <f t="shared" ref="E55" si="86">E54*D55</f>
        <v>0.87792314889798007</v>
      </c>
      <c r="F55" s="1153">
        <f t="shared" ref="F55" si="87">F54*E55</f>
        <v>0.83611728466474289</v>
      </c>
      <c r="G55" s="1153">
        <f t="shared" ref="G55" si="88">G54*F55</f>
        <v>0.79630217587118368</v>
      </c>
      <c r="H55" s="1153">
        <f t="shared" ref="H55" si="89">H54*G55</f>
        <v>0.75838302463922247</v>
      </c>
      <c r="I55" s="1153">
        <f t="shared" ref="I55" si="90">I54*H55</f>
        <v>0.7222695472754499</v>
      </c>
      <c r="J55" s="1153">
        <f t="shared" ref="J55" si="91">J54*I55</f>
        <v>0.68787575930995226</v>
      </c>
      <c r="K55" s="1153">
        <f t="shared" ref="K55" si="92">K54*J55</f>
        <v>0.65511977077138306</v>
      </c>
      <c r="L55" s="1153">
        <f t="shared" ref="L55" si="93">L54*K55</f>
        <v>0.62392359121084096</v>
      </c>
      <c r="M55" s="1153">
        <f t="shared" ref="M55" si="94">M54*L55</f>
        <v>0.59421294401032465</v>
      </c>
      <c r="N55" s="1153">
        <f t="shared" ref="N55" si="95">N54*M55</f>
        <v>0.5659170895336425</v>
      </c>
      <c r="O55" s="1153">
        <f t="shared" ref="O55" si="96">O54*N55</f>
        <v>0.53896865669870708</v>
      </c>
      <c r="P55" s="1153">
        <f t="shared" ref="P55" si="97">P54*O55</f>
        <v>0.5133034825701972</v>
      </c>
      <c r="Q55" s="1153">
        <f t="shared" ref="Q55" si="98">Q54*P55</f>
        <v>0.48886045959066399</v>
      </c>
      <c r="R55" s="1153">
        <f t="shared" ref="R55" si="99">R54*Q55</f>
        <v>0.46558139008634664</v>
      </c>
      <c r="S55" s="1153">
        <f t="shared" ref="S55" si="100">S54*R55</f>
        <v>0.44341084770128247</v>
      </c>
      <c r="T55" s="1153">
        <f t="shared" ref="T55" si="101">T54*S55</f>
        <v>0.42229604542979282</v>
      </c>
      <c r="U55" s="1153">
        <f t="shared" ref="U55" si="102">U54*T55</f>
        <v>0.40218670993313599</v>
      </c>
      <c r="V55" s="1153">
        <f t="shared" ref="V55" si="103">V54*U55</f>
        <v>0.38303496184108188</v>
      </c>
      <c r="W55" s="1153">
        <f t="shared" ref="W55" si="104">W54*V55</f>
        <v>0.36479520175341129</v>
      </c>
      <c r="X55" s="1154">
        <f>X54*L55</f>
        <v>0.59421294401032465</v>
      </c>
      <c r="Y55" s="1144"/>
      <c r="Z55" s="1144"/>
      <c r="AA55" s="1144"/>
      <c r="AB55" s="1144"/>
      <c r="AC55" s="1144"/>
    </row>
    <row r="56" spans="2:29" s="1108" customFormat="1" ht="11.25" customHeight="1" outlineLevel="1">
      <c r="E56" s="1145"/>
      <c r="F56" s="1145"/>
      <c r="G56" s="1145"/>
      <c r="H56" s="1145"/>
      <c r="I56" s="1145"/>
      <c r="J56" s="1145"/>
      <c r="K56" s="1145"/>
      <c r="L56" s="1145"/>
      <c r="M56" s="1145"/>
      <c r="N56" s="1145"/>
      <c r="O56" s="1145"/>
      <c r="P56" s="1145"/>
      <c r="Q56" s="1145"/>
      <c r="R56" s="1145"/>
      <c r="S56" s="1145"/>
      <c r="T56" s="1145"/>
      <c r="U56" s="1145"/>
      <c r="V56" s="1145"/>
      <c r="W56" s="1145"/>
      <c r="X56" s="1146"/>
      <c r="Y56" s="1112"/>
      <c r="Z56" s="1112"/>
      <c r="AA56" s="1112"/>
      <c r="AB56" s="1112"/>
      <c r="AC56" s="1112"/>
    </row>
    <row r="57" spans="2:29" outlineLevel="1">
      <c r="B57" s="9" t="s">
        <v>51</v>
      </c>
      <c r="C57" s="234">
        <f t="shared" ref="C57:O57" si="105">+C42</f>
        <v>44926</v>
      </c>
      <c r="D57" s="235">
        <f t="shared" si="105"/>
        <v>45291</v>
      </c>
      <c r="E57" s="235">
        <f t="shared" si="105"/>
        <v>45657</v>
      </c>
      <c r="F57" s="235">
        <f t="shared" si="105"/>
        <v>46022</v>
      </c>
      <c r="G57" s="235">
        <f t="shared" si="105"/>
        <v>46387</v>
      </c>
      <c r="H57" s="235">
        <f t="shared" si="105"/>
        <v>46752</v>
      </c>
      <c r="I57" s="235">
        <f t="shared" si="105"/>
        <v>47118</v>
      </c>
      <c r="J57" s="235">
        <f t="shared" si="105"/>
        <v>47483</v>
      </c>
      <c r="K57" s="235">
        <f t="shared" si="105"/>
        <v>47848</v>
      </c>
      <c r="L57" s="235">
        <f t="shared" si="105"/>
        <v>48213</v>
      </c>
      <c r="M57" s="235">
        <f t="shared" si="105"/>
        <v>48579</v>
      </c>
      <c r="N57" s="235">
        <f t="shared" si="105"/>
        <v>48944</v>
      </c>
      <c r="O57" s="235">
        <f t="shared" si="105"/>
        <v>49309</v>
      </c>
      <c r="P57" s="235">
        <f t="shared" ref="P57" si="106">+P42</f>
        <v>49674</v>
      </c>
      <c r="Q57" s="235">
        <f t="shared" ref="Q57:W57" si="107">+Q42</f>
        <v>50040</v>
      </c>
      <c r="R57" s="235">
        <f t="shared" si="107"/>
        <v>50405</v>
      </c>
      <c r="S57" s="235">
        <f t="shared" si="107"/>
        <v>50770</v>
      </c>
      <c r="T57" s="235">
        <f t="shared" si="107"/>
        <v>51135</v>
      </c>
      <c r="U57" s="235">
        <f t="shared" si="107"/>
        <v>51501</v>
      </c>
      <c r="V57" s="235">
        <f t="shared" si="107"/>
        <v>51866</v>
      </c>
      <c r="W57" s="235">
        <f t="shared" si="107"/>
        <v>52231</v>
      </c>
      <c r="X57" s="234" t="s">
        <v>40</v>
      </c>
    </row>
    <row r="58" spans="2:29" outlineLevel="1">
      <c r="B58" s="15" t="s">
        <v>39</v>
      </c>
      <c r="C58" s="36">
        <f t="shared" ref="C58:X58" si="108">+C47</f>
        <v>0.05</v>
      </c>
      <c r="D58" s="271">
        <f t="shared" si="108"/>
        <v>0.05</v>
      </c>
      <c r="E58" s="271">
        <f t="shared" si="108"/>
        <v>0.05</v>
      </c>
      <c r="F58" s="271">
        <f t="shared" si="108"/>
        <v>0.05</v>
      </c>
      <c r="G58" s="271">
        <f t="shared" si="108"/>
        <v>0.05</v>
      </c>
      <c r="H58" s="271">
        <f t="shared" si="108"/>
        <v>0.05</v>
      </c>
      <c r="I58" s="271">
        <f t="shared" si="108"/>
        <v>0.05</v>
      </c>
      <c r="J58" s="271">
        <f t="shared" si="108"/>
        <v>0.05</v>
      </c>
      <c r="K58" s="271">
        <f t="shared" si="108"/>
        <v>0.05</v>
      </c>
      <c r="L58" s="271">
        <f t="shared" si="108"/>
        <v>0.05</v>
      </c>
      <c r="M58" s="271">
        <f t="shared" si="108"/>
        <v>0.05</v>
      </c>
      <c r="N58" s="271">
        <f t="shared" si="108"/>
        <v>0.05</v>
      </c>
      <c r="O58" s="271">
        <f t="shared" si="108"/>
        <v>0.05</v>
      </c>
      <c r="P58" s="271">
        <f t="shared" ref="P58" si="109">+P47</f>
        <v>0.05</v>
      </c>
      <c r="Q58" s="271">
        <f t="shared" ref="Q58:W58" si="110">+Q47</f>
        <v>0.05</v>
      </c>
      <c r="R58" s="271">
        <f t="shared" si="110"/>
        <v>0.05</v>
      </c>
      <c r="S58" s="271">
        <f t="shared" si="110"/>
        <v>0.05</v>
      </c>
      <c r="T58" s="271">
        <f t="shared" si="110"/>
        <v>0.05</v>
      </c>
      <c r="U58" s="271">
        <f t="shared" si="110"/>
        <v>0.05</v>
      </c>
      <c r="V58" s="271">
        <f t="shared" si="110"/>
        <v>0.05</v>
      </c>
      <c r="W58" s="271">
        <f t="shared" si="110"/>
        <v>0.05</v>
      </c>
      <c r="X58" s="272">
        <f t="shared" si="108"/>
        <v>5.4299999999999994E-2</v>
      </c>
    </row>
    <row r="59" spans="2:29" outlineLevel="1">
      <c r="B59" s="16" t="s">
        <v>52</v>
      </c>
      <c r="C59" s="37">
        <f>SUMPRODUCT('Financials"A"'!H54:H56,'Financials"A"'!H66:H68)/SUM('Financials"A"'!H54:H56)</f>
        <v>0</v>
      </c>
      <c r="D59" s="273">
        <f>SUMPRODUCT('Financials"A"'!I54:I56,'Financials"A"'!I66:I68)/SUM('Financials"A"'!I54:I56)</f>
        <v>0</v>
      </c>
      <c r="E59" s="273">
        <f>SUMPRODUCT('Financials"A"'!J54:J56,'Financials"A"'!J66:J68)/SUM('Financials"A"'!J54:J56)</f>
        <v>0</v>
      </c>
      <c r="F59" s="273">
        <f>SUMPRODUCT('Financials"A"'!K54:K56,'Financials"A"'!K66:K68)/SUM('Financials"A"'!K54:K56)</f>
        <v>0</v>
      </c>
      <c r="G59" s="273">
        <f>SUMPRODUCT('Financials"A"'!L54:L56,'Financials"A"'!L66:L68)/SUM('Financials"A"'!L54:L56)</f>
        <v>0</v>
      </c>
      <c r="H59" s="273">
        <f>SUMPRODUCT('Financials"A"'!M54:M56,'Financials"A"'!M66:M68)/SUM('Financials"A"'!M54:M56)</f>
        <v>0</v>
      </c>
      <c r="I59" s="273">
        <f>SUMPRODUCT('Financials"A"'!N54:N56,'Financials"A"'!N66:N68)/SUM('Financials"A"'!N54:N56)</f>
        <v>0</v>
      </c>
      <c r="J59" s="273">
        <f>SUMPRODUCT('Financials"A"'!O54:O56,'Financials"A"'!O66:O68)/SUM('Financials"A"'!O54:O56)</f>
        <v>0</v>
      </c>
      <c r="K59" s="273">
        <f>SUMPRODUCT('Financials"A"'!P54:P56,'Financials"A"'!P66:P68)/SUM('Financials"A"'!P54:P56)</f>
        <v>0</v>
      </c>
      <c r="L59" s="273">
        <f>SUMPRODUCT('Financials"A"'!Q54:Q56,'Financials"A"'!Q66:Q68)/SUM('Financials"A"'!Q54:Q56)</f>
        <v>0</v>
      </c>
      <c r="M59" s="273">
        <f>SUMPRODUCT('Financials"A"'!R54:R56,'Financials"A"'!R66:R68)/SUM('Financials"A"'!R54:R56)</f>
        <v>0</v>
      </c>
      <c r="N59" s="273">
        <f>SUMPRODUCT('Financials"A"'!S54:S56,'Financials"A"'!S66:S68)/SUM('Financials"A"'!S54:S56)</f>
        <v>0</v>
      </c>
      <c r="O59" s="273">
        <f>SUMPRODUCT('Financials"A"'!T54:T56,'Financials"A"'!T66:T68)/SUM('Financials"A"'!T54:T56)</f>
        <v>0</v>
      </c>
      <c r="P59" s="273">
        <f>SUMPRODUCT('Financials"A"'!U54:U56,'Financials"A"'!U66:U68)/SUM('Financials"A"'!U54:U56)</f>
        <v>0</v>
      </c>
      <c r="Q59" s="273">
        <f>SUMPRODUCT('Financials"A"'!V54:V56,'Financials"A"'!V66:V68)/SUM('Financials"A"'!V54:V56)</f>
        <v>0</v>
      </c>
      <c r="R59" s="273">
        <f>SUMPRODUCT('Financials"A"'!W54:W56,'Financials"A"'!W66:W68)/SUM('Financials"A"'!W54:W56)</f>
        <v>0</v>
      </c>
      <c r="S59" s="273">
        <f>SUMPRODUCT('Financials"A"'!X54:X56,'Financials"A"'!X66:X68)/SUM('Financials"A"'!X54:X56)</f>
        <v>0</v>
      </c>
      <c r="T59" s="273">
        <f>SUMPRODUCT('Financials"A"'!Y54:Y56,'Financials"A"'!Y66:Y68)/SUM('Financials"A"'!Y54:Y56)</f>
        <v>0</v>
      </c>
      <c r="U59" s="273">
        <f>SUMPRODUCT('Financials"A"'!Z54:Z56,'Financials"A"'!Z66:Z68)/SUM('Financials"A"'!Z54:Z56)</f>
        <v>0</v>
      </c>
      <c r="V59" s="273">
        <f>SUMPRODUCT('Financials"A"'!AA54:AA56,'Financials"A"'!AA66:AA68)/SUM('Financials"A"'!AA54:AA56)</f>
        <v>0</v>
      </c>
      <c r="W59" s="273">
        <f>SUMPRODUCT('Financials"A"'!AB54:AB56,'Financials"A"'!AB66:AB68)/SUM('Financials"A"'!AB54:AB56)</f>
        <v>0</v>
      </c>
      <c r="X59" s="274">
        <f>+M59</f>
        <v>0</v>
      </c>
    </row>
    <row r="60" spans="2:29" outlineLevel="1">
      <c r="B60" s="16" t="s">
        <v>49</v>
      </c>
      <c r="C60" s="38">
        <f t="shared" ref="C60:O60" si="111">MAX(0,C7)</f>
        <v>0</v>
      </c>
      <c r="D60" s="275">
        <f t="shared" si="111"/>
        <v>0</v>
      </c>
      <c r="E60" s="275">
        <f t="shared" si="111"/>
        <v>0</v>
      </c>
      <c r="F60" s="275">
        <f t="shared" si="111"/>
        <v>0</v>
      </c>
      <c r="G60" s="275">
        <f t="shared" si="111"/>
        <v>0</v>
      </c>
      <c r="H60" s="275">
        <f t="shared" si="111"/>
        <v>0</v>
      </c>
      <c r="I60" s="275">
        <f t="shared" si="111"/>
        <v>0</v>
      </c>
      <c r="J60" s="275">
        <f t="shared" si="111"/>
        <v>0</v>
      </c>
      <c r="K60" s="275">
        <f t="shared" si="111"/>
        <v>0</v>
      </c>
      <c r="L60" s="275">
        <f t="shared" si="111"/>
        <v>0</v>
      </c>
      <c r="M60" s="275">
        <f t="shared" si="111"/>
        <v>0</v>
      </c>
      <c r="N60" s="275">
        <f t="shared" si="111"/>
        <v>0</v>
      </c>
      <c r="O60" s="275">
        <f t="shared" si="111"/>
        <v>0</v>
      </c>
      <c r="P60" s="275">
        <f t="shared" ref="P60" si="112">MAX(0,P7)</f>
        <v>0</v>
      </c>
      <c r="Q60" s="275">
        <f t="shared" ref="Q60:W60" si="113">MAX(0,Q7)</f>
        <v>0</v>
      </c>
      <c r="R60" s="275">
        <f t="shared" si="113"/>
        <v>0</v>
      </c>
      <c r="S60" s="275">
        <f t="shared" si="113"/>
        <v>0</v>
      </c>
      <c r="T60" s="275">
        <f t="shared" si="113"/>
        <v>0</v>
      </c>
      <c r="U60" s="275">
        <f t="shared" si="113"/>
        <v>0</v>
      </c>
      <c r="V60" s="275">
        <f t="shared" si="113"/>
        <v>0</v>
      </c>
      <c r="W60" s="275">
        <f t="shared" si="113"/>
        <v>0</v>
      </c>
      <c r="X60" s="276">
        <f>+M60</f>
        <v>0</v>
      </c>
      <c r="Z60" s="356"/>
    </row>
    <row r="61" spans="2:29" outlineLevel="1">
      <c r="B61" s="16" t="s">
        <v>53</v>
      </c>
      <c r="C61" s="38">
        <f>+'BS"A"'!I79</f>
        <v>608873.73</v>
      </c>
      <c r="D61" s="275">
        <f>+'BS"A"'!I79</f>
        <v>608873.73</v>
      </c>
      <c r="E61" s="275">
        <f>+'BS"A"'!J79</f>
        <v>608873.73</v>
      </c>
      <c r="F61" s="275">
        <f>+'BS"A"'!K79</f>
        <v>608873.73</v>
      </c>
      <c r="G61" s="275">
        <f>+'BS"A"'!L79</f>
        <v>608873.73</v>
      </c>
      <c r="H61" s="275">
        <f>+'BS"A"'!M79</f>
        <v>608873.73</v>
      </c>
      <c r="I61" s="275">
        <f>+'BS"A"'!N79</f>
        <v>608873.73</v>
      </c>
      <c r="J61" s="275">
        <f>+'BS"A"'!O79</f>
        <v>608873.73</v>
      </c>
      <c r="K61" s="275">
        <f>+'BS"A"'!P79</f>
        <v>608873.73</v>
      </c>
      <c r="L61" s="275">
        <f>+'BS"A"'!Q79</f>
        <v>608873.73</v>
      </c>
      <c r="M61" s="275">
        <f>+'BS"A"'!S79</f>
        <v>608873.73</v>
      </c>
      <c r="N61" s="275">
        <f>+'BS"A"'!T79</f>
        <v>608873.73</v>
      </c>
      <c r="O61" s="275">
        <f>+'BS"A"'!U79</f>
        <v>608873.73</v>
      </c>
      <c r="P61" s="275">
        <f>+'BS"A"'!V79</f>
        <v>608873.73</v>
      </c>
      <c r="Q61" s="275">
        <f>+'BS"A"'!W79</f>
        <v>608873.73</v>
      </c>
      <c r="R61" s="275">
        <f>+'BS"A"'!X79</f>
        <v>608873.73</v>
      </c>
      <c r="S61" s="275">
        <f>+'BS"A"'!Y79</f>
        <v>608873.73</v>
      </c>
      <c r="T61" s="275">
        <f>+'BS"A"'!Z79</f>
        <v>608873.73</v>
      </c>
      <c r="U61" s="275">
        <f>+'BS"A"'!AA79</f>
        <v>608873.73</v>
      </c>
      <c r="V61" s="275">
        <f>+'BS"A"'!AB79</f>
        <v>608873.73</v>
      </c>
      <c r="W61" s="275">
        <f>+'BS"A"'!AC79</f>
        <v>608873.73</v>
      </c>
      <c r="X61" s="276">
        <f>+M61</f>
        <v>608873.73</v>
      </c>
    </row>
    <row r="62" spans="2:29" outlineLevel="1">
      <c r="B62" s="19" t="s">
        <v>51</v>
      </c>
      <c r="C62" s="29">
        <f>C47</f>
        <v>0.05</v>
      </c>
      <c r="D62" s="262">
        <f t="shared" ref="D62:X62" si="114">D47</f>
        <v>0.05</v>
      </c>
      <c r="E62" s="262">
        <f t="shared" si="114"/>
        <v>0.05</v>
      </c>
      <c r="F62" s="262">
        <f t="shared" si="114"/>
        <v>0.05</v>
      </c>
      <c r="G62" s="262">
        <f t="shared" si="114"/>
        <v>0.05</v>
      </c>
      <c r="H62" s="262">
        <f t="shared" si="114"/>
        <v>0.05</v>
      </c>
      <c r="I62" s="262">
        <f t="shared" si="114"/>
        <v>0.05</v>
      </c>
      <c r="J62" s="262">
        <f t="shared" si="114"/>
        <v>0.05</v>
      </c>
      <c r="K62" s="262">
        <f t="shared" si="114"/>
        <v>0.05</v>
      </c>
      <c r="L62" s="262">
        <f t="shared" si="114"/>
        <v>0.05</v>
      </c>
      <c r="M62" s="262">
        <f t="shared" si="114"/>
        <v>0.05</v>
      </c>
      <c r="N62" s="262">
        <f t="shared" si="114"/>
        <v>0.05</v>
      </c>
      <c r="O62" s="262">
        <f t="shared" si="114"/>
        <v>0.05</v>
      </c>
      <c r="P62" s="262">
        <f t="shared" ref="P62" si="115">P47</f>
        <v>0.05</v>
      </c>
      <c r="Q62" s="262">
        <f t="shared" ref="Q62:W62" si="116">Q47</f>
        <v>0.05</v>
      </c>
      <c r="R62" s="262">
        <f t="shared" si="116"/>
        <v>0.05</v>
      </c>
      <c r="S62" s="262">
        <f t="shared" si="116"/>
        <v>0.05</v>
      </c>
      <c r="T62" s="262">
        <f t="shared" si="116"/>
        <v>0.05</v>
      </c>
      <c r="U62" s="262">
        <f t="shared" si="116"/>
        <v>0.05</v>
      </c>
      <c r="V62" s="262">
        <f t="shared" si="116"/>
        <v>0.05</v>
      </c>
      <c r="W62" s="262">
        <f t="shared" si="116"/>
        <v>0.05</v>
      </c>
      <c r="X62" s="263">
        <f t="shared" si="114"/>
        <v>5.4299999999999994E-2</v>
      </c>
    </row>
    <row r="63" spans="2:29" outlineLevel="1">
      <c r="B63" s="28" t="s">
        <v>46</v>
      </c>
      <c r="C63" s="30">
        <f>1/POWER((1+C62),1-C65)</f>
        <v>0.96791027166002308</v>
      </c>
      <c r="D63" s="264">
        <f t="shared" ref="D63:X63" si="117">1/(1+D62)</f>
        <v>0.95238095238095233</v>
      </c>
      <c r="E63" s="264">
        <f t="shared" si="117"/>
        <v>0.95238095238095233</v>
      </c>
      <c r="F63" s="264">
        <f t="shared" si="117"/>
        <v>0.95238095238095233</v>
      </c>
      <c r="G63" s="264">
        <f t="shared" si="117"/>
        <v>0.95238095238095233</v>
      </c>
      <c r="H63" s="264">
        <f t="shared" si="117"/>
        <v>0.95238095238095233</v>
      </c>
      <c r="I63" s="264">
        <f t="shared" si="117"/>
        <v>0.95238095238095233</v>
      </c>
      <c r="J63" s="264">
        <f t="shared" si="117"/>
        <v>0.95238095238095233</v>
      </c>
      <c r="K63" s="264">
        <f t="shared" si="117"/>
        <v>0.95238095238095233</v>
      </c>
      <c r="L63" s="264">
        <f t="shared" si="117"/>
        <v>0.95238095238095233</v>
      </c>
      <c r="M63" s="264">
        <f t="shared" si="117"/>
        <v>0.95238095238095233</v>
      </c>
      <c r="N63" s="264">
        <f t="shared" si="117"/>
        <v>0.95238095238095233</v>
      </c>
      <c r="O63" s="264">
        <f t="shared" si="117"/>
        <v>0.95238095238095233</v>
      </c>
      <c r="P63" s="264">
        <f t="shared" ref="P63" si="118">1/(1+P62)</f>
        <v>0.95238095238095233</v>
      </c>
      <c r="Q63" s="264">
        <f t="shared" ref="Q63:W63" si="119">1/(1+Q62)</f>
        <v>0.95238095238095233</v>
      </c>
      <c r="R63" s="264">
        <f t="shared" si="119"/>
        <v>0.95238095238095233</v>
      </c>
      <c r="S63" s="264">
        <f t="shared" si="119"/>
        <v>0.95238095238095233</v>
      </c>
      <c r="T63" s="264">
        <f t="shared" si="119"/>
        <v>0.95238095238095233</v>
      </c>
      <c r="U63" s="264">
        <f t="shared" si="119"/>
        <v>0.95238095238095233</v>
      </c>
      <c r="V63" s="264">
        <f t="shared" si="119"/>
        <v>0.95238095238095233</v>
      </c>
      <c r="W63" s="264">
        <f t="shared" si="119"/>
        <v>0.95238095238095233</v>
      </c>
      <c r="X63" s="265">
        <f t="shared" si="117"/>
        <v>0.9484966328369534</v>
      </c>
    </row>
    <row r="64" spans="2:29" outlineLevel="1">
      <c r="B64" s="28" t="s">
        <v>47</v>
      </c>
      <c r="C64" s="30">
        <f>C63</f>
        <v>0.96791027166002308</v>
      </c>
      <c r="D64" s="264">
        <f>D63*C64</f>
        <v>0.92181930634287912</v>
      </c>
      <c r="E64" s="264">
        <f t="shared" ref="E64:O64" si="120">E63*D64</f>
        <v>0.87792314889798007</v>
      </c>
      <c r="F64" s="264">
        <f t="shared" si="120"/>
        <v>0.83611728466474289</v>
      </c>
      <c r="G64" s="264">
        <f t="shared" si="120"/>
        <v>0.79630217587118368</v>
      </c>
      <c r="H64" s="264">
        <f t="shared" si="120"/>
        <v>0.75838302463922247</v>
      </c>
      <c r="I64" s="264">
        <f t="shared" si="120"/>
        <v>0.7222695472754499</v>
      </c>
      <c r="J64" s="264">
        <f t="shared" si="120"/>
        <v>0.68787575930995226</v>
      </c>
      <c r="K64" s="264">
        <f t="shared" si="120"/>
        <v>0.65511977077138306</v>
      </c>
      <c r="L64" s="264">
        <f t="shared" si="120"/>
        <v>0.62392359121084096</v>
      </c>
      <c r="M64" s="264">
        <f t="shared" si="120"/>
        <v>0.59421294401032465</v>
      </c>
      <c r="N64" s="264">
        <f t="shared" si="120"/>
        <v>0.5659170895336425</v>
      </c>
      <c r="O64" s="264">
        <f t="shared" si="120"/>
        <v>0.53896865669870708</v>
      </c>
      <c r="P64" s="264">
        <f t="shared" ref="P64" si="121">P63*O64</f>
        <v>0.5133034825701972</v>
      </c>
      <c r="Q64" s="264">
        <f t="shared" ref="Q64" si="122">Q63*P64</f>
        <v>0.48886045959066399</v>
      </c>
      <c r="R64" s="264">
        <f t="shared" ref="R64" si="123">R63*Q64</f>
        <v>0.46558139008634664</v>
      </c>
      <c r="S64" s="264">
        <f t="shared" ref="S64" si="124">S63*R64</f>
        <v>0.44341084770128247</v>
      </c>
      <c r="T64" s="264">
        <f t="shared" ref="T64" si="125">T63*S64</f>
        <v>0.42229604542979282</v>
      </c>
      <c r="U64" s="264">
        <f t="shared" ref="U64" si="126">U63*T64</f>
        <v>0.40218670993313599</v>
      </c>
      <c r="V64" s="264">
        <f t="shared" ref="V64" si="127">V63*U64</f>
        <v>0.38303496184108188</v>
      </c>
      <c r="W64" s="264">
        <f t="shared" ref="W64" si="128">W63*V64</f>
        <v>0.36479520175341129</v>
      </c>
      <c r="X64" s="265">
        <f>X63*L64</f>
        <v>0.59178942541102242</v>
      </c>
    </row>
    <row r="65" spans="1:25" outlineLevel="1">
      <c r="B65" s="28" t="s">
        <v>48</v>
      </c>
      <c r="C65" s="33">
        <f>+C50</f>
        <v>0.33150684931506846</v>
      </c>
      <c r="D65" s="264"/>
      <c r="E65" s="264"/>
      <c r="G65" s="269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</row>
    <row r="66" spans="1:25" outlineLevel="1">
      <c r="B66" s="24"/>
      <c r="C66" s="24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</row>
    <row r="67" spans="1:25" outlineLevel="1">
      <c r="A67" s="41"/>
      <c r="B67" s="42" t="s">
        <v>54</v>
      </c>
      <c r="C67" s="43">
        <f t="shared" ref="C67:O67" si="129">C5</f>
        <v>44926</v>
      </c>
      <c r="D67" s="277">
        <f t="shared" si="129"/>
        <v>45291</v>
      </c>
      <c r="E67" s="277">
        <f t="shared" si="129"/>
        <v>45657</v>
      </c>
      <c r="F67" s="277">
        <f t="shared" si="129"/>
        <v>46022</v>
      </c>
      <c r="G67" s="277">
        <f t="shared" si="129"/>
        <v>46387</v>
      </c>
      <c r="H67" s="277">
        <f t="shared" si="129"/>
        <v>46752</v>
      </c>
      <c r="I67" s="277">
        <f t="shared" si="129"/>
        <v>47118</v>
      </c>
      <c r="J67" s="277">
        <f t="shared" si="129"/>
        <v>47483</v>
      </c>
      <c r="K67" s="277">
        <f t="shared" si="129"/>
        <v>47848</v>
      </c>
      <c r="L67" s="277">
        <f t="shared" si="129"/>
        <v>48213</v>
      </c>
      <c r="M67" s="277">
        <f t="shared" si="129"/>
        <v>48579</v>
      </c>
      <c r="N67" s="277">
        <f t="shared" si="129"/>
        <v>48944</v>
      </c>
      <c r="O67" s="277">
        <f t="shared" si="129"/>
        <v>49309</v>
      </c>
      <c r="P67" s="277">
        <f t="shared" ref="P67" si="130">P5</f>
        <v>49674</v>
      </c>
      <c r="Q67" s="277">
        <f t="shared" ref="Q67:W67" si="131">Q5</f>
        <v>50040</v>
      </c>
      <c r="R67" s="277">
        <f t="shared" si="131"/>
        <v>50405</v>
      </c>
      <c r="S67" s="277">
        <f t="shared" si="131"/>
        <v>50770</v>
      </c>
      <c r="T67" s="277">
        <f t="shared" si="131"/>
        <v>51135</v>
      </c>
      <c r="U67" s="277">
        <f t="shared" si="131"/>
        <v>51501</v>
      </c>
      <c r="V67" s="277">
        <f t="shared" si="131"/>
        <v>51866</v>
      </c>
      <c r="W67" s="277">
        <f t="shared" si="131"/>
        <v>52231</v>
      </c>
      <c r="X67" s="278"/>
      <c r="Y67" s="279"/>
    </row>
    <row r="68" spans="1:25" outlineLevel="1">
      <c r="A68" s="41"/>
      <c r="B68" s="44" t="s">
        <v>55</v>
      </c>
      <c r="C68" s="45">
        <f>+'PL"A"'!I6+'PL"A"'!I10</f>
        <v>137361298.54177752</v>
      </c>
      <c r="D68" s="280">
        <f>+'PL"A"'!J6+'PL"A"'!J10</f>
        <v>136697454.16007519</v>
      </c>
      <c r="E68" s="280">
        <f>+'PL"A"'!K6+'PL"A"'!K10</f>
        <v>141204490.87048358</v>
      </c>
      <c r="F68" s="280">
        <f>+'PL"A"'!L6+'PL"A"'!L10</f>
        <v>149536321.63545948</v>
      </c>
      <c r="G68" s="280">
        <f>+'PL"A"'!M6+'PL"A"'!M10</f>
        <v>155728162.52462456</v>
      </c>
      <c r="H68" s="280">
        <f>+'PL"A"'!N6+'PL"A"'!N10</f>
        <v>156874753.80285296</v>
      </c>
      <c r="I68" s="280">
        <f>+'PL"A"'!O6+'PL"A"'!O10</f>
        <v>161410128.64262372</v>
      </c>
      <c r="J68" s="280">
        <f>+'PL"A"'!P6+'PL"A"'!P10</f>
        <v>168276801.4662354</v>
      </c>
      <c r="K68" s="280">
        <f>+'PL"A"'!Q6+'PL"A"'!Q10</f>
        <v>169141439.60152408</v>
      </c>
      <c r="L68" s="280">
        <f>+'PL"A"'!R6+'PL"A"'!R10</f>
        <v>169924130.06538355</v>
      </c>
      <c r="M68" s="280">
        <f>+'PL"A"'!S6+'PL"A"'!S10</f>
        <v>170749398.01662865</v>
      </c>
      <c r="N68" s="280">
        <f>+'PL"A"'!T6+'PL"A"'!T10</f>
        <v>171521625.58592641</v>
      </c>
      <c r="O68" s="280">
        <f>+'PL"A"'!U6+'PL"A"'!U10</f>
        <v>172183257.84167805</v>
      </c>
      <c r="P68" s="280">
        <f>+'PL"A"'!V6+'PL"A"'!V10</f>
        <v>172760153.9838419</v>
      </c>
      <c r="Q68" s="280">
        <f>+'PL"A"'!W6+'PL"A"'!W10</f>
        <v>170614000.41766945</v>
      </c>
      <c r="R68" s="280">
        <f>+'PL"A"'!X6+'PL"A"'!X10</f>
        <v>170614000.41766945</v>
      </c>
      <c r="S68" s="280">
        <f>+'PL"A"'!Y6+'PL"A"'!Y10</f>
        <v>170614000.41766945</v>
      </c>
      <c r="T68" s="280">
        <f>+'PL"A"'!Z6+'PL"A"'!Z10</f>
        <v>170614000.41766945</v>
      </c>
      <c r="U68" s="280">
        <f>+'PL"A"'!AA6+'PL"A"'!AA10</f>
        <v>170614000.41766945</v>
      </c>
      <c r="V68" s="280">
        <f>+'PL"A"'!AB6+'PL"A"'!AB10</f>
        <v>170614000.41766945</v>
      </c>
      <c r="W68" s="280">
        <f>+'PL"A"'!AC6+'PL"A"'!AC10</f>
        <v>170614000.41766945</v>
      </c>
      <c r="X68" s="278"/>
      <c r="Y68" s="278"/>
    </row>
    <row r="69" spans="1:25" outlineLevel="1">
      <c r="A69" s="41"/>
      <c r="B69" s="46" t="s">
        <v>56</v>
      </c>
      <c r="C69" s="47">
        <f>+'PL"A"'!I62</f>
        <v>-45227883.766676232</v>
      </c>
      <c r="D69" s="281">
        <f>+'PL"A"'!J62</f>
        <v>-44891219.769047506</v>
      </c>
      <c r="E69" s="281">
        <f>+'PL"A"'!K62</f>
        <v>-44341929.854780078</v>
      </c>
      <c r="F69" s="281">
        <f>+'PL"A"'!L62</f>
        <v>-41231666.804459788</v>
      </c>
      <c r="G69" s="281">
        <f>+'PL"A"'!M62</f>
        <v>-38132527.255756423</v>
      </c>
      <c r="H69" s="281">
        <f>+'PL"A"'!N62</f>
        <v>-34998635.04264605</v>
      </c>
      <c r="I69" s="281">
        <f>+'PL"A"'!O62</f>
        <v>-29387608.222849421</v>
      </c>
      <c r="J69" s="281">
        <f>+'PL"A"'!P62</f>
        <v>-25114565.182921022</v>
      </c>
      <c r="K69" s="281">
        <f>+'PL"A"'!Q62</f>
        <v>-19815806.377604038</v>
      </c>
      <c r="L69" s="281">
        <f>+'PL"A"'!R62</f>
        <v>-19276948.725788854</v>
      </c>
      <c r="M69" s="281">
        <f>+'PL"A"'!S62</f>
        <v>-18730837.311707005</v>
      </c>
      <c r="N69" s="281">
        <f>+'PL"A"'!T62</f>
        <v>-18186727.943146884</v>
      </c>
      <c r="O69" s="281">
        <f>+'PL"A"'!U62</f>
        <v>-17649729.181423925</v>
      </c>
      <c r="P69" s="281">
        <f>+'PL"A"'!V62</f>
        <v>-17118231.652684167</v>
      </c>
      <c r="Q69" s="281">
        <f>+'PL"A"'!W62</f>
        <v>-19267346.117057581</v>
      </c>
      <c r="R69" s="281">
        <f>+'PL"A"'!X62</f>
        <v>-19270307.015258543</v>
      </c>
      <c r="S69" s="281">
        <f>+'PL"A"'!Y62</f>
        <v>-19273267.913459498</v>
      </c>
      <c r="T69" s="281">
        <f>+'PL"A"'!Z62</f>
        <v>-19276228.811660454</v>
      </c>
      <c r="U69" s="281">
        <f>+'PL"A"'!AA62</f>
        <v>-19279189.70986142</v>
      </c>
      <c r="V69" s="281">
        <f>+'PL"A"'!AB62</f>
        <v>-19282150.608062368</v>
      </c>
      <c r="W69" s="281">
        <f>+'PL"A"'!AC62</f>
        <v>-19285111.506263327</v>
      </c>
      <c r="X69" s="278"/>
      <c r="Y69" s="278"/>
    </row>
    <row r="70" spans="1:25" outlineLevel="1">
      <c r="A70" s="41"/>
      <c r="B70" s="46" t="s">
        <v>57</v>
      </c>
      <c r="C70" s="47">
        <f t="shared" ref="C70:O70" si="132">+C71-C73</f>
        <v>-27851088.379999999</v>
      </c>
      <c r="D70" s="281">
        <f t="shared" si="132"/>
        <v>-27827089.215164308</v>
      </c>
      <c r="E70" s="281">
        <f t="shared" si="132"/>
        <v>-28183298.488507722</v>
      </c>
      <c r="F70" s="281">
        <f t="shared" si="132"/>
        <v>-29323940.249555442</v>
      </c>
      <c r="G70" s="281">
        <f t="shared" si="132"/>
        <v>-31026739.185891915</v>
      </c>
      <c r="H70" s="281">
        <f t="shared" si="132"/>
        <v>-33283801.902689476</v>
      </c>
      <c r="I70" s="281">
        <f t="shared" si="132"/>
        <v>-36934775.187091313</v>
      </c>
      <c r="J70" s="281">
        <f t="shared" si="132"/>
        <v>-42033480.834041052</v>
      </c>
      <c r="K70" s="281">
        <f t="shared" si="132"/>
        <v>-48511479.031878367</v>
      </c>
      <c r="L70" s="281">
        <f t="shared" si="132"/>
        <v>-55118202.024977908</v>
      </c>
      <c r="M70" s="281">
        <f t="shared" si="132"/>
        <v>-61855788.085467614</v>
      </c>
      <c r="N70" s="281">
        <f t="shared" si="132"/>
        <v>-68724011.041519299</v>
      </c>
      <c r="O70" s="281">
        <f t="shared" si="132"/>
        <v>-75722317.213383928</v>
      </c>
      <c r="P70" s="281">
        <f t="shared" ref="P70" si="133">+P71-P73</f>
        <v>-82850433.603948399</v>
      </c>
      <c r="Q70" s="281">
        <f t="shared" ref="Q70:W70" si="134">+Q71-Q73</f>
        <v>-58687887.073805712</v>
      </c>
      <c r="R70" s="281">
        <f t="shared" si="134"/>
        <v>-33938863.708398566</v>
      </c>
      <c r="S70" s="281">
        <f t="shared" si="134"/>
        <v>-9079647.6849215589</v>
      </c>
      <c r="T70" s="281">
        <f t="shared" si="134"/>
        <v>15891905.631822709</v>
      </c>
      <c r="U70" s="281">
        <f t="shared" si="134"/>
        <v>40977983.769735821</v>
      </c>
      <c r="V70" s="281">
        <f t="shared" si="134"/>
        <v>66180818.007276617</v>
      </c>
      <c r="W70" s="281">
        <f t="shared" si="134"/>
        <v>91502684.248474047</v>
      </c>
      <c r="X70" s="278"/>
      <c r="Y70" s="278"/>
    </row>
    <row r="71" spans="1:25" outlineLevel="1">
      <c r="A71" s="41"/>
      <c r="B71" s="300" t="s">
        <v>251</v>
      </c>
      <c r="C71" s="47">
        <f>+'BS"A"'!I79</f>
        <v>608873.73</v>
      </c>
      <c r="D71" s="281">
        <f>+'BS"A"'!J79</f>
        <v>608873.73</v>
      </c>
      <c r="E71" s="281">
        <f>+'BS"A"'!K79</f>
        <v>608873.73</v>
      </c>
      <c r="F71" s="281">
        <f>+'BS"A"'!L79</f>
        <v>608873.73</v>
      </c>
      <c r="G71" s="281">
        <f>+'BS"A"'!M79</f>
        <v>608873.73</v>
      </c>
      <c r="H71" s="281">
        <f>+'BS"A"'!N79</f>
        <v>608873.73</v>
      </c>
      <c r="I71" s="281">
        <f>+'BS"A"'!O79</f>
        <v>608873.73</v>
      </c>
      <c r="J71" s="281">
        <f>+'BS"A"'!P79</f>
        <v>608873.73</v>
      </c>
      <c r="K71" s="281">
        <f>+'BS"A"'!Q79</f>
        <v>608873.73</v>
      </c>
      <c r="L71" s="281">
        <f>+'BS"A"'!R79</f>
        <v>608873.73</v>
      </c>
      <c r="M71" s="281">
        <f>+'BS"A"'!S79</f>
        <v>608873.73</v>
      </c>
      <c r="N71" s="281">
        <f>+'BS"A"'!T79</f>
        <v>608873.73</v>
      </c>
      <c r="O71" s="281">
        <f>+'BS"A"'!U79</f>
        <v>608873.73</v>
      </c>
      <c r="P71" s="281">
        <f>+'BS"A"'!V79</f>
        <v>608873.73</v>
      </c>
      <c r="Q71" s="281">
        <f>+'BS"A"'!W79</f>
        <v>608873.73</v>
      </c>
      <c r="R71" s="281">
        <f>+'BS"A"'!X79</f>
        <v>608873.73</v>
      </c>
      <c r="S71" s="281">
        <f>+'BS"A"'!Y79</f>
        <v>608873.73</v>
      </c>
      <c r="T71" s="281">
        <f>+'BS"A"'!Z79</f>
        <v>608873.73</v>
      </c>
      <c r="U71" s="281">
        <f>+'BS"A"'!AA79</f>
        <v>608873.73</v>
      </c>
      <c r="V71" s="281">
        <f>+'BS"A"'!AB79</f>
        <v>608873.73</v>
      </c>
      <c r="W71" s="281">
        <f>+'BS"A"'!AC79</f>
        <v>608873.73</v>
      </c>
      <c r="X71" s="278"/>
      <c r="Y71" s="278"/>
    </row>
    <row r="72" spans="1:25" outlineLevel="1">
      <c r="A72" s="41"/>
      <c r="B72" s="46"/>
      <c r="C72" s="47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78"/>
      <c r="Y72" s="278"/>
    </row>
    <row r="73" spans="1:25" outlineLevel="1">
      <c r="A73" s="41"/>
      <c r="B73" s="46" t="s">
        <v>59</v>
      </c>
      <c r="C73" s="47">
        <f>+'BS"A"'!I41</f>
        <v>28459962.109999999</v>
      </c>
      <c r="D73" s="281">
        <f>+'BS"A"'!J41</f>
        <v>28435962.945164308</v>
      </c>
      <c r="E73" s="281">
        <f>+'BS"A"'!K41</f>
        <v>28792172.218507722</v>
      </c>
      <c r="F73" s="281">
        <f>+'BS"A"'!L41</f>
        <v>29932813.979555443</v>
      </c>
      <c r="G73" s="281">
        <f>+'BS"A"'!M41</f>
        <v>31635612.915891916</v>
      </c>
      <c r="H73" s="281">
        <f>+'BS"A"'!N41</f>
        <v>33892675.632689476</v>
      </c>
      <c r="I73" s="281">
        <f>+'BS"A"'!O41</f>
        <v>37543648.91709131</v>
      </c>
      <c r="J73" s="281">
        <f>+'BS"A"'!P41</f>
        <v>42642354.564041048</v>
      </c>
      <c r="K73" s="281">
        <f>+'BS"A"'!Q41</f>
        <v>49120352.761878364</v>
      </c>
      <c r="L73" s="281">
        <f>+'BS"A"'!R41</f>
        <v>55727075.754977904</v>
      </c>
      <c r="M73" s="281">
        <f>+'BS"A"'!S41</f>
        <v>62464661.815467611</v>
      </c>
      <c r="N73" s="281">
        <f>+'BS"A"'!T41</f>
        <v>69332884.771519303</v>
      </c>
      <c r="O73" s="281">
        <f>+'BS"A"'!U41</f>
        <v>76331190.943383932</v>
      </c>
      <c r="P73" s="281">
        <f>+'BS"A"'!V41</f>
        <v>83459307.333948404</v>
      </c>
      <c r="Q73" s="281">
        <f>+'BS"A"'!W41</f>
        <v>59296760.803805709</v>
      </c>
      <c r="R73" s="281">
        <f>+'BS"A"'!X41</f>
        <v>34547737.438398562</v>
      </c>
      <c r="S73" s="281">
        <f>+'BS"A"'!Y41</f>
        <v>9688521.4149215594</v>
      </c>
      <c r="T73" s="281">
        <f>+'BS"A"'!Z41</f>
        <v>-15283031.901822709</v>
      </c>
      <c r="U73" s="281">
        <f>+'BS"A"'!AA41</f>
        <v>-40369110.039735824</v>
      </c>
      <c r="V73" s="281">
        <f>+'BS"A"'!AB41</f>
        <v>-65571944.27727662</v>
      </c>
      <c r="W73" s="281">
        <f>+'BS"A"'!AC41</f>
        <v>-90893810.518474042</v>
      </c>
      <c r="X73" s="278"/>
      <c r="Y73" s="278"/>
    </row>
    <row r="74" spans="1:25"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</row>
    <row r="75" spans="1:25"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</row>
    <row r="76" spans="1:25" s="147" customFormat="1" ht="13.25" customHeight="1">
      <c r="B76" s="224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</row>
    <row r="77" spans="1:25">
      <c r="C77" s="41"/>
    </row>
  </sheetData>
  <conditionalFormatting sqref="AC3">
    <cfRule type="cellIs" dxfId="0" priority="1" operator="equal">
      <formula>"ERROR"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DABA3-10DF-4F83-9173-115721BF3243}">
  <sheetPr>
    <tabColor theme="1" tint="0.34998626667073579"/>
  </sheetPr>
  <dimension ref="A1"/>
  <sheetViews>
    <sheetView workbookViewId="0"/>
  </sheetViews>
  <sheetFormatPr baseColWidth="10" defaultColWidth="8.83203125" defaultRowHeight="15"/>
  <cols>
    <col min="1" max="16384" width="8.83203125" style="63"/>
  </cols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1A720-FDC2-490C-960B-0C594DFB4193}">
  <sheetPr>
    <tabColor rgb="FFDCEFF4"/>
  </sheetPr>
  <dimension ref="A2:AJ75"/>
  <sheetViews>
    <sheetView topLeftCell="A31" workbookViewId="0">
      <selection activeCell="Y63" sqref="Y63"/>
    </sheetView>
  </sheetViews>
  <sheetFormatPr baseColWidth="10" defaultColWidth="8.83203125" defaultRowHeight="15"/>
  <cols>
    <col min="1" max="1" width="5.5" style="63" customWidth="1"/>
    <col min="2" max="2" width="26.1640625" style="459" customWidth="1"/>
    <col min="3" max="3" width="8.83203125" style="459"/>
    <col min="4" max="8" width="11" style="458" customWidth="1"/>
    <col min="9" max="29" width="11" style="460" customWidth="1"/>
    <col min="30" max="36" width="8.83203125" style="459"/>
    <col min="37" max="16384" width="8.83203125" style="63"/>
  </cols>
  <sheetData>
    <row r="2" spans="2:36" s="507" customFormat="1">
      <c r="B2" s="504"/>
      <c r="C2" s="504"/>
      <c r="D2" s="505">
        <v>43100</v>
      </c>
      <c r="E2" s="505">
        <f>EOMONTH(D2,12)</f>
        <v>43465</v>
      </c>
      <c r="F2" s="505">
        <f t="shared" ref="F2:V2" si="0">EOMONTH(E2,12)</f>
        <v>43830</v>
      </c>
      <c r="G2" s="505">
        <f t="shared" si="0"/>
        <v>44196</v>
      </c>
      <c r="H2" s="505">
        <f t="shared" si="0"/>
        <v>44561</v>
      </c>
      <c r="I2" s="504">
        <f t="shared" si="0"/>
        <v>44926</v>
      </c>
      <c r="J2" s="504">
        <f t="shared" si="0"/>
        <v>45291</v>
      </c>
      <c r="K2" s="504">
        <f t="shared" si="0"/>
        <v>45657</v>
      </c>
      <c r="L2" s="504">
        <f t="shared" si="0"/>
        <v>46022</v>
      </c>
      <c r="M2" s="504">
        <f t="shared" si="0"/>
        <v>46387</v>
      </c>
      <c r="N2" s="504">
        <f t="shared" si="0"/>
        <v>46752</v>
      </c>
      <c r="O2" s="504">
        <f t="shared" si="0"/>
        <v>47118</v>
      </c>
      <c r="P2" s="504">
        <f t="shared" si="0"/>
        <v>47483</v>
      </c>
      <c r="Q2" s="504">
        <f t="shared" si="0"/>
        <v>47848</v>
      </c>
      <c r="R2" s="504">
        <f t="shared" si="0"/>
        <v>48213</v>
      </c>
      <c r="S2" s="504">
        <f t="shared" si="0"/>
        <v>48579</v>
      </c>
      <c r="T2" s="504">
        <f t="shared" si="0"/>
        <v>48944</v>
      </c>
      <c r="U2" s="504">
        <f t="shared" si="0"/>
        <v>49309</v>
      </c>
      <c r="V2" s="504">
        <f t="shared" si="0"/>
        <v>49674</v>
      </c>
      <c r="W2" s="504">
        <f t="shared" ref="W2" si="1">EOMONTH(V2,12)</f>
        <v>50040</v>
      </c>
      <c r="X2" s="504">
        <f t="shared" ref="X2" si="2">EOMONTH(W2,12)</f>
        <v>50405</v>
      </c>
      <c r="Y2" s="504">
        <f t="shared" ref="Y2" si="3">EOMONTH(X2,12)</f>
        <v>50770</v>
      </c>
      <c r="Z2" s="504">
        <f t="shared" ref="Z2" si="4">EOMONTH(Y2,12)</f>
        <v>51135</v>
      </c>
      <c r="AA2" s="504">
        <f t="shared" ref="AA2" si="5">EOMONTH(Z2,12)</f>
        <v>51501</v>
      </c>
      <c r="AB2" s="504">
        <f t="shared" ref="AB2" si="6">EOMONTH(AA2,12)</f>
        <v>51866</v>
      </c>
      <c r="AC2" s="504">
        <f t="shared" ref="AC2" si="7">EOMONTH(AB2,12)</f>
        <v>52231</v>
      </c>
      <c r="AD2" s="506"/>
      <c r="AE2" s="506"/>
      <c r="AF2" s="506"/>
      <c r="AG2" s="506"/>
      <c r="AH2" s="506"/>
      <c r="AI2" s="506"/>
      <c r="AJ2" s="506"/>
    </row>
    <row r="3" spans="2:36">
      <c r="B3" s="459" t="s">
        <v>287</v>
      </c>
      <c r="C3" s="459" t="s">
        <v>259</v>
      </c>
      <c r="D3" s="458">
        <f>SUMIF(FTE_data!$C$4:$C$430,"="&amp;$B3,FTE_data!$D$4:$D$430)</f>
        <v>578.55424999999991</v>
      </c>
      <c r="E3" s="458">
        <f>SUMIF(FTE_data!$C$4:$C$430,"="&amp;$B3,FTE_data!$F$4:$F$430)</f>
        <v>573.55775000000006</v>
      </c>
      <c r="F3" s="458">
        <f>SUMIF(FTE_data!$C$4:$C$430,"="&amp;$B3,FTE_data!$H$4:$H$430)</f>
        <v>612.25724999999977</v>
      </c>
      <c r="G3" s="458">
        <f>SUMIF(FTE_data!$C$4:$C$430,"="&amp;$B3,FTE_data!$J$4:$J$430)</f>
        <v>635.76341666666667</v>
      </c>
      <c r="H3" s="458">
        <f>SUMIF(FTE_data!$C$4:$C$430,"="&amp;$B3,FTE_data!$L$4:$L$430)</f>
        <v>661.24091666666652</v>
      </c>
      <c r="I3" s="460">
        <f>H3</f>
        <v>661.24091666666652</v>
      </c>
      <c r="J3" s="460">
        <f t="shared" ref="J3:V3" si="8">J47/J49</f>
        <v>655.69798412672219</v>
      </c>
      <c r="K3" s="460">
        <f t="shared" si="8"/>
        <v>675.92965884792716</v>
      </c>
      <c r="L3" s="460">
        <f t="shared" si="8"/>
        <v>703.34930938816819</v>
      </c>
      <c r="M3" s="460">
        <f t="shared" si="8"/>
        <v>719.37930010853597</v>
      </c>
      <c r="N3" s="460">
        <f t="shared" si="8"/>
        <v>711.0185810610086</v>
      </c>
      <c r="O3" s="460">
        <f t="shared" si="8"/>
        <v>718.54819880470177</v>
      </c>
      <c r="P3" s="460">
        <f t="shared" si="8"/>
        <v>736.20491232023778</v>
      </c>
      <c r="Q3" s="460">
        <f t="shared" si="8"/>
        <v>726.48741238793036</v>
      </c>
      <c r="R3" s="460">
        <f t="shared" si="8"/>
        <v>727.47564714508223</v>
      </c>
      <c r="S3" s="460">
        <f>S47/S49</f>
        <v>728.63262594080254</v>
      </c>
      <c r="T3" s="460">
        <f t="shared" si="8"/>
        <v>729.53636311672005</v>
      </c>
      <c r="U3" s="460">
        <f t="shared" si="8"/>
        <v>729.9372599045239</v>
      </c>
      <c r="V3" s="460">
        <f t="shared" si="8"/>
        <v>729.95310733872952</v>
      </c>
      <c r="W3" s="460">
        <f t="shared" ref="W3:AC3" si="9">W47/W49</f>
        <v>729.95310733872952</v>
      </c>
      <c r="X3" s="460">
        <f t="shared" si="9"/>
        <v>729.95310733872952</v>
      </c>
      <c r="Y3" s="460">
        <f t="shared" si="9"/>
        <v>729.95310733872952</v>
      </c>
      <c r="Z3" s="460">
        <f t="shared" si="9"/>
        <v>729.95310733872952</v>
      </c>
      <c r="AA3" s="460">
        <f t="shared" si="9"/>
        <v>729.95310733872952</v>
      </c>
      <c r="AB3" s="460">
        <f t="shared" si="9"/>
        <v>729.95310733872952</v>
      </c>
      <c r="AC3" s="460">
        <f t="shared" si="9"/>
        <v>729.95310733872952</v>
      </c>
    </row>
    <row r="4" spans="2:36">
      <c r="B4" s="459" t="s">
        <v>288</v>
      </c>
      <c r="C4" s="459" t="s">
        <v>259</v>
      </c>
      <c r="D4" s="458">
        <f>SUMIF(FTE_data!$C$4:$C$430,"="&amp;$B4,FTE_data!$D$4:$D$430)</f>
        <v>23.9</v>
      </c>
      <c r="E4" s="458">
        <f>SUMIF(FTE_data!$C$4:$C$430,"="&amp;$B4,FTE_data!$F$4:$F$430)</f>
        <v>23.572249999999997</v>
      </c>
      <c r="F4" s="458">
        <f>SUMIF(FTE_data!$C$4:$C$430,"="&amp;$B4,FTE_data!$H$4:$H$430)</f>
        <v>27.361250000000002</v>
      </c>
      <c r="G4" s="458">
        <f>SUMIF(FTE_data!$C$4:$C$430,"="&amp;$B4,FTE_data!$J$4:$J$430)</f>
        <v>32.713916666666663</v>
      </c>
      <c r="H4" s="458">
        <f>SUMIF(FTE_data!$C$4:$C$430,"="&amp;$B4,FTE_data!$L$4:$L$430)</f>
        <v>32.762333333333331</v>
      </c>
      <c r="I4" s="460">
        <f t="shared" ref="I4:I11" si="10">H4</f>
        <v>32.762333333333331</v>
      </c>
      <c r="J4" s="460">
        <f t="shared" ref="J4:V4" si="11">I4*(1+J39)</f>
        <v>32.762333333333331</v>
      </c>
      <c r="K4" s="460">
        <f t="shared" si="11"/>
        <v>32.762333333333331</v>
      </c>
      <c r="L4" s="460">
        <f t="shared" si="11"/>
        <v>32.762333333333331</v>
      </c>
      <c r="M4" s="460">
        <f t="shared" si="11"/>
        <v>32.762333333333331</v>
      </c>
      <c r="N4" s="460">
        <f t="shared" si="11"/>
        <v>32.762333333333331</v>
      </c>
      <c r="O4" s="460">
        <f t="shared" si="11"/>
        <v>32.762333333333331</v>
      </c>
      <c r="P4" s="460">
        <f t="shared" si="11"/>
        <v>32.762333333333331</v>
      </c>
      <c r="Q4" s="460">
        <f t="shared" si="11"/>
        <v>32.762333333333331</v>
      </c>
      <c r="R4" s="460">
        <f t="shared" si="11"/>
        <v>32.762333333333331</v>
      </c>
      <c r="S4" s="460">
        <f t="shared" si="11"/>
        <v>32.762333333333331</v>
      </c>
      <c r="T4" s="460">
        <f t="shared" si="11"/>
        <v>32.762333333333331</v>
      </c>
      <c r="U4" s="460">
        <f t="shared" si="11"/>
        <v>32.762333333333331</v>
      </c>
      <c r="V4" s="460">
        <f t="shared" si="11"/>
        <v>32.762333333333331</v>
      </c>
      <c r="W4" s="460">
        <f t="shared" ref="W4:AC4" si="12">V4*(1+W39)</f>
        <v>32.762333333333331</v>
      </c>
      <c r="X4" s="460">
        <f t="shared" si="12"/>
        <v>32.762333333333331</v>
      </c>
      <c r="Y4" s="460">
        <f t="shared" si="12"/>
        <v>32.762333333333331</v>
      </c>
      <c r="Z4" s="460">
        <f t="shared" si="12"/>
        <v>32.762333333333331</v>
      </c>
      <c r="AA4" s="460">
        <f t="shared" si="12"/>
        <v>32.762333333333331</v>
      </c>
      <c r="AB4" s="460">
        <f t="shared" si="12"/>
        <v>32.762333333333331</v>
      </c>
      <c r="AC4" s="460">
        <f t="shared" si="12"/>
        <v>32.762333333333331</v>
      </c>
    </row>
    <row r="5" spans="2:36">
      <c r="B5" s="459" t="s">
        <v>417</v>
      </c>
      <c r="C5" s="459" t="s">
        <v>259</v>
      </c>
      <c r="D5" s="458">
        <f>SUMIF(FTE_data!$C$4:$C$430,"="&amp;$B5,FTE_data!$D$4:$D$430)</f>
        <v>2.1666666666666665</v>
      </c>
      <c r="E5" s="458">
        <f>SUMIF(FTE_data!$C$4:$C$430,"="&amp;$B5,FTE_data!$F$4:$F$430)</f>
        <v>1.2</v>
      </c>
      <c r="F5" s="458">
        <f>SUMIF(FTE_data!$C$4:$C$430,"="&amp;$B5,FTE_data!$H$4:$H$430)</f>
        <v>1.2</v>
      </c>
      <c r="G5" s="458">
        <f>SUMIF(FTE_data!$C$4:$C$430,"="&amp;$B5,FTE_data!$J$4:$J$430)</f>
        <v>1.2</v>
      </c>
      <c r="H5" s="458">
        <f>SUMIF(FTE_data!$C$4:$C$430,"="&amp;$B5,FTE_data!$L$4:$L$430)</f>
        <v>1.2</v>
      </c>
      <c r="I5" s="460">
        <f t="shared" si="10"/>
        <v>1.2</v>
      </c>
      <c r="J5" s="460">
        <f t="shared" ref="J5:V5" si="13">I5*(1+J40)</f>
        <v>1.2</v>
      </c>
      <c r="K5" s="460">
        <f t="shared" si="13"/>
        <v>1.2</v>
      </c>
      <c r="L5" s="460">
        <f t="shared" si="13"/>
        <v>1.2</v>
      </c>
      <c r="M5" s="460">
        <f t="shared" si="13"/>
        <v>1.2</v>
      </c>
      <c r="N5" s="460">
        <f t="shared" si="13"/>
        <v>1.2</v>
      </c>
      <c r="O5" s="460">
        <f t="shared" si="13"/>
        <v>1.2</v>
      </c>
      <c r="P5" s="460">
        <f t="shared" si="13"/>
        <v>1.2</v>
      </c>
      <c r="Q5" s="460">
        <f t="shared" si="13"/>
        <v>1.2</v>
      </c>
      <c r="R5" s="460">
        <f t="shared" si="13"/>
        <v>1.2</v>
      </c>
      <c r="S5" s="460">
        <f t="shared" si="13"/>
        <v>1.2</v>
      </c>
      <c r="T5" s="460">
        <f t="shared" si="13"/>
        <v>1.2</v>
      </c>
      <c r="U5" s="460">
        <f t="shared" si="13"/>
        <v>1.2</v>
      </c>
      <c r="V5" s="460">
        <f t="shared" si="13"/>
        <v>1.2</v>
      </c>
      <c r="W5" s="460">
        <f t="shared" ref="W5:AC5" si="14">V5*(1+W40)</f>
        <v>1.2</v>
      </c>
      <c r="X5" s="460">
        <f t="shared" si="14"/>
        <v>1.2</v>
      </c>
      <c r="Y5" s="460">
        <f t="shared" si="14"/>
        <v>1.2</v>
      </c>
      <c r="Z5" s="460">
        <f t="shared" si="14"/>
        <v>1.2</v>
      </c>
      <c r="AA5" s="460">
        <f t="shared" si="14"/>
        <v>1.2</v>
      </c>
      <c r="AB5" s="460">
        <f t="shared" si="14"/>
        <v>1.2</v>
      </c>
      <c r="AC5" s="460">
        <f t="shared" si="14"/>
        <v>1.2</v>
      </c>
    </row>
    <row r="6" spans="2:36">
      <c r="B6" s="459" t="s">
        <v>418</v>
      </c>
      <c r="C6" s="459" t="s">
        <v>259</v>
      </c>
      <c r="D6" s="458">
        <f>SUMIF(FTE_data!$C$4:$C$430,"="&amp;$B6,FTE_data!$D$4:$D$430)</f>
        <v>195.35675000000001</v>
      </c>
      <c r="E6" s="458">
        <f>SUMIF(FTE_data!$C$4:$C$430,"="&amp;$B6,FTE_data!$F$4:$F$430)</f>
        <v>194.89724999999999</v>
      </c>
      <c r="F6" s="458">
        <f>SUMIF(FTE_data!$C$4:$C$430,"="&amp;$B6,FTE_data!$H$4:$H$430)</f>
        <v>194.99133333333327</v>
      </c>
      <c r="G6" s="458">
        <f>SUMIF(FTE_data!$C$4:$C$430,"="&amp;$B6,FTE_data!$J$4:$J$430)</f>
        <v>201.70749999999998</v>
      </c>
      <c r="H6" s="458">
        <f>SUMIF(FTE_data!$C$4:$C$430,"="&amp;$B6,FTE_data!$L$4:$L$430)</f>
        <v>206.52950000000001</v>
      </c>
      <c r="I6" s="460">
        <f t="shared" si="10"/>
        <v>206.52950000000001</v>
      </c>
      <c r="J6" s="460">
        <f t="shared" ref="J6:V6" si="15">I6*(1+J41)</f>
        <v>206.52950000000001</v>
      </c>
      <c r="K6" s="460">
        <f t="shared" si="15"/>
        <v>206.52950000000001</v>
      </c>
      <c r="L6" s="460">
        <f t="shared" si="15"/>
        <v>206.52950000000001</v>
      </c>
      <c r="M6" s="460">
        <f t="shared" si="15"/>
        <v>206.52950000000001</v>
      </c>
      <c r="N6" s="460">
        <f t="shared" si="15"/>
        <v>206.52950000000001</v>
      </c>
      <c r="O6" s="460">
        <f t="shared" si="15"/>
        <v>206.52950000000001</v>
      </c>
      <c r="P6" s="460">
        <f t="shared" si="15"/>
        <v>206.52950000000001</v>
      </c>
      <c r="Q6" s="460">
        <f t="shared" si="15"/>
        <v>206.52950000000001</v>
      </c>
      <c r="R6" s="460">
        <f t="shared" si="15"/>
        <v>206.52950000000001</v>
      </c>
      <c r="S6" s="460">
        <f t="shared" si="15"/>
        <v>206.52950000000001</v>
      </c>
      <c r="T6" s="460">
        <f t="shared" si="15"/>
        <v>206.52950000000001</v>
      </c>
      <c r="U6" s="460">
        <f t="shared" si="15"/>
        <v>206.52950000000001</v>
      </c>
      <c r="V6" s="460">
        <f t="shared" si="15"/>
        <v>206.52950000000001</v>
      </c>
      <c r="W6" s="460">
        <f t="shared" ref="W6:AC6" si="16">V6*(1+W41)</f>
        <v>206.52950000000001</v>
      </c>
      <c r="X6" s="460">
        <f t="shared" si="16"/>
        <v>206.52950000000001</v>
      </c>
      <c r="Y6" s="460">
        <f t="shared" si="16"/>
        <v>206.52950000000001</v>
      </c>
      <c r="Z6" s="460">
        <f t="shared" si="16"/>
        <v>206.52950000000001</v>
      </c>
      <c r="AA6" s="460">
        <f t="shared" si="16"/>
        <v>206.52950000000001</v>
      </c>
      <c r="AB6" s="460">
        <f t="shared" si="16"/>
        <v>206.52950000000001</v>
      </c>
      <c r="AC6" s="460">
        <f t="shared" si="16"/>
        <v>206.52950000000001</v>
      </c>
    </row>
    <row r="7" spans="2:36">
      <c r="B7" s="459" t="s">
        <v>289</v>
      </c>
      <c r="C7" s="459" t="s">
        <v>259</v>
      </c>
      <c r="D7" s="458">
        <f>SUMIF(FTE_data!$C$4:$C$430,"="&amp;$B7,FTE_data!$D$4:$D$430)</f>
        <v>1169.5315833333334</v>
      </c>
      <c r="E7" s="458">
        <f>SUMIF(FTE_data!$C$4:$C$430,"="&amp;$B7,FTE_data!$F$4:$F$430)</f>
        <v>1160.3738333333338</v>
      </c>
      <c r="F7" s="458">
        <f>SUMIF(FTE_data!$C$4:$C$430,"="&amp;$B7,FTE_data!$H$4:$H$430)</f>
        <v>1343.9427499999999</v>
      </c>
      <c r="G7" s="458">
        <f>SUMIF(FTE_data!$C$4:$C$430,"="&amp;$B7,FTE_data!$J$4:$J$430)</f>
        <v>1368.4370833333339</v>
      </c>
      <c r="H7" s="458">
        <f>SUMIF(FTE_data!$C$4:$C$430,"="&amp;$B7,FTE_data!$L$4:$L$430)</f>
        <v>1408.6758333333332</v>
      </c>
      <c r="I7" s="460">
        <f t="shared" si="10"/>
        <v>1408.6758333333332</v>
      </c>
      <c r="J7" s="460">
        <f t="shared" ref="J7:V7" si="17">J3*J50</f>
        <v>1396.86743654782</v>
      </c>
      <c r="K7" s="460">
        <f t="shared" si="17"/>
        <v>1439.9680229290907</v>
      </c>
      <c r="L7" s="460">
        <f t="shared" si="17"/>
        <v>1473.408501694134</v>
      </c>
      <c r="M7" s="460">
        <f t="shared" si="17"/>
        <v>1481.4466798261562</v>
      </c>
      <c r="N7" s="460">
        <f t="shared" si="17"/>
        <v>1438.9837857866287</v>
      </c>
      <c r="O7" s="460">
        <f t="shared" si="17"/>
        <v>1428.7098092089036</v>
      </c>
      <c r="P7" s="460">
        <f t="shared" si="17"/>
        <v>1437.6775625569212</v>
      </c>
      <c r="Q7" s="460">
        <f t="shared" si="17"/>
        <v>1392.9064456410108</v>
      </c>
      <c r="R7" s="460">
        <f t="shared" si="17"/>
        <v>1394.8012046410583</v>
      </c>
      <c r="S7" s="460">
        <f t="shared" si="17"/>
        <v>1397.0194994037049</v>
      </c>
      <c r="T7" s="460">
        <f t="shared" si="17"/>
        <v>1398.7522497804296</v>
      </c>
      <c r="U7" s="460">
        <f t="shared" si="17"/>
        <v>1399.5208958852991</v>
      </c>
      <c r="V7" s="460">
        <f t="shared" si="17"/>
        <v>1399.5512804354998</v>
      </c>
      <c r="W7" s="460">
        <f t="shared" ref="W7:AC7" si="18">W3*W50</f>
        <v>1399.5512804354998</v>
      </c>
      <c r="X7" s="460">
        <f t="shared" si="18"/>
        <v>1399.5512804354998</v>
      </c>
      <c r="Y7" s="460">
        <f t="shared" si="18"/>
        <v>1399.5512804354998</v>
      </c>
      <c r="Z7" s="460">
        <f t="shared" si="18"/>
        <v>1399.5512804354998</v>
      </c>
      <c r="AA7" s="460">
        <f t="shared" si="18"/>
        <v>1399.5512804354998</v>
      </c>
      <c r="AB7" s="460">
        <f t="shared" si="18"/>
        <v>1399.5512804354998</v>
      </c>
      <c r="AC7" s="460">
        <f t="shared" si="18"/>
        <v>1399.5512804354998</v>
      </c>
    </row>
    <row r="8" spans="2:36">
      <c r="B8" s="459" t="s">
        <v>290</v>
      </c>
      <c r="C8" s="459" t="s">
        <v>259</v>
      </c>
      <c r="D8" s="458">
        <f>SUMIF(FTE_data!$C$4:$C$430,"="&amp;$B8,FTE_data!$D$4:$D$430)</f>
        <v>455.4163333333334</v>
      </c>
      <c r="E8" s="458">
        <f>SUMIF(FTE_data!$C$4:$C$430,"="&amp;$B8,FTE_data!$F$4:$F$430)</f>
        <v>454.62150000000008</v>
      </c>
      <c r="F8" s="458">
        <f>SUMIF(FTE_data!$C$4:$C$430,"="&amp;$B8,FTE_data!$H$4:$H$430)</f>
        <v>267.5500833333333</v>
      </c>
      <c r="G8" s="458">
        <f>SUMIF(FTE_data!$C$4:$C$430,"="&amp;$B8,FTE_data!$J$4:$J$430)</f>
        <v>258.63116666666667</v>
      </c>
      <c r="H8" s="458">
        <f>SUMIF(FTE_data!$C$4:$C$430,"="&amp;$B8,FTE_data!$L$4:$L$430)</f>
        <v>292.27449999999999</v>
      </c>
      <c r="I8" s="460">
        <f t="shared" si="10"/>
        <v>292.27449999999999</v>
      </c>
      <c r="J8" s="460">
        <f t="shared" ref="J8:V8" si="19">I8*(1+J42)</f>
        <v>292.27449999999999</v>
      </c>
      <c r="K8" s="460">
        <f t="shared" si="19"/>
        <v>292.27449999999999</v>
      </c>
      <c r="L8" s="460">
        <f t="shared" si="19"/>
        <v>292.27449999999999</v>
      </c>
      <c r="M8" s="460">
        <f t="shared" si="19"/>
        <v>292.27449999999999</v>
      </c>
      <c r="N8" s="460">
        <f t="shared" si="19"/>
        <v>292.27449999999999</v>
      </c>
      <c r="O8" s="460">
        <f t="shared" si="19"/>
        <v>292.27449999999999</v>
      </c>
      <c r="P8" s="460">
        <f t="shared" si="19"/>
        <v>292.27449999999999</v>
      </c>
      <c r="Q8" s="460">
        <f t="shared" si="19"/>
        <v>292.27449999999999</v>
      </c>
      <c r="R8" s="460">
        <f t="shared" si="19"/>
        <v>292.27449999999999</v>
      </c>
      <c r="S8" s="460">
        <f t="shared" si="19"/>
        <v>292.27449999999999</v>
      </c>
      <c r="T8" s="460">
        <f t="shared" si="19"/>
        <v>292.27449999999999</v>
      </c>
      <c r="U8" s="460">
        <f t="shared" si="19"/>
        <v>292.27449999999999</v>
      </c>
      <c r="V8" s="460">
        <f t="shared" si="19"/>
        <v>292.27449999999999</v>
      </c>
      <c r="W8" s="460">
        <f t="shared" ref="W8:AC8" si="20">V8*(1+W42)</f>
        <v>292.27449999999999</v>
      </c>
      <c r="X8" s="460">
        <f t="shared" si="20"/>
        <v>292.27449999999999</v>
      </c>
      <c r="Y8" s="460">
        <f t="shared" si="20"/>
        <v>292.27449999999999</v>
      </c>
      <c r="Z8" s="460">
        <f t="shared" si="20"/>
        <v>292.27449999999999</v>
      </c>
      <c r="AA8" s="460">
        <f t="shared" si="20"/>
        <v>292.27449999999999</v>
      </c>
      <c r="AB8" s="460">
        <f t="shared" si="20"/>
        <v>292.27449999999999</v>
      </c>
      <c r="AC8" s="460">
        <f t="shared" si="20"/>
        <v>292.27449999999999</v>
      </c>
    </row>
    <row r="9" spans="2:36">
      <c r="B9" s="459" t="s">
        <v>292</v>
      </c>
      <c r="C9" s="459" t="s">
        <v>259</v>
      </c>
      <c r="D9" s="458">
        <f>SUMIF(FTE_data!$C$4:$C$430,"="&amp;$B9,FTE_data!$D$4:$D$430)</f>
        <v>160.60766666666669</v>
      </c>
      <c r="E9" s="458">
        <f>SUMIF(FTE_data!$C$4:$C$430,"="&amp;$B9,FTE_data!$F$4:$F$430)</f>
        <v>160.55625000000001</v>
      </c>
      <c r="F9" s="458">
        <f>SUMIF(FTE_data!$C$4:$C$430,"="&amp;$B9,FTE_data!$H$4:$H$430)</f>
        <v>153.67358333333334</v>
      </c>
      <c r="G9" s="458">
        <f>SUMIF(FTE_data!$C$4:$C$430,"="&amp;$B9,FTE_data!$J$4:$J$430)</f>
        <v>154.32333333333332</v>
      </c>
      <c r="H9" s="458">
        <f>SUMIF(FTE_data!$C$4:$C$430,"="&amp;$B9,FTE_data!$L$4:$L$430)</f>
        <v>154.49083333333334</v>
      </c>
      <c r="I9" s="460">
        <f t="shared" si="10"/>
        <v>154.49083333333334</v>
      </c>
      <c r="J9" s="460">
        <f t="shared" ref="J9:V9" si="21">J48/J51</f>
        <v>153.77774688474599</v>
      </c>
      <c r="K9" s="460">
        <f t="shared" si="21"/>
        <v>159.12706904580017</v>
      </c>
      <c r="L9" s="460">
        <f t="shared" si="21"/>
        <v>166.21601134816794</v>
      </c>
      <c r="M9" s="460">
        <f t="shared" si="21"/>
        <v>170.65747751293591</v>
      </c>
      <c r="N9" s="460">
        <f t="shared" si="21"/>
        <v>169.32471051476821</v>
      </c>
      <c r="O9" s="460">
        <f t="shared" si="21"/>
        <v>171.78046143167762</v>
      </c>
      <c r="P9" s="460">
        <f t="shared" si="21"/>
        <v>176.68576103135766</v>
      </c>
      <c r="Q9" s="460">
        <f t="shared" si="21"/>
        <v>175.03402422068049</v>
      </c>
      <c r="R9" s="460">
        <f t="shared" si="21"/>
        <v>175.95880391258578</v>
      </c>
      <c r="S9" s="460">
        <f t="shared" si="21"/>
        <v>176.9318339679613</v>
      </c>
      <c r="T9" s="460">
        <f t="shared" si="21"/>
        <v>177.85081174201534</v>
      </c>
      <c r="U9" s="460">
        <f t="shared" si="21"/>
        <v>178.65400444516806</v>
      </c>
      <c r="V9" s="460">
        <f t="shared" si="21"/>
        <v>179.36897394375757</v>
      </c>
      <c r="W9" s="460">
        <f t="shared" ref="W9:AC9" si="22">W48/W51</f>
        <v>179.36897394375757</v>
      </c>
      <c r="X9" s="460">
        <f t="shared" si="22"/>
        <v>179.36897394375757</v>
      </c>
      <c r="Y9" s="460">
        <f t="shared" si="22"/>
        <v>179.36897394375757</v>
      </c>
      <c r="Z9" s="460">
        <f t="shared" si="22"/>
        <v>179.36897394375757</v>
      </c>
      <c r="AA9" s="460">
        <f t="shared" si="22"/>
        <v>179.36897394375757</v>
      </c>
      <c r="AB9" s="460">
        <f t="shared" si="22"/>
        <v>179.36897394375757</v>
      </c>
      <c r="AC9" s="460">
        <f t="shared" si="22"/>
        <v>179.36897394375757</v>
      </c>
    </row>
    <row r="10" spans="2:36">
      <c r="B10" s="459" t="s">
        <v>419</v>
      </c>
      <c r="C10" s="459" t="s">
        <v>259</v>
      </c>
      <c r="D10" s="458">
        <f>SUMIF(FTE_data!$C$4:$C$430,"="&amp;$B10,FTE_data!$D$4:$D$430)</f>
        <v>179.59291666666664</v>
      </c>
      <c r="E10" s="458">
        <f>SUMIF(FTE_data!$C$4:$C$430,"="&amp;$B10,FTE_data!$F$4:$F$430)</f>
        <v>174.39099999999999</v>
      </c>
      <c r="F10" s="458">
        <f>SUMIF(FTE_data!$C$4:$C$430,"="&amp;$B10,FTE_data!$H$4:$H$430)</f>
        <v>177.27850000000001</v>
      </c>
      <c r="G10" s="458">
        <f>SUMIF(FTE_data!$C$4:$C$430,"="&amp;$B10,FTE_data!$J$4:$J$430)</f>
        <v>190.94466666666668</v>
      </c>
      <c r="H10" s="458">
        <f>SUMIF(FTE_data!$C$4:$C$430,"="&amp;$B10,FTE_data!$L$4:$L$430)</f>
        <v>224.66483333333329</v>
      </c>
      <c r="I10" s="460">
        <f t="shared" si="10"/>
        <v>224.66483333333329</v>
      </c>
      <c r="J10" s="460">
        <f t="shared" ref="J10:V10" si="23">I10*(1+J43)</f>
        <v>224.66483333333329</v>
      </c>
      <c r="K10" s="460">
        <f t="shared" si="23"/>
        <v>224.66483333333329</v>
      </c>
      <c r="L10" s="460">
        <f t="shared" si="23"/>
        <v>224.66483333333329</v>
      </c>
      <c r="M10" s="460">
        <f t="shared" si="23"/>
        <v>224.66483333333329</v>
      </c>
      <c r="N10" s="460">
        <f t="shared" si="23"/>
        <v>224.66483333333329</v>
      </c>
      <c r="O10" s="460">
        <f t="shared" si="23"/>
        <v>202.19834999999998</v>
      </c>
      <c r="P10" s="460">
        <f t="shared" si="23"/>
        <v>202.19834999999998</v>
      </c>
      <c r="Q10" s="460">
        <f t="shared" si="23"/>
        <v>202.19834999999998</v>
      </c>
      <c r="R10" s="460">
        <f t="shared" si="23"/>
        <v>202.19834999999998</v>
      </c>
      <c r="S10" s="460">
        <f t="shared" si="23"/>
        <v>202.19834999999998</v>
      </c>
      <c r="T10" s="460">
        <f t="shared" si="23"/>
        <v>202.19834999999998</v>
      </c>
      <c r="U10" s="460">
        <f t="shared" si="23"/>
        <v>202.19834999999998</v>
      </c>
      <c r="V10" s="460">
        <f t="shared" si="23"/>
        <v>202.19834999999998</v>
      </c>
      <c r="W10" s="460">
        <f t="shared" ref="W10:AC10" si="24">V10*(1+W43)</f>
        <v>202.19834999999998</v>
      </c>
      <c r="X10" s="460">
        <f t="shared" si="24"/>
        <v>202.19834999999998</v>
      </c>
      <c r="Y10" s="460">
        <f t="shared" si="24"/>
        <v>202.19834999999998</v>
      </c>
      <c r="Z10" s="460">
        <f t="shared" si="24"/>
        <v>202.19834999999998</v>
      </c>
      <c r="AA10" s="460">
        <f t="shared" si="24"/>
        <v>202.19834999999998</v>
      </c>
      <c r="AB10" s="460">
        <f t="shared" si="24"/>
        <v>202.19834999999998</v>
      </c>
      <c r="AC10" s="460">
        <f t="shared" si="24"/>
        <v>202.19834999999998</v>
      </c>
    </row>
    <row r="11" spans="2:36">
      <c r="B11" s="461" t="s">
        <v>293</v>
      </c>
      <c r="C11" s="461" t="s">
        <v>259</v>
      </c>
      <c r="D11" s="462">
        <f>SUMIF(FTE_data!$C$4:$C$430,"="&amp;$B11,FTE_data!$D$4:$D$430)</f>
        <v>396.98141666666669</v>
      </c>
      <c r="E11" s="462">
        <f>SUMIF(FTE_data!$C$4:$C$430,"="&amp;$B11,FTE_data!$F$4:$F$430)</f>
        <v>393.97191666666669</v>
      </c>
      <c r="F11" s="462">
        <f>SUMIF(FTE_data!$C$4:$C$430,"="&amp;$B11,FTE_data!$H$4:$H$430)</f>
        <v>398.36150000000004</v>
      </c>
      <c r="G11" s="462">
        <f>SUMIF(FTE_data!$C$4:$C$430,"="&amp;$B11,FTE_data!$J$4:$J$430)</f>
        <v>400.74616666666662</v>
      </c>
      <c r="H11" s="723">
        <f>SUMIF(FTE_data!$C$4:$C$430,"="&amp;$B11,FTE_data!$L$4:$L$430)</f>
        <v>470.43966666666648</v>
      </c>
      <c r="I11" s="463">
        <f t="shared" si="10"/>
        <v>470.43966666666648</v>
      </c>
      <c r="J11" s="463">
        <f t="shared" ref="J11:V11" si="25">I11*(1+J44)</f>
        <v>470.43966666666648</v>
      </c>
      <c r="K11" s="463">
        <f t="shared" si="25"/>
        <v>470.43966666666648</v>
      </c>
      <c r="L11" s="463">
        <f t="shared" si="25"/>
        <v>470.43966666666648</v>
      </c>
      <c r="M11" s="463">
        <f t="shared" si="25"/>
        <v>470.43966666666648</v>
      </c>
      <c r="N11" s="463">
        <f t="shared" si="25"/>
        <v>470.43966666666648</v>
      </c>
      <c r="O11" s="463">
        <f t="shared" si="25"/>
        <v>423.39569999999986</v>
      </c>
      <c r="P11" s="463">
        <f t="shared" si="25"/>
        <v>423.39569999999986</v>
      </c>
      <c r="Q11" s="463">
        <f t="shared" si="25"/>
        <v>423.39569999999986</v>
      </c>
      <c r="R11" s="463">
        <f t="shared" si="25"/>
        <v>423.39569999999986</v>
      </c>
      <c r="S11" s="463">
        <f t="shared" si="25"/>
        <v>423.39569999999986</v>
      </c>
      <c r="T11" s="463">
        <f t="shared" si="25"/>
        <v>423.39569999999986</v>
      </c>
      <c r="U11" s="463">
        <f t="shared" si="25"/>
        <v>423.39569999999986</v>
      </c>
      <c r="V11" s="463">
        <f t="shared" si="25"/>
        <v>423.39569999999986</v>
      </c>
      <c r="W11" s="463">
        <f t="shared" ref="W11:AC11" si="26">V11*(1+W44)</f>
        <v>423.39569999999986</v>
      </c>
      <c r="X11" s="463">
        <f t="shared" si="26"/>
        <v>423.39569999999986</v>
      </c>
      <c r="Y11" s="463">
        <f t="shared" si="26"/>
        <v>423.39569999999986</v>
      </c>
      <c r="Z11" s="463">
        <f t="shared" si="26"/>
        <v>423.39569999999986</v>
      </c>
      <c r="AA11" s="463">
        <f t="shared" si="26"/>
        <v>423.39569999999986</v>
      </c>
      <c r="AB11" s="463">
        <f t="shared" si="26"/>
        <v>423.39569999999986</v>
      </c>
      <c r="AC11" s="463">
        <f t="shared" si="26"/>
        <v>423.39569999999986</v>
      </c>
    </row>
    <row r="12" spans="2:36">
      <c r="B12" s="464"/>
      <c r="C12" s="464"/>
      <c r="D12" s="465">
        <f>SUM(D3:D11)</f>
        <v>3162.1075833333334</v>
      </c>
      <c r="E12" s="465">
        <f t="shared" ref="E12:V12" si="27">SUM(E3:E11)</f>
        <v>3137.1417500000011</v>
      </c>
      <c r="F12" s="465">
        <f t="shared" si="27"/>
        <v>3176.6162499999996</v>
      </c>
      <c r="G12" s="465">
        <f t="shared" si="27"/>
        <v>3244.4672500000006</v>
      </c>
      <c r="H12" s="465">
        <f t="shared" si="27"/>
        <v>3452.2784166666661</v>
      </c>
      <c r="I12" s="466">
        <f t="shared" si="27"/>
        <v>3452.2784166666661</v>
      </c>
      <c r="J12" s="466">
        <f t="shared" si="27"/>
        <v>3434.2140008926217</v>
      </c>
      <c r="K12" s="466">
        <f t="shared" si="27"/>
        <v>3502.895584156151</v>
      </c>
      <c r="L12" s="466">
        <f t="shared" si="27"/>
        <v>3570.8446557638031</v>
      </c>
      <c r="M12" s="466">
        <f t="shared" si="27"/>
        <v>3599.3542907809615</v>
      </c>
      <c r="N12" s="466">
        <f t="shared" si="27"/>
        <v>3547.1979106957388</v>
      </c>
      <c r="O12" s="466">
        <f t="shared" si="27"/>
        <v>3477.3988527786164</v>
      </c>
      <c r="P12" s="466">
        <f t="shared" si="27"/>
        <v>3508.9286192418504</v>
      </c>
      <c r="Q12" s="466">
        <f t="shared" si="27"/>
        <v>3452.7882655829549</v>
      </c>
      <c r="R12" s="466">
        <f t="shared" si="27"/>
        <v>3456.5960390320597</v>
      </c>
      <c r="S12" s="466">
        <f t="shared" si="27"/>
        <v>3460.944342645802</v>
      </c>
      <c r="T12" s="466">
        <f t="shared" si="27"/>
        <v>3464.4998079724983</v>
      </c>
      <c r="U12" s="466">
        <f t="shared" si="27"/>
        <v>3466.4725435683245</v>
      </c>
      <c r="V12" s="466">
        <f t="shared" si="27"/>
        <v>3467.2337450513205</v>
      </c>
      <c r="W12" s="466">
        <f t="shared" ref="W12:AC12" si="28">SUM(W3:W11)</f>
        <v>3467.2337450513205</v>
      </c>
      <c r="X12" s="466">
        <f t="shared" si="28"/>
        <v>3467.2337450513205</v>
      </c>
      <c r="Y12" s="466">
        <f t="shared" si="28"/>
        <v>3467.2337450513205</v>
      </c>
      <c r="Z12" s="466">
        <f t="shared" si="28"/>
        <v>3467.2337450513205</v>
      </c>
      <c r="AA12" s="466">
        <f t="shared" si="28"/>
        <v>3467.2337450513205</v>
      </c>
      <c r="AB12" s="466">
        <f t="shared" si="28"/>
        <v>3467.2337450513205</v>
      </c>
      <c r="AC12" s="466">
        <f t="shared" si="28"/>
        <v>3467.2337450513205</v>
      </c>
    </row>
    <row r="15" spans="2:36">
      <c r="B15" s="459" t="s">
        <v>287</v>
      </c>
      <c r="C15" s="459" t="s">
        <v>295</v>
      </c>
      <c r="D15" s="458">
        <f>AVERAGEIF(FTE_data!$C$4:$C$430,"="&amp;$B15,FTE_data!$E$4:$E$430)</f>
        <v>2493.84527594255</v>
      </c>
      <c r="E15" s="458">
        <f>AVERAGEIF(FTE_data!$C$4:$C$430,"="&amp;$B15,FTE_data!$G$4:$G$430)</f>
        <v>2462.4713937709721</v>
      </c>
      <c r="F15" s="458">
        <f>AVERAGEIF(FTE_data!$C$4:$C$430,"="&amp;$B15,FTE_data!$I$4:$I$430)</f>
        <v>2323.3925190782434</v>
      </c>
      <c r="G15" s="458">
        <f>AVERAGEIF(FTE_data!$C$4:$C$430,"="&amp;$B15,FTE_data!$K$4:$K$430)</f>
        <v>2489.5720217204143</v>
      </c>
      <c r="H15" s="458">
        <f>AVERAGEIF(FTE_data!$C$4:$C$430,"="&amp;$B15,FTE_data!$M$4:$M$430)</f>
        <v>3067.5455097917506</v>
      </c>
      <c r="I15" s="460">
        <f>H15*(1+I29)</f>
        <v>3067.5455097917506</v>
      </c>
      <c r="J15" s="460">
        <f t="shared" ref="J15:V23" si="29">I15*(1+J29)</f>
        <v>3067.5455097917506</v>
      </c>
      <c r="K15" s="460">
        <f t="shared" si="29"/>
        <v>3067.5455097917506</v>
      </c>
      <c r="L15" s="460">
        <f t="shared" si="29"/>
        <v>3067.5455097917506</v>
      </c>
      <c r="M15" s="460">
        <f t="shared" si="29"/>
        <v>3067.5455097917506</v>
      </c>
      <c r="N15" s="460">
        <f t="shared" si="29"/>
        <v>3067.5455097917506</v>
      </c>
      <c r="O15" s="460">
        <f t="shared" si="29"/>
        <v>3067.5455097917506</v>
      </c>
      <c r="P15" s="460">
        <f t="shared" si="29"/>
        <v>3067.5455097917506</v>
      </c>
      <c r="Q15" s="460">
        <f t="shared" si="29"/>
        <v>3067.5455097917506</v>
      </c>
      <c r="R15" s="460">
        <f t="shared" si="29"/>
        <v>3067.5455097917506</v>
      </c>
      <c r="S15" s="460">
        <f t="shared" si="29"/>
        <v>3067.5455097917506</v>
      </c>
      <c r="T15" s="460">
        <f t="shared" si="29"/>
        <v>3067.5455097917506</v>
      </c>
      <c r="U15" s="460">
        <f t="shared" si="29"/>
        <v>3067.5455097917506</v>
      </c>
      <c r="V15" s="460">
        <f t="shared" si="29"/>
        <v>3067.5455097917506</v>
      </c>
      <c r="W15" s="460">
        <f t="shared" ref="W15:W23" si="30">V15*(1+W29)</f>
        <v>3067.5455097917506</v>
      </c>
      <c r="X15" s="460">
        <f t="shared" ref="X15:X23" si="31">W15*(1+X29)</f>
        <v>3067.5455097917506</v>
      </c>
      <c r="Y15" s="460">
        <f t="shared" ref="Y15:Y23" si="32">X15*(1+Y29)</f>
        <v>3067.5455097917506</v>
      </c>
      <c r="Z15" s="460">
        <f t="shared" ref="Z15:Z23" si="33">Y15*(1+Z29)</f>
        <v>3067.5455097917506</v>
      </c>
      <c r="AA15" s="460">
        <f t="shared" ref="AA15:AA23" si="34">Z15*(1+AA29)</f>
        <v>3067.5455097917506</v>
      </c>
      <c r="AB15" s="460">
        <f t="shared" ref="AB15:AB23" si="35">AA15*(1+AB29)</f>
        <v>3067.5455097917506</v>
      </c>
      <c r="AC15" s="460">
        <f t="shared" ref="AC15:AC23" si="36">AB15*(1+AC29)</f>
        <v>3067.5455097917506</v>
      </c>
    </row>
    <row r="16" spans="2:36">
      <c r="B16" s="459" t="s">
        <v>288</v>
      </c>
      <c r="C16" s="459" t="s">
        <v>295</v>
      </c>
      <c r="D16" s="458">
        <f>AVERAGEIF(FTE_data!$C$4:$C$430,"="&amp;$B16,FTE_data!$E$4:$E$430)</f>
        <v>927.3032620420048</v>
      </c>
      <c r="E16" s="458">
        <f>AVERAGEIF(FTE_data!$C$4:$C$430,"="&amp;$B16,FTE_data!$G$4:$G$430)</f>
        <v>970.49970251126774</v>
      </c>
      <c r="F16" s="458">
        <f>AVERAGEIF(FTE_data!$C$4:$C$430,"="&amp;$B16,FTE_data!$I$4:$I$430)</f>
        <v>1834.3897770311548</v>
      </c>
      <c r="G16" s="458">
        <f>AVERAGEIF(FTE_data!$C$4:$C$430,"="&amp;$B16,FTE_data!$K$4:$K$430)</f>
        <v>1633.8720743894487</v>
      </c>
      <c r="H16" s="458">
        <f>AVERAGEIF(FTE_data!$C$4:$C$430,"="&amp;$B16,FTE_data!$M$4:$M$430)</f>
        <v>1790.4123399014709</v>
      </c>
      <c r="I16" s="460">
        <f t="shared" ref="I16:I23" si="37">H16*(1+I30)</f>
        <v>1790.4123399014709</v>
      </c>
      <c r="J16" s="460">
        <f t="shared" si="29"/>
        <v>1790.4123399014709</v>
      </c>
      <c r="K16" s="460">
        <f t="shared" si="29"/>
        <v>1790.4123399014709</v>
      </c>
      <c r="L16" s="460">
        <f t="shared" si="29"/>
        <v>1790.4123399014709</v>
      </c>
      <c r="M16" s="460">
        <f t="shared" si="29"/>
        <v>1790.4123399014709</v>
      </c>
      <c r="N16" s="460">
        <f t="shared" si="29"/>
        <v>1790.4123399014709</v>
      </c>
      <c r="O16" s="460">
        <f t="shared" si="29"/>
        <v>1790.4123399014709</v>
      </c>
      <c r="P16" s="460">
        <f t="shared" si="29"/>
        <v>1790.4123399014709</v>
      </c>
      <c r="Q16" s="460">
        <f t="shared" si="29"/>
        <v>1790.4123399014709</v>
      </c>
      <c r="R16" s="460">
        <f t="shared" si="29"/>
        <v>1790.4123399014709</v>
      </c>
      <c r="S16" s="460">
        <f t="shared" si="29"/>
        <v>1790.4123399014709</v>
      </c>
      <c r="T16" s="460">
        <f t="shared" si="29"/>
        <v>1790.4123399014709</v>
      </c>
      <c r="U16" s="460">
        <f t="shared" si="29"/>
        <v>1790.4123399014709</v>
      </c>
      <c r="V16" s="460">
        <f t="shared" si="29"/>
        <v>1790.4123399014709</v>
      </c>
      <c r="W16" s="460">
        <f t="shared" si="30"/>
        <v>1790.4123399014709</v>
      </c>
      <c r="X16" s="460">
        <f t="shared" si="31"/>
        <v>1790.4123399014709</v>
      </c>
      <c r="Y16" s="460">
        <f t="shared" si="32"/>
        <v>1790.4123399014709</v>
      </c>
      <c r="Z16" s="460">
        <f t="shared" si="33"/>
        <v>1790.4123399014709</v>
      </c>
      <c r="AA16" s="460">
        <f t="shared" si="34"/>
        <v>1790.4123399014709</v>
      </c>
      <c r="AB16" s="460">
        <f t="shared" si="35"/>
        <v>1790.4123399014709</v>
      </c>
      <c r="AC16" s="460">
        <f t="shared" si="36"/>
        <v>1790.4123399014709</v>
      </c>
    </row>
    <row r="17" spans="2:36">
      <c r="B17" s="459" t="s">
        <v>417</v>
      </c>
      <c r="C17" s="459" t="s">
        <v>295</v>
      </c>
      <c r="D17" s="458">
        <f>AVERAGEIF(FTE_data!$C$4:$C$430,"="&amp;$B17,FTE_data!$E$4:$E$430)</f>
        <v>1053.7407692307693</v>
      </c>
      <c r="E17" s="458">
        <f>AVERAGEIF(FTE_data!$C$4:$C$430,"="&amp;$B17,FTE_data!$G$4:$G$430)</f>
        <v>1158.2055555555555</v>
      </c>
      <c r="F17" s="458">
        <f>AVERAGEIF(FTE_data!$C$4:$C$430,"="&amp;$B17,FTE_data!$I$4:$I$430)</f>
        <v>1124.723611111111</v>
      </c>
      <c r="G17" s="458">
        <f>AVERAGEIF(FTE_data!$C$4:$C$430,"="&amp;$B17,FTE_data!$K$4:$K$430)</f>
        <v>1187.2145833333332</v>
      </c>
      <c r="H17" s="458">
        <f>AVERAGEIF(FTE_data!$C$4:$C$430,"="&amp;$B17,FTE_data!$M$4:$M$430)</f>
        <v>1547.6111111111109</v>
      </c>
      <c r="I17" s="460">
        <f t="shared" si="37"/>
        <v>1547.6111111111109</v>
      </c>
      <c r="J17" s="460">
        <f t="shared" si="29"/>
        <v>1547.6111111111109</v>
      </c>
      <c r="K17" s="460">
        <f t="shared" si="29"/>
        <v>1547.6111111111109</v>
      </c>
      <c r="L17" s="460">
        <f t="shared" si="29"/>
        <v>1547.6111111111109</v>
      </c>
      <c r="M17" s="460">
        <f t="shared" si="29"/>
        <v>1547.6111111111109</v>
      </c>
      <c r="N17" s="460">
        <f t="shared" si="29"/>
        <v>1547.6111111111109</v>
      </c>
      <c r="O17" s="460">
        <f t="shared" si="29"/>
        <v>1547.6111111111109</v>
      </c>
      <c r="P17" s="460">
        <f t="shared" si="29"/>
        <v>1547.6111111111109</v>
      </c>
      <c r="Q17" s="460">
        <f t="shared" si="29"/>
        <v>1547.6111111111109</v>
      </c>
      <c r="R17" s="460">
        <f t="shared" si="29"/>
        <v>1547.6111111111109</v>
      </c>
      <c r="S17" s="460">
        <f t="shared" si="29"/>
        <v>1547.6111111111109</v>
      </c>
      <c r="T17" s="460">
        <f t="shared" si="29"/>
        <v>1547.6111111111109</v>
      </c>
      <c r="U17" s="460">
        <f t="shared" si="29"/>
        <v>1547.6111111111109</v>
      </c>
      <c r="V17" s="460">
        <f t="shared" si="29"/>
        <v>1547.6111111111109</v>
      </c>
      <c r="W17" s="460">
        <f t="shared" si="30"/>
        <v>1547.6111111111109</v>
      </c>
      <c r="X17" s="460">
        <f t="shared" si="31"/>
        <v>1547.6111111111109</v>
      </c>
      <c r="Y17" s="460">
        <f t="shared" si="32"/>
        <v>1547.6111111111109</v>
      </c>
      <c r="Z17" s="460">
        <f t="shared" si="33"/>
        <v>1547.6111111111109</v>
      </c>
      <c r="AA17" s="460">
        <f t="shared" si="34"/>
        <v>1547.6111111111109</v>
      </c>
      <c r="AB17" s="460">
        <f t="shared" si="35"/>
        <v>1547.6111111111109</v>
      </c>
      <c r="AC17" s="460">
        <f t="shared" si="36"/>
        <v>1547.6111111111109</v>
      </c>
    </row>
    <row r="18" spans="2:36">
      <c r="B18" s="459" t="s">
        <v>418</v>
      </c>
      <c r="C18" s="459" t="s">
        <v>295</v>
      </c>
      <c r="D18" s="458">
        <f>AVERAGEIF(FTE_data!$C$4:$C$430,"="&amp;$B18,FTE_data!$E$4:$E$430)</f>
        <v>576.31906325388877</v>
      </c>
      <c r="E18" s="458">
        <f>AVERAGEIF(FTE_data!$C$4:$C$430,"="&amp;$B18,FTE_data!$G$4:$G$430)</f>
        <v>573.56318881899767</v>
      </c>
      <c r="F18" s="458">
        <f>AVERAGEIF(FTE_data!$C$4:$C$430,"="&amp;$B18,FTE_data!$I$4:$I$430)</f>
        <v>602.54060655774822</v>
      </c>
      <c r="G18" s="458">
        <f>AVERAGEIF(FTE_data!$C$4:$C$430,"="&amp;$B18,FTE_data!$K$4:$K$430)</f>
        <v>644.83131351347151</v>
      </c>
      <c r="H18" s="458">
        <f>AVERAGEIF(FTE_data!$C$4:$C$430,"="&amp;$B18,FTE_data!$M$4:$M$430)</f>
        <v>1284.8464239886182</v>
      </c>
      <c r="I18" s="460">
        <f t="shared" si="37"/>
        <v>1284.8464239886182</v>
      </c>
      <c r="J18" s="460">
        <f t="shared" si="29"/>
        <v>1284.8464239886182</v>
      </c>
      <c r="K18" s="460">
        <f t="shared" si="29"/>
        <v>1284.8464239886182</v>
      </c>
      <c r="L18" s="460">
        <f t="shared" si="29"/>
        <v>1284.8464239886182</v>
      </c>
      <c r="M18" s="460">
        <f t="shared" si="29"/>
        <v>1284.8464239886182</v>
      </c>
      <c r="N18" s="460">
        <f t="shared" si="29"/>
        <v>1284.8464239886182</v>
      </c>
      <c r="O18" s="460">
        <f t="shared" si="29"/>
        <v>1284.8464239886182</v>
      </c>
      <c r="P18" s="460">
        <f t="shared" si="29"/>
        <v>1284.8464239886182</v>
      </c>
      <c r="Q18" s="460">
        <f t="shared" si="29"/>
        <v>1284.8464239886182</v>
      </c>
      <c r="R18" s="460">
        <f t="shared" si="29"/>
        <v>1284.8464239886182</v>
      </c>
      <c r="S18" s="460">
        <f t="shared" si="29"/>
        <v>1284.8464239886182</v>
      </c>
      <c r="T18" s="460">
        <f t="shared" si="29"/>
        <v>1284.8464239886182</v>
      </c>
      <c r="U18" s="460">
        <f t="shared" si="29"/>
        <v>1284.8464239886182</v>
      </c>
      <c r="V18" s="460">
        <f t="shared" si="29"/>
        <v>1284.8464239886182</v>
      </c>
      <c r="W18" s="460">
        <f t="shared" si="30"/>
        <v>1284.8464239886182</v>
      </c>
      <c r="X18" s="460">
        <f t="shared" si="31"/>
        <v>1284.8464239886182</v>
      </c>
      <c r="Y18" s="460">
        <f t="shared" si="32"/>
        <v>1284.8464239886182</v>
      </c>
      <c r="Z18" s="460">
        <f t="shared" si="33"/>
        <v>1284.8464239886182</v>
      </c>
      <c r="AA18" s="460">
        <f t="shared" si="34"/>
        <v>1284.8464239886182</v>
      </c>
      <c r="AB18" s="460">
        <f t="shared" si="35"/>
        <v>1284.8464239886182</v>
      </c>
      <c r="AC18" s="460">
        <f t="shared" si="36"/>
        <v>1284.8464239886182</v>
      </c>
    </row>
    <row r="19" spans="2:36">
      <c r="B19" s="459" t="s">
        <v>289</v>
      </c>
      <c r="C19" s="459" t="s">
        <v>295</v>
      </c>
      <c r="D19" s="458">
        <f>AVERAGEIF(FTE_data!$C$4:$C$430,"="&amp;$B19,FTE_data!$E$4:$E$430)</f>
        <v>558.47538009754737</v>
      </c>
      <c r="E19" s="458">
        <f>AVERAGEIF(FTE_data!$C$4:$C$430,"="&amp;$B19,FTE_data!$G$4:$G$430)</f>
        <v>649.1482091435538</v>
      </c>
      <c r="F19" s="458">
        <f>AVERAGEIF(FTE_data!$C$4:$C$430,"="&amp;$B19,FTE_data!$I$4:$I$430)</f>
        <v>1063.1332173005283</v>
      </c>
      <c r="G19" s="458">
        <f>AVERAGEIF(FTE_data!$C$4:$C$430,"="&amp;$B19,FTE_data!$K$4:$K$430)</f>
        <v>1166.8658515432176</v>
      </c>
      <c r="H19" s="458">
        <f>AVERAGEIF(FTE_data!$C$4:$C$430,"="&amp;$B19,FTE_data!$M$4:$M$430)</f>
        <v>1440.8036738663432</v>
      </c>
      <c r="I19" s="460">
        <f t="shared" si="37"/>
        <v>1440.8036738663432</v>
      </c>
      <c r="J19" s="460">
        <f t="shared" si="29"/>
        <v>1440.8036738663432</v>
      </c>
      <c r="K19" s="460">
        <f t="shared" si="29"/>
        <v>1440.8036738663432</v>
      </c>
      <c r="L19" s="460">
        <f t="shared" si="29"/>
        <v>1440.8036738663432</v>
      </c>
      <c r="M19" s="460">
        <f t="shared" si="29"/>
        <v>1440.8036738663432</v>
      </c>
      <c r="N19" s="460">
        <f t="shared" si="29"/>
        <v>1440.8036738663432</v>
      </c>
      <c r="O19" s="460">
        <f t="shared" si="29"/>
        <v>1440.8036738663432</v>
      </c>
      <c r="P19" s="460">
        <f t="shared" si="29"/>
        <v>1440.8036738663432</v>
      </c>
      <c r="Q19" s="460">
        <f t="shared" si="29"/>
        <v>1440.8036738663432</v>
      </c>
      <c r="R19" s="460">
        <f t="shared" si="29"/>
        <v>1440.8036738663432</v>
      </c>
      <c r="S19" s="460">
        <f t="shared" si="29"/>
        <v>1440.8036738663432</v>
      </c>
      <c r="T19" s="460">
        <f t="shared" si="29"/>
        <v>1440.8036738663432</v>
      </c>
      <c r="U19" s="460">
        <f t="shared" si="29"/>
        <v>1440.8036738663432</v>
      </c>
      <c r="V19" s="460">
        <f t="shared" si="29"/>
        <v>1440.8036738663432</v>
      </c>
      <c r="W19" s="460">
        <f t="shared" si="30"/>
        <v>1440.8036738663432</v>
      </c>
      <c r="X19" s="460">
        <f t="shared" si="31"/>
        <v>1440.8036738663432</v>
      </c>
      <c r="Y19" s="460">
        <f t="shared" si="32"/>
        <v>1440.8036738663432</v>
      </c>
      <c r="Z19" s="460">
        <f t="shared" si="33"/>
        <v>1440.8036738663432</v>
      </c>
      <c r="AA19" s="460">
        <f t="shared" si="34"/>
        <v>1440.8036738663432</v>
      </c>
      <c r="AB19" s="460">
        <f t="shared" si="35"/>
        <v>1440.8036738663432</v>
      </c>
      <c r="AC19" s="460">
        <f t="shared" si="36"/>
        <v>1440.8036738663432</v>
      </c>
    </row>
    <row r="20" spans="2:36">
      <c r="B20" s="459" t="s">
        <v>290</v>
      </c>
      <c r="C20" s="459" t="s">
        <v>295</v>
      </c>
      <c r="D20" s="458">
        <f>AVERAGEIF(FTE_data!$C$4:$C$430,"="&amp;$B20,FTE_data!$E$4:$E$430)</f>
        <v>728.98415235931816</v>
      </c>
      <c r="E20" s="458">
        <f>AVERAGEIF(FTE_data!$C$4:$C$430,"="&amp;$B20,FTE_data!$G$4:$G$430)</f>
        <v>756.32800499810196</v>
      </c>
      <c r="F20" s="458">
        <f>AVERAGEIF(FTE_data!$C$4:$C$430,"="&amp;$B20,FTE_data!$I$4:$I$430)</f>
        <v>461.26072301939121</v>
      </c>
      <c r="G20" s="458">
        <f>AVERAGEIF(FTE_data!$C$4:$C$430,"="&amp;$B20,FTE_data!$K$4:$K$430)</f>
        <v>472.20947687378543</v>
      </c>
      <c r="H20" s="458">
        <f>AVERAGEIF(FTE_data!$C$4:$C$430,"="&amp;$B20,FTE_data!$M$4:$M$430)</f>
        <v>826.52666177377398</v>
      </c>
      <c r="I20" s="460">
        <f t="shared" si="37"/>
        <v>826.52666177377398</v>
      </c>
      <c r="J20" s="460">
        <f t="shared" si="29"/>
        <v>826.52666177377398</v>
      </c>
      <c r="K20" s="460">
        <f t="shared" si="29"/>
        <v>826.52666177377398</v>
      </c>
      <c r="L20" s="460">
        <f t="shared" si="29"/>
        <v>826.52666177377398</v>
      </c>
      <c r="M20" s="460">
        <f t="shared" si="29"/>
        <v>826.52666177377398</v>
      </c>
      <c r="N20" s="460">
        <f t="shared" si="29"/>
        <v>826.52666177377398</v>
      </c>
      <c r="O20" s="460">
        <f t="shared" si="29"/>
        <v>826.52666177377398</v>
      </c>
      <c r="P20" s="460">
        <f t="shared" si="29"/>
        <v>826.52666177377398</v>
      </c>
      <c r="Q20" s="460">
        <f t="shared" si="29"/>
        <v>826.52666177377398</v>
      </c>
      <c r="R20" s="460">
        <f t="shared" si="29"/>
        <v>826.52666177377398</v>
      </c>
      <c r="S20" s="460">
        <f t="shared" si="29"/>
        <v>826.52666177377398</v>
      </c>
      <c r="T20" s="460">
        <f t="shared" si="29"/>
        <v>826.52666177377398</v>
      </c>
      <c r="U20" s="460">
        <f t="shared" si="29"/>
        <v>826.52666177377398</v>
      </c>
      <c r="V20" s="460">
        <f t="shared" si="29"/>
        <v>826.52666177377398</v>
      </c>
      <c r="W20" s="460">
        <f t="shared" si="30"/>
        <v>826.52666177377398</v>
      </c>
      <c r="X20" s="460">
        <f t="shared" si="31"/>
        <v>826.52666177377398</v>
      </c>
      <c r="Y20" s="460">
        <f t="shared" si="32"/>
        <v>826.52666177377398</v>
      </c>
      <c r="Z20" s="460">
        <f t="shared" si="33"/>
        <v>826.52666177377398</v>
      </c>
      <c r="AA20" s="460">
        <f t="shared" si="34"/>
        <v>826.52666177377398</v>
      </c>
      <c r="AB20" s="460">
        <f t="shared" si="35"/>
        <v>826.52666177377398</v>
      </c>
      <c r="AC20" s="460">
        <f t="shared" si="36"/>
        <v>826.52666177377398</v>
      </c>
    </row>
    <row r="21" spans="2:36">
      <c r="B21" s="459" t="s">
        <v>292</v>
      </c>
      <c r="C21" s="459" t="s">
        <v>295</v>
      </c>
      <c r="D21" s="458">
        <f>AVERAGEIF(FTE_data!$C$4:$C$430,"="&amp;$B21,FTE_data!$E$4:$E$430)</f>
        <v>998.5874409567665</v>
      </c>
      <c r="E21" s="458">
        <f>AVERAGEIF(FTE_data!$C$4:$C$430,"="&amp;$B21,FTE_data!$G$4:$G$430)</f>
        <v>1095.9973435375534</v>
      </c>
      <c r="F21" s="458">
        <f>AVERAGEIF(FTE_data!$C$4:$C$430,"="&amp;$B21,FTE_data!$I$4:$I$430)</f>
        <v>1085.9578846127552</v>
      </c>
      <c r="G21" s="458">
        <f>AVERAGEIF(FTE_data!$C$4:$C$430,"="&amp;$B21,FTE_data!$K$4:$K$430)</f>
        <v>1337.9989175126955</v>
      </c>
      <c r="H21" s="458">
        <f>AVERAGEIF(FTE_data!$C$4:$C$430,"="&amp;$B21,FTE_data!$M$4:$M$430)</f>
        <v>1756.0209752551102</v>
      </c>
      <c r="I21" s="460">
        <f t="shared" si="37"/>
        <v>1756.0209752551102</v>
      </c>
      <c r="J21" s="460">
        <f t="shared" si="29"/>
        <v>1756.0209752551102</v>
      </c>
      <c r="K21" s="460">
        <f t="shared" si="29"/>
        <v>1756.0209752551102</v>
      </c>
      <c r="L21" s="460">
        <f t="shared" si="29"/>
        <v>1756.0209752551102</v>
      </c>
      <c r="M21" s="460">
        <f t="shared" si="29"/>
        <v>1756.0209752551102</v>
      </c>
      <c r="N21" s="460">
        <f t="shared" si="29"/>
        <v>1756.0209752551102</v>
      </c>
      <c r="O21" s="460">
        <f t="shared" si="29"/>
        <v>1756.0209752551102</v>
      </c>
      <c r="P21" s="460">
        <f t="shared" si="29"/>
        <v>1756.0209752551102</v>
      </c>
      <c r="Q21" s="460">
        <f t="shared" si="29"/>
        <v>1756.0209752551102</v>
      </c>
      <c r="R21" s="460">
        <f t="shared" si="29"/>
        <v>1756.0209752551102</v>
      </c>
      <c r="S21" s="460">
        <f t="shared" si="29"/>
        <v>1756.0209752551102</v>
      </c>
      <c r="T21" s="460">
        <f t="shared" si="29"/>
        <v>1756.0209752551102</v>
      </c>
      <c r="U21" s="460">
        <f t="shared" si="29"/>
        <v>1756.0209752551102</v>
      </c>
      <c r="V21" s="460">
        <f t="shared" si="29"/>
        <v>1756.0209752551102</v>
      </c>
      <c r="W21" s="460">
        <f t="shared" si="30"/>
        <v>1756.0209752551102</v>
      </c>
      <c r="X21" s="460">
        <f t="shared" si="31"/>
        <v>1756.0209752551102</v>
      </c>
      <c r="Y21" s="460">
        <f t="shared" si="32"/>
        <v>1756.0209752551102</v>
      </c>
      <c r="Z21" s="460">
        <f t="shared" si="33"/>
        <v>1756.0209752551102</v>
      </c>
      <c r="AA21" s="460">
        <f t="shared" si="34"/>
        <v>1756.0209752551102</v>
      </c>
      <c r="AB21" s="460">
        <f t="shared" si="35"/>
        <v>1756.0209752551102</v>
      </c>
      <c r="AC21" s="460">
        <f t="shared" si="36"/>
        <v>1756.0209752551102</v>
      </c>
    </row>
    <row r="22" spans="2:36">
      <c r="B22" s="459" t="s">
        <v>419</v>
      </c>
      <c r="C22" s="459" t="s">
        <v>295</v>
      </c>
      <c r="D22" s="458">
        <f>AVERAGEIF(FTE_data!$C$4:$C$430,"="&amp;$B22,FTE_data!$E$4:$E$430)</f>
        <v>1023.647692314235</v>
      </c>
      <c r="E22" s="458">
        <f>AVERAGEIF(FTE_data!$C$4:$C$430,"="&amp;$B22,FTE_data!$G$4:$G$430)</f>
        <v>1056.7336878024853</v>
      </c>
      <c r="F22" s="458">
        <f>AVERAGEIF(FTE_data!$C$4:$C$430,"="&amp;$B22,FTE_data!$I$4:$I$430)</f>
        <v>1127.8926355075637</v>
      </c>
      <c r="G22" s="458">
        <f>AVERAGEIF(FTE_data!$C$4:$C$430,"="&amp;$B22,FTE_data!$K$4:$K$430)</f>
        <v>1131.4255304389524</v>
      </c>
      <c r="H22" s="458">
        <f>AVERAGEIF(FTE_data!$C$4:$C$430,"="&amp;$B22,FTE_data!$M$4:$M$430)</f>
        <v>1416.3259106880118</v>
      </c>
      <c r="I22" s="460">
        <f t="shared" si="37"/>
        <v>1416.3259106880118</v>
      </c>
      <c r="J22" s="460">
        <f t="shared" si="29"/>
        <v>1416.3259106880118</v>
      </c>
      <c r="K22" s="460">
        <f t="shared" si="29"/>
        <v>1416.3259106880118</v>
      </c>
      <c r="L22" s="460">
        <f t="shared" si="29"/>
        <v>1416.3259106880118</v>
      </c>
      <c r="M22" s="460">
        <f t="shared" si="29"/>
        <v>1416.3259106880118</v>
      </c>
      <c r="N22" s="460">
        <f t="shared" si="29"/>
        <v>1416.3259106880118</v>
      </c>
      <c r="O22" s="460">
        <f t="shared" si="29"/>
        <v>1416.3259106880118</v>
      </c>
      <c r="P22" s="460">
        <f t="shared" si="29"/>
        <v>1416.3259106880118</v>
      </c>
      <c r="Q22" s="460">
        <f t="shared" si="29"/>
        <v>1416.3259106880118</v>
      </c>
      <c r="R22" s="460">
        <f t="shared" si="29"/>
        <v>1416.3259106880118</v>
      </c>
      <c r="S22" s="460">
        <f t="shared" si="29"/>
        <v>1416.3259106880118</v>
      </c>
      <c r="T22" s="460">
        <f t="shared" si="29"/>
        <v>1416.3259106880118</v>
      </c>
      <c r="U22" s="460">
        <f t="shared" si="29"/>
        <v>1416.3259106880118</v>
      </c>
      <c r="V22" s="460">
        <f t="shared" si="29"/>
        <v>1416.3259106880118</v>
      </c>
      <c r="W22" s="460">
        <f t="shared" si="30"/>
        <v>1416.3259106880118</v>
      </c>
      <c r="X22" s="460">
        <f t="shared" si="31"/>
        <v>1416.3259106880118</v>
      </c>
      <c r="Y22" s="460">
        <f t="shared" si="32"/>
        <v>1416.3259106880118</v>
      </c>
      <c r="Z22" s="460">
        <f t="shared" si="33"/>
        <v>1416.3259106880118</v>
      </c>
      <c r="AA22" s="460">
        <f t="shared" si="34"/>
        <v>1416.3259106880118</v>
      </c>
      <c r="AB22" s="460">
        <f t="shared" si="35"/>
        <v>1416.3259106880118</v>
      </c>
      <c r="AC22" s="460">
        <f t="shared" si="36"/>
        <v>1416.3259106880118</v>
      </c>
    </row>
    <row r="23" spans="2:36">
      <c r="B23" s="461" t="s">
        <v>293</v>
      </c>
      <c r="C23" s="461" t="s">
        <v>295</v>
      </c>
      <c r="D23" s="462">
        <f>AVERAGEIF(FTE_data!$C$4:$C$430,"="&amp;$B23,FTE_data!$E$4:$E$430)</f>
        <v>690.67479626487318</v>
      </c>
      <c r="E23" s="462">
        <f>AVERAGEIF(FTE_data!$C$4:$C$430,"="&amp;$B23,FTE_data!$G$4:$G$430)</f>
        <v>693.37684379089274</v>
      </c>
      <c r="F23" s="462">
        <f>AVERAGEIF(FTE_data!$C$4:$C$430,"="&amp;$B23,FTE_data!$I$4:$I$430)</f>
        <v>764.72217587291595</v>
      </c>
      <c r="G23" s="462">
        <f>AVERAGEIF(FTE_data!$C$4:$C$430,"="&amp;$B23,FTE_data!$K$4:$K$430)</f>
        <v>851.12675386915691</v>
      </c>
      <c r="H23" s="462">
        <f>AVERAGEIF(FTE_data!$C$4:$C$430,"="&amp;$B23,FTE_data!$M$4:$M$430)</f>
        <v>986.2272350488779</v>
      </c>
      <c r="I23" s="463">
        <f t="shared" si="37"/>
        <v>986.2272350488779</v>
      </c>
      <c r="J23" s="463">
        <f t="shared" si="29"/>
        <v>986.2272350488779</v>
      </c>
      <c r="K23" s="463">
        <f t="shared" si="29"/>
        <v>986.2272350488779</v>
      </c>
      <c r="L23" s="463">
        <f t="shared" si="29"/>
        <v>986.2272350488779</v>
      </c>
      <c r="M23" s="463">
        <f t="shared" si="29"/>
        <v>986.2272350488779</v>
      </c>
      <c r="N23" s="463">
        <f t="shared" si="29"/>
        <v>986.2272350488779</v>
      </c>
      <c r="O23" s="463">
        <f t="shared" si="29"/>
        <v>986.2272350488779</v>
      </c>
      <c r="P23" s="463">
        <f t="shared" si="29"/>
        <v>986.2272350488779</v>
      </c>
      <c r="Q23" s="463">
        <f t="shared" si="29"/>
        <v>986.2272350488779</v>
      </c>
      <c r="R23" s="463">
        <f t="shared" si="29"/>
        <v>986.2272350488779</v>
      </c>
      <c r="S23" s="463">
        <f t="shared" si="29"/>
        <v>986.2272350488779</v>
      </c>
      <c r="T23" s="463">
        <f t="shared" si="29"/>
        <v>986.2272350488779</v>
      </c>
      <c r="U23" s="463">
        <f t="shared" si="29"/>
        <v>986.2272350488779</v>
      </c>
      <c r="V23" s="463">
        <f t="shared" si="29"/>
        <v>986.2272350488779</v>
      </c>
      <c r="W23" s="463">
        <f t="shared" si="30"/>
        <v>986.2272350488779</v>
      </c>
      <c r="X23" s="463">
        <f t="shared" si="31"/>
        <v>986.2272350488779</v>
      </c>
      <c r="Y23" s="463">
        <f t="shared" si="32"/>
        <v>986.2272350488779</v>
      </c>
      <c r="Z23" s="463">
        <f t="shared" si="33"/>
        <v>986.2272350488779</v>
      </c>
      <c r="AA23" s="463">
        <f t="shared" si="34"/>
        <v>986.2272350488779</v>
      </c>
      <c r="AB23" s="463">
        <f t="shared" si="35"/>
        <v>986.2272350488779</v>
      </c>
      <c r="AC23" s="463">
        <f t="shared" si="36"/>
        <v>986.2272350488779</v>
      </c>
    </row>
    <row r="24" spans="2:36">
      <c r="B24" s="459" t="s">
        <v>421</v>
      </c>
      <c r="D24" s="458">
        <f>SUMPRODUCT(D15:D23,D3:D11)*12*(1+D26)</f>
        <v>47885587.3712712</v>
      </c>
      <c r="E24" s="458">
        <f t="shared" ref="E24:V24" si="38">SUMPRODUCT(E15:E23,E3:E11)*12*(1+E26)</f>
        <v>48931099.268409863</v>
      </c>
      <c r="F24" s="458">
        <f t="shared" si="38"/>
        <v>54211066.181560084</v>
      </c>
      <c r="G24" s="458">
        <f t="shared" si="38"/>
        <v>60479932.443097517</v>
      </c>
      <c r="H24" s="458">
        <f t="shared" si="38"/>
        <v>79419661.149999991</v>
      </c>
      <c r="I24" s="460">
        <f t="shared" si="38"/>
        <v>79419661.149999991</v>
      </c>
      <c r="J24" s="460">
        <f t="shared" si="38"/>
        <v>78926423.60830684</v>
      </c>
      <c r="K24" s="460">
        <f t="shared" si="38"/>
        <v>80794188.080174759</v>
      </c>
      <c r="L24" s="460">
        <f t="shared" si="38"/>
        <v>82818388.135080531</v>
      </c>
      <c r="M24" s="460">
        <f t="shared" si="38"/>
        <v>83777110.244611308</v>
      </c>
      <c r="N24" s="460">
        <f t="shared" si="38"/>
        <v>82530094.134522736</v>
      </c>
      <c r="O24" s="460">
        <f t="shared" si="38"/>
        <v>81612552.03752555</v>
      </c>
      <c r="P24" s="460">
        <f t="shared" si="38"/>
        <v>82671181.538780853</v>
      </c>
      <c r="Q24" s="460">
        <f t="shared" si="38"/>
        <v>81311616.720225647</v>
      </c>
      <c r="R24" s="460">
        <f t="shared" si="38"/>
        <v>81414901.223506734</v>
      </c>
      <c r="S24" s="460">
        <f t="shared" si="38"/>
        <v>81533128.870167956</v>
      </c>
      <c r="T24" s="460">
        <f t="shared" si="38"/>
        <v>81629381.547030628</v>
      </c>
      <c r="U24" s="460">
        <f t="shared" si="38"/>
        <v>81681792.67905435</v>
      </c>
      <c r="V24" s="460">
        <f t="shared" si="38"/>
        <v>81700642.989242956</v>
      </c>
      <c r="W24" s="460">
        <f t="shared" ref="W24:AC24" si="39">SUMPRODUCT(W15:W23,W3:W11)*12*(1+W26)</f>
        <v>81700642.989242956</v>
      </c>
      <c r="X24" s="460">
        <f t="shared" si="39"/>
        <v>81700642.989242956</v>
      </c>
      <c r="Y24" s="460">
        <f t="shared" si="39"/>
        <v>81700642.989242956</v>
      </c>
      <c r="Z24" s="460">
        <f t="shared" si="39"/>
        <v>81700642.989242956</v>
      </c>
      <c r="AA24" s="460">
        <f t="shared" si="39"/>
        <v>81700642.989242956</v>
      </c>
      <c r="AB24" s="460">
        <f t="shared" si="39"/>
        <v>81700642.989242956</v>
      </c>
      <c r="AC24" s="460">
        <f t="shared" si="39"/>
        <v>81700642.989242956</v>
      </c>
    </row>
    <row r="25" spans="2:36" s="121" customFormat="1">
      <c r="B25" s="468" t="s">
        <v>422</v>
      </c>
      <c r="C25" s="468"/>
      <c r="D25" s="471">
        <f>'PL"A"'!D20/'PL"A"'!D18</f>
        <v>0.38516392670176264</v>
      </c>
      <c r="E25" s="471">
        <f>'PL"A"'!E20/'PL"A"'!E18</f>
        <v>0.38586044256027491</v>
      </c>
      <c r="F25" s="471">
        <f>'PL"A"'!F20/'PL"A"'!F18</f>
        <v>0.3871204503470923</v>
      </c>
      <c r="G25" s="471">
        <f>'PL"A"'!G20/'PL"A"'!G18</f>
        <v>0.43813156794959424</v>
      </c>
      <c r="H25" s="471">
        <f>'PL"A"'!H20/'PL"A"'!H18</f>
        <v>0.4363189659617428</v>
      </c>
      <c r="I25" s="503">
        <f>H25</f>
        <v>0.4363189659617428</v>
      </c>
      <c r="J25" s="503">
        <f t="shared" ref="J25:V26" si="40">I25</f>
        <v>0.4363189659617428</v>
      </c>
      <c r="K25" s="503">
        <f t="shared" si="40"/>
        <v>0.4363189659617428</v>
      </c>
      <c r="L25" s="503">
        <f t="shared" si="40"/>
        <v>0.4363189659617428</v>
      </c>
      <c r="M25" s="503">
        <f t="shared" si="40"/>
        <v>0.4363189659617428</v>
      </c>
      <c r="N25" s="503">
        <f t="shared" si="40"/>
        <v>0.4363189659617428</v>
      </c>
      <c r="O25" s="503">
        <f t="shared" si="40"/>
        <v>0.4363189659617428</v>
      </c>
      <c r="P25" s="503">
        <f t="shared" si="40"/>
        <v>0.4363189659617428</v>
      </c>
      <c r="Q25" s="503">
        <f t="shared" si="40"/>
        <v>0.4363189659617428</v>
      </c>
      <c r="R25" s="503">
        <f t="shared" si="40"/>
        <v>0.4363189659617428</v>
      </c>
      <c r="S25" s="503">
        <f t="shared" si="40"/>
        <v>0.4363189659617428</v>
      </c>
      <c r="T25" s="503">
        <f t="shared" si="40"/>
        <v>0.4363189659617428</v>
      </c>
      <c r="U25" s="503">
        <f t="shared" si="40"/>
        <v>0.4363189659617428</v>
      </c>
      <c r="V25" s="503">
        <f t="shared" si="40"/>
        <v>0.4363189659617428</v>
      </c>
      <c r="W25" s="503">
        <f t="shared" ref="W25:W26" si="41">V25</f>
        <v>0.4363189659617428</v>
      </c>
      <c r="X25" s="503">
        <f t="shared" ref="X25:X26" si="42">W25</f>
        <v>0.4363189659617428</v>
      </c>
      <c r="Y25" s="503">
        <f t="shared" ref="Y25:Y26" si="43">X25</f>
        <v>0.4363189659617428</v>
      </c>
      <c r="Z25" s="503">
        <f t="shared" ref="Z25:Z26" si="44">Y25</f>
        <v>0.4363189659617428</v>
      </c>
      <c r="AA25" s="503">
        <f t="shared" ref="AA25:AA26" si="45">Z25</f>
        <v>0.4363189659617428</v>
      </c>
      <c r="AB25" s="503">
        <f t="shared" ref="AB25:AB26" si="46">AA25</f>
        <v>0.4363189659617428</v>
      </c>
      <c r="AC25" s="503">
        <f t="shared" ref="AC25:AC26" si="47">AB25</f>
        <v>0.4363189659617428</v>
      </c>
      <c r="AD25" s="468"/>
      <c r="AE25" s="468"/>
      <c r="AF25" s="468"/>
      <c r="AG25" s="468"/>
      <c r="AH25" s="468"/>
      <c r="AI25" s="468"/>
      <c r="AJ25" s="468"/>
    </row>
    <row r="26" spans="2:36" s="121" customFormat="1">
      <c r="B26" s="468" t="s">
        <v>1042</v>
      </c>
      <c r="C26" s="468"/>
      <c r="D26" s="471">
        <v>0.25351926806291236</v>
      </c>
      <c r="E26" s="471">
        <v>0.24356824177183023</v>
      </c>
      <c r="F26" s="471">
        <v>0.18409794029999343</v>
      </c>
      <c r="G26" s="471">
        <v>0.18581360788957058</v>
      </c>
      <c r="H26" s="471">
        <v>0.16541888656210813</v>
      </c>
      <c r="I26" s="503">
        <f>H26</f>
        <v>0.16541888656210813</v>
      </c>
      <c r="J26" s="503">
        <f t="shared" si="40"/>
        <v>0.16541888656210813</v>
      </c>
      <c r="K26" s="503">
        <f t="shared" si="40"/>
        <v>0.16541888656210813</v>
      </c>
      <c r="L26" s="503">
        <f t="shared" si="40"/>
        <v>0.16541888656210813</v>
      </c>
      <c r="M26" s="503">
        <f t="shared" si="40"/>
        <v>0.16541888656210813</v>
      </c>
      <c r="N26" s="503">
        <f t="shared" si="40"/>
        <v>0.16541888656210813</v>
      </c>
      <c r="O26" s="503">
        <f t="shared" si="40"/>
        <v>0.16541888656210813</v>
      </c>
      <c r="P26" s="503">
        <f t="shared" si="40"/>
        <v>0.16541888656210813</v>
      </c>
      <c r="Q26" s="503">
        <f t="shared" si="40"/>
        <v>0.16541888656210813</v>
      </c>
      <c r="R26" s="503">
        <f t="shared" si="40"/>
        <v>0.16541888656210813</v>
      </c>
      <c r="S26" s="503">
        <f t="shared" si="40"/>
        <v>0.16541888656210813</v>
      </c>
      <c r="T26" s="503">
        <f t="shared" si="40"/>
        <v>0.16541888656210813</v>
      </c>
      <c r="U26" s="503">
        <f t="shared" si="40"/>
        <v>0.16541888656210813</v>
      </c>
      <c r="V26" s="503">
        <f t="shared" si="40"/>
        <v>0.16541888656210813</v>
      </c>
      <c r="W26" s="503">
        <f t="shared" si="41"/>
        <v>0.16541888656210813</v>
      </c>
      <c r="X26" s="503">
        <f t="shared" si="42"/>
        <v>0.16541888656210813</v>
      </c>
      <c r="Y26" s="503">
        <f t="shared" si="43"/>
        <v>0.16541888656210813</v>
      </c>
      <c r="Z26" s="503">
        <f t="shared" si="44"/>
        <v>0.16541888656210813</v>
      </c>
      <c r="AA26" s="503">
        <f t="shared" si="45"/>
        <v>0.16541888656210813</v>
      </c>
      <c r="AB26" s="503">
        <f t="shared" si="46"/>
        <v>0.16541888656210813</v>
      </c>
      <c r="AC26" s="503">
        <f t="shared" si="47"/>
        <v>0.16541888656210813</v>
      </c>
      <c r="AD26" s="468"/>
      <c r="AE26" s="468"/>
      <c r="AF26" s="468"/>
      <c r="AG26" s="468"/>
      <c r="AH26" s="468"/>
      <c r="AI26" s="468"/>
      <c r="AJ26" s="468"/>
    </row>
    <row r="27" spans="2:36" s="456" customFormat="1">
      <c r="B27" s="473" t="s">
        <v>423</v>
      </c>
      <c r="C27" s="473"/>
      <c r="D27" s="474">
        <f>D24*(1+D25)</f>
        <v>66329388.235610351</v>
      </c>
      <c r="E27" s="474">
        <f t="shared" ref="E27:V27" si="48">E24*(1+E25)</f>
        <v>67811674.887079239</v>
      </c>
      <c r="F27" s="474">
        <f t="shared" si="48"/>
        <v>75197278.535561651</v>
      </c>
      <c r="G27" s="474">
        <f t="shared" si="48"/>
        <v>86978100.073877364</v>
      </c>
      <c r="H27" s="474">
        <f t="shared" si="48"/>
        <v>114071965.57999998</v>
      </c>
      <c r="I27" s="475">
        <f t="shared" si="48"/>
        <v>114071965.57999998</v>
      </c>
      <c r="J27" s="475">
        <f t="shared" si="48"/>
        <v>113363519.14414176</v>
      </c>
      <c r="K27" s="475">
        <f t="shared" si="48"/>
        <v>116046224.67903517</v>
      </c>
      <c r="L27" s="475">
        <f t="shared" si="48"/>
        <v>118953621.60879713</v>
      </c>
      <c r="M27" s="475">
        <f t="shared" si="48"/>
        <v>120330652.35780305</v>
      </c>
      <c r="N27" s="475">
        <f t="shared" si="48"/>
        <v>118539539.46802299</v>
      </c>
      <c r="O27" s="475">
        <f t="shared" si="48"/>
        <v>117221656.35203762</v>
      </c>
      <c r="P27" s="475">
        <f t="shared" si="48"/>
        <v>118742185.98261723</v>
      </c>
      <c r="Q27" s="475">
        <f t="shared" si="48"/>
        <v>116789417.24827206</v>
      </c>
      <c r="R27" s="475">
        <f t="shared" si="48"/>
        <v>116937766.73922463</v>
      </c>
      <c r="S27" s="475">
        <f t="shared" si="48"/>
        <v>117107579.35042515</v>
      </c>
      <c r="T27" s="475">
        <f t="shared" si="48"/>
        <v>117245828.8957276</v>
      </c>
      <c r="U27" s="475">
        <f t="shared" si="48"/>
        <v>117321107.9986808</v>
      </c>
      <c r="V27" s="475">
        <f t="shared" si="48"/>
        <v>117348183.05671896</v>
      </c>
      <c r="W27" s="475">
        <f t="shared" ref="W27:AC27" si="49">W24*(1+W25)</f>
        <v>117348183.05671896</v>
      </c>
      <c r="X27" s="475">
        <f t="shared" si="49"/>
        <v>117348183.05671896</v>
      </c>
      <c r="Y27" s="475">
        <f t="shared" si="49"/>
        <v>117348183.05671896</v>
      </c>
      <c r="Z27" s="475">
        <f t="shared" si="49"/>
        <v>117348183.05671896</v>
      </c>
      <c r="AA27" s="475">
        <f t="shared" si="49"/>
        <v>117348183.05671896</v>
      </c>
      <c r="AB27" s="475">
        <f t="shared" si="49"/>
        <v>117348183.05671896</v>
      </c>
      <c r="AC27" s="475">
        <f t="shared" si="49"/>
        <v>117348183.05671896</v>
      </c>
      <c r="AD27" s="472"/>
      <c r="AE27" s="472"/>
      <c r="AF27" s="472"/>
      <c r="AG27" s="472"/>
      <c r="AH27" s="472"/>
      <c r="AI27" s="472"/>
      <c r="AJ27" s="472"/>
    </row>
    <row r="29" spans="2:36" s="332" customFormat="1" ht="13.75" customHeight="1">
      <c r="B29" s="469" t="str">
        <f t="shared" ref="B29:B37" si="50">"rast mzda "&amp;TEXT(B15,"")</f>
        <v>rast mzda Lekár</v>
      </c>
      <c r="C29" s="470"/>
      <c r="D29" s="471"/>
      <c r="E29" s="471">
        <f>E15/D15-1</f>
        <v>-1.2580524731920284E-2</v>
      </c>
      <c r="F29" s="471">
        <f t="shared" ref="F29:H29" si="51">F15/E15-1</f>
        <v>-5.6479386946195809E-2</v>
      </c>
      <c r="G29" s="471">
        <f t="shared" si="51"/>
        <v>7.1524506202722549E-2</v>
      </c>
      <c r="H29" s="471">
        <f t="shared" si="51"/>
        <v>0.23215776970048396</v>
      </c>
      <c r="I29" s="503">
        <f>'FTE"0"'!I29</f>
        <v>0</v>
      </c>
      <c r="J29" s="503">
        <f>'FTE"0"'!J29</f>
        <v>0</v>
      </c>
      <c r="K29" s="503">
        <f>'FTE"0"'!K29</f>
        <v>0</v>
      </c>
      <c r="L29" s="503">
        <f>'FTE"0"'!L29</f>
        <v>0</v>
      </c>
      <c r="M29" s="503">
        <f>'FTE"0"'!M29</f>
        <v>0</v>
      </c>
      <c r="N29" s="503">
        <f>'FTE"0"'!N29</f>
        <v>0</v>
      </c>
      <c r="O29" s="503">
        <f>'FTE"0"'!O29</f>
        <v>0</v>
      </c>
      <c r="P29" s="503">
        <f t="shared" ref="P29:AC37" si="52">P$56</f>
        <v>0</v>
      </c>
      <c r="Q29" s="503">
        <f t="shared" si="52"/>
        <v>0</v>
      </c>
      <c r="R29" s="503">
        <f t="shared" si="52"/>
        <v>0</v>
      </c>
      <c r="S29" s="503">
        <f t="shared" si="52"/>
        <v>0</v>
      </c>
      <c r="T29" s="503">
        <f t="shared" si="52"/>
        <v>0</v>
      </c>
      <c r="U29" s="503">
        <f t="shared" si="52"/>
        <v>0</v>
      </c>
      <c r="V29" s="503">
        <f t="shared" si="52"/>
        <v>0</v>
      </c>
      <c r="W29" s="503">
        <f t="shared" si="52"/>
        <v>0</v>
      </c>
      <c r="X29" s="503">
        <f t="shared" si="52"/>
        <v>0</v>
      </c>
      <c r="Y29" s="503">
        <f t="shared" si="52"/>
        <v>0</v>
      </c>
      <c r="Z29" s="503">
        <f t="shared" si="52"/>
        <v>0</v>
      </c>
      <c r="AA29" s="503">
        <f t="shared" si="52"/>
        <v>0</v>
      </c>
      <c r="AB29" s="503">
        <f t="shared" si="52"/>
        <v>0</v>
      </c>
      <c r="AC29" s="503">
        <f t="shared" si="52"/>
        <v>0</v>
      </c>
      <c r="AD29" s="470"/>
      <c r="AE29" s="470"/>
      <c r="AF29" s="470"/>
      <c r="AG29" s="470"/>
      <c r="AH29" s="470"/>
      <c r="AI29" s="470"/>
      <c r="AJ29" s="470"/>
    </row>
    <row r="30" spans="2:36" s="332" customFormat="1">
      <c r="B30" s="469" t="str">
        <f t="shared" si="50"/>
        <v>rast mzda Farmaceut</v>
      </c>
      <c r="C30" s="470"/>
      <c r="D30" s="471"/>
      <c r="E30" s="471">
        <f t="shared" ref="E30:H37" si="53">E16/D16-1</f>
        <v>4.6582862626990629E-2</v>
      </c>
      <c r="F30" s="471">
        <f t="shared" si="53"/>
        <v>0.89014975716580103</v>
      </c>
      <c r="G30" s="471">
        <f t="shared" si="53"/>
        <v>-0.10931030316045021</v>
      </c>
      <c r="H30" s="471">
        <f t="shared" si="53"/>
        <v>9.5809376979846261E-2</v>
      </c>
      <c r="I30" s="503">
        <f>I29</f>
        <v>0</v>
      </c>
      <c r="J30" s="503">
        <f>'FTE"0"'!J30</f>
        <v>0</v>
      </c>
      <c r="K30" s="503">
        <f>'FTE"0"'!K30</f>
        <v>0</v>
      </c>
      <c r="L30" s="503">
        <f>'FTE"0"'!L30</f>
        <v>0</v>
      </c>
      <c r="M30" s="503">
        <f>'FTE"0"'!M30</f>
        <v>0</v>
      </c>
      <c r="N30" s="503">
        <f>'FTE"0"'!N30</f>
        <v>0</v>
      </c>
      <c r="O30" s="503">
        <f>'FTE"0"'!O30</f>
        <v>0</v>
      </c>
      <c r="P30" s="503">
        <f t="shared" ref="P30:AB30" si="54">P$56</f>
        <v>0</v>
      </c>
      <c r="Q30" s="503">
        <f t="shared" si="54"/>
        <v>0</v>
      </c>
      <c r="R30" s="503">
        <f t="shared" si="54"/>
        <v>0</v>
      </c>
      <c r="S30" s="503">
        <f t="shared" si="54"/>
        <v>0</v>
      </c>
      <c r="T30" s="503">
        <f t="shared" si="54"/>
        <v>0</v>
      </c>
      <c r="U30" s="503">
        <f t="shared" si="54"/>
        <v>0</v>
      </c>
      <c r="V30" s="503">
        <f t="shared" si="54"/>
        <v>0</v>
      </c>
      <c r="W30" s="503">
        <f t="shared" si="54"/>
        <v>0</v>
      </c>
      <c r="X30" s="503">
        <f t="shared" si="54"/>
        <v>0</v>
      </c>
      <c r="Y30" s="503">
        <f t="shared" si="54"/>
        <v>0</v>
      </c>
      <c r="Z30" s="503">
        <f t="shared" si="54"/>
        <v>0</v>
      </c>
      <c r="AA30" s="503">
        <f t="shared" si="54"/>
        <v>0</v>
      </c>
      <c r="AB30" s="503">
        <f t="shared" si="54"/>
        <v>0</v>
      </c>
      <c r="AC30" s="503">
        <f t="shared" si="52"/>
        <v>0</v>
      </c>
      <c r="AD30" s="470"/>
      <c r="AE30" s="470"/>
      <c r="AF30" s="470"/>
      <c r="AG30" s="470"/>
      <c r="AH30" s="470"/>
      <c r="AI30" s="470"/>
      <c r="AJ30" s="470"/>
    </row>
    <row r="31" spans="2:36" s="332" customFormat="1">
      <c r="B31" s="469" t="str">
        <f t="shared" si="50"/>
        <v>rast mzda Výskum</v>
      </c>
      <c r="C31" s="470"/>
      <c r="D31" s="471"/>
      <c r="E31" s="471">
        <f t="shared" si="53"/>
        <v>9.9137083213592936E-2</v>
      </c>
      <c r="F31" s="471">
        <f t="shared" si="53"/>
        <v>-2.8908464722727234E-2</v>
      </c>
      <c r="G31" s="471">
        <f t="shared" si="53"/>
        <v>5.5561181080290067E-2</v>
      </c>
      <c r="H31" s="600">
        <f t="shared" si="53"/>
        <v>0.30356477492543532</v>
      </c>
      <c r="I31" s="503">
        <f t="shared" ref="I31:I37" si="55">I30</f>
        <v>0</v>
      </c>
      <c r="J31" s="503">
        <f>'FTE"0"'!J31</f>
        <v>0</v>
      </c>
      <c r="K31" s="503">
        <f>'FTE"0"'!K31</f>
        <v>0</v>
      </c>
      <c r="L31" s="503">
        <f>'FTE"0"'!L31</f>
        <v>0</v>
      </c>
      <c r="M31" s="503">
        <f>'FTE"0"'!M31</f>
        <v>0</v>
      </c>
      <c r="N31" s="503">
        <f>'FTE"0"'!N31</f>
        <v>0</v>
      </c>
      <c r="O31" s="503">
        <f>'FTE"0"'!O31</f>
        <v>0</v>
      </c>
      <c r="P31" s="503">
        <f t="shared" si="52"/>
        <v>0</v>
      </c>
      <c r="Q31" s="503">
        <f t="shared" si="52"/>
        <v>0</v>
      </c>
      <c r="R31" s="503">
        <f t="shared" si="52"/>
        <v>0</v>
      </c>
      <c r="S31" s="503">
        <f t="shared" si="52"/>
        <v>0</v>
      </c>
      <c r="T31" s="503">
        <f t="shared" si="52"/>
        <v>0</v>
      </c>
      <c r="U31" s="503">
        <f t="shared" si="52"/>
        <v>0</v>
      </c>
      <c r="V31" s="503">
        <f t="shared" si="52"/>
        <v>0</v>
      </c>
      <c r="W31" s="503">
        <f t="shared" si="52"/>
        <v>0</v>
      </c>
      <c r="X31" s="503">
        <f t="shared" si="52"/>
        <v>0</v>
      </c>
      <c r="Y31" s="503">
        <f t="shared" si="52"/>
        <v>0</v>
      </c>
      <c r="Z31" s="503">
        <f t="shared" si="52"/>
        <v>0</v>
      </c>
      <c r="AA31" s="503">
        <f t="shared" si="52"/>
        <v>0</v>
      </c>
      <c r="AB31" s="503">
        <f t="shared" si="52"/>
        <v>0</v>
      </c>
      <c r="AC31" s="503">
        <f t="shared" si="52"/>
        <v>0</v>
      </c>
      <c r="AD31" s="470"/>
      <c r="AE31" s="470"/>
      <c r="AF31" s="470"/>
      <c r="AG31" s="470"/>
      <c r="AH31" s="470"/>
      <c r="AI31" s="470"/>
      <c r="AJ31" s="470"/>
    </row>
    <row r="32" spans="2:36" s="332" customFormat="1">
      <c r="B32" s="469" t="str">
        <f t="shared" si="50"/>
        <v>rast mzda Iné zdravotnícke</v>
      </c>
      <c r="C32" s="470"/>
      <c r="D32" s="471"/>
      <c r="E32" s="471">
        <f t="shared" si="53"/>
        <v>-4.7818554176075612E-3</v>
      </c>
      <c r="F32" s="471">
        <f t="shared" si="53"/>
        <v>5.0521752970961842E-2</v>
      </c>
      <c r="G32" s="471">
        <f t="shared" si="53"/>
        <v>7.0187314341062734E-2</v>
      </c>
      <c r="H32" s="600">
        <f t="shared" si="53"/>
        <v>0.9925310651989232</v>
      </c>
      <c r="I32" s="503">
        <f t="shared" si="55"/>
        <v>0</v>
      </c>
      <c r="J32" s="503">
        <f>'FTE"0"'!J32</f>
        <v>0</v>
      </c>
      <c r="K32" s="503">
        <f>'FTE"0"'!K32</f>
        <v>0</v>
      </c>
      <c r="L32" s="503">
        <f>'FTE"0"'!L32</f>
        <v>0</v>
      </c>
      <c r="M32" s="503">
        <f>'FTE"0"'!M32</f>
        <v>0</v>
      </c>
      <c r="N32" s="503">
        <f>'FTE"0"'!N32</f>
        <v>0</v>
      </c>
      <c r="O32" s="503">
        <f>'FTE"0"'!O32</f>
        <v>0</v>
      </c>
      <c r="P32" s="503">
        <f t="shared" si="52"/>
        <v>0</v>
      </c>
      <c r="Q32" s="503">
        <f t="shared" si="52"/>
        <v>0</v>
      </c>
      <c r="R32" s="503">
        <f t="shared" si="52"/>
        <v>0</v>
      </c>
      <c r="S32" s="503">
        <f t="shared" si="52"/>
        <v>0</v>
      </c>
      <c r="T32" s="503">
        <f t="shared" si="52"/>
        <v>0</v>
      </c>
      <c r="U32" s="503">
        <f t="shared" si="52"/>
        <v>0</v>
      </c>
      <c r="V32" s="503">
        <f t="shared" si="52"/>
        <v>0</v>
      </c>
      <c r="W32" s="503">
        <f t="shared" si="52"/>
        <v>0</v>
      </c>
      <c r="X32" s="503">
        <f t="shared" si="52"/>
        <v>0</v>
      </c>
      <c r="Y32" s="503">
        <f t="shared" si="52"/>
        <v>0</v>
      </c>
      <c r="Z32" s="503">
        <f t="shared" si="52"/>
        <v>0</v>
      </c>
      <c r="AA32" s="503">
        <f t="shared" si="52"/>
        <v>0</v>
      </c>
      <c r="AB32" s="503">
        <f t="shared" si="52"/>
        <v>0</v>
      </c>
      <c r="AC32" s="503">
        <f t="shared" si="52"/>
        <v>0</v>
      </c>
      <c r="AD32" s="470"/>
      <c r="AE32" s="470"/>
      <c r="AF32" s="470"/>
      <c r="AG32" s="470"/>
      <c r="AH32" s="470"/>
      <c r="AI32" s="470"/>
      <c r="AJ32" s="470"/>
    </row>
    <row r="33" spans="1:36" s="332" customFormat="1">
      <c r="B33" s="469" t="str">
        <f t="shared" si="50"/>
        <v>rast mzda Zdravotná sestra</v>
      </c>
      <c r="C33" s="470"/>
      <c r="D33" s="471"/>
      <c r="E33" s="471">
        <f t="shared" si="53"/>
        <v>0.1623577910098184</v>
      </c>
      <c r="F33" s="471">
        <f t="shared" si="53"/>
        <v>0.63773573172628906</v>
      </c>
      <c r="G33" s="471">
        <f t="shared" si="53"/>
        <v>9.7572564335901113E-2</v>
      </c>
      <c r="H33" s="471">
        <f t="shared" si="53"/>
        <v>0.23476376651252062</v>
      </c>
      <c r="I33" s="503">
        <f t="shared" si="55"/>
        <v>0</v>
      </c>
      <c r="J33" s="503">
        <f>'FTE"0"'!J33</f>
        <v>0</v>
      </c>
      <c r="K33" s="503">
        <f>'FTE"0"'!K33</f>
        <v>0</v>
      </c>
      <c r="L33" s="503">
        <f>'FTE"0"'!L33</f>
        <v>0</v>
      </c>
      <c r="M33" s="503">
        <f>'FTE"0"'!M33</f>
        <v>0</v>
      </c>
      <c r="N33" s="503">
        <f>'FTE"0"'!N33</f>
        <v>0</v>
      </c>
      <c r="O33" s="503">
        <f>'FTE"0"'!O33</f>
        <v>0</v>
      </c>
      <c r="P33" s="503">
        <f t="shared" si="52"/>
        <v>0</v>
      </c>
      <c r="Q33" s="503">
        <f t="shared" si="52"/>
        <v>0</v>
      </c>
      <c r="R33" s="503">
        <f t="shared" si="52"/>
        <v>0</v>
      </c>
      <c r="S33" s="503">
        <f t="shared" si="52"/>
        <v>0</v>
      </c>
      <c r="T33" s="503">
        <f t="shared" si="52"/>
        <v>0</v>
      </c>
      <c r="U33" s="503">
        <f t="shared" si="52"/>
        <v>0</v>
      </c>
      <c r="V33" s="503">
        <f t="shared" si="52"/>
        <v>0</v>
      </c>
      <c r="W33" s="503">
        <f t="shared" si="52"/>
        <v>0</v>
      </c>
      <c r="X33" s="503">
        <f t="shared" si="52"/>
        <v>0</v>
      </c>
      <c r="Y33" s="503">
        <f t="shared" si="52"/>
        <v>0</v>
      </c>
      <c r="Z33" s="503">
        <f t="shared" si="52"/>
        <v>0</v>
      </c>
      <c r="AA33" s="503">
        <f t="shared" si="52"/>
        <v>0</v>
      </c>
      <c r="AB33" s="503">
        <f t="shared" si="52"/>
        <v>0</v>
      </c>
      <c r="AC33" s="503">
        <f t="shared" si="52"/>
        <v>0</v>
      </c>
      <c r="AD33" s="470"/>
      <c r="AE33" s="470"/>
      <c r="AF33" s="470"/>
      <c r="AG33" s="470"/>
      <c r="AH33" s="470"/>
      <c r="AI33" s="470"/>
      <c r="AJ33" s="470"/>
    </row>
    <row r="34" spans="1:36" s="332" customFormat="1">
      <c r="B34" s="469" t="str">
        <f t="shared" si="50"/>
        <v>rast mzda NLZP</v>
      </c>
      <c r="C34" s="470"/>
      <c r="D34" s="471"/>
      <c r="E34" s="471">
        <f t="shared" si="53"/>
        <v>3.7509529597161917E-2</v>
      </c>
      <c r="F34" s="471">
        <f t="shared" si="53"/>
        <v>-0.39013137161230893</v>
      </c>
      <c r="G34" s="471">
        <f t="shared" si="53"/>
        <v>2.3736583905787922E-2</v>
      </c>
      <c r="H34" s="471">
        <f t="shared" si="53"/>
        <v>0.75033899625587619</v>
      </c>
      <c r="I34" s="503">
        <f t="shared" si="55"/>
        <v>0</v>
      </c>
      <c r="J34" s="503">
        <f>'FTE"0"'!J34</f>
        <v>0</v>
      </c>
      <c r="K34" s="503">
        <f>'FTE"0"'!K34</f>
        <v>0</v>
      </c>
      <c r="L34" s="503">
        <f>'FTE"0"'!L34</f>
        <v>0</v>
      </c>
      <c r="M34" s="503">
        <f>'FTE"0"'!M34</f>
        <v>0</v>
      </c>
      <c r="N34" s="503">
        <f>'FTE"0"'!N34</f>
        <v>0</v>
      </c>
      <c r="O34" s="503">
        <f>'FTE"0"'!O34</f>
        <v>0</v>
      </c>
      <c r="P34" s="503">
        <f t="shared" si="52"/>
        <v>0</v>
      </c>
      <c r="Q34" s="503">
        <f t="shared" si="52"/>
        <v>0</v>
      </c>
      <c r="R34" s="503">
        <f t="shared" si="52"/>
        <v>0</v>
      </c>
      <c r="S34" s="503">
        <f t="shared" si="52"/>
        <v>0</v>
      </c>
      <c r="T34" s="503">
        <f t="shared" si="52"/>
        <v>0</v>
      </c>
      <c r="U34" s="503">
        <f t="shared" si="52"/>
        <v>0</v>
      </c>
      <c r="V34" s="503">
        <f t="shared" si="52"/>
        <v>0</v>
      </c>
      <c r="W34" s="503">
        <f t="shared" si="52"/>
        <v>0</v>
      </c>
      <c r="X34" s="503">
        <f t="shared" si="52"/>
        <v>0</v>
      </c>
      <c r="Y34" s="503">
        <f t="shared" si="52"/>
        <v>0</v>
      </c>
      <c r="Z34" s="503">
        <f t="shared" si="52"/>
        <v>0</v>
      </c>
      <c r="AA34" s="503">
        <f t="shared" si="52"/>
        <v>0</v>
      </c>
      <c r="AB34" s="503">
        <f t="shared" si="52"/>
        <v>0</v>
      </c>
      <c r="AC34" s="503">
        <f t="shared" si="52"/>
        <v>0</v>
      </c>
      <c r="AD34" s="470"/>
      <c r="AE34" s="470"/>
      <c r="AF34" s="470"/>
      <c r="AG34" s="470"/>
      <c r="AH34" s="470"/>
      <c r="AI34" s="470"/>
      <c r="AJ34" s="470"/>
    </row>
    <row r="35" spans="1:36" s="332" customFormat="1">
      <c r="B35" s="469" t="str">
        <f t="shared" si="50"/>
        <v>rast mzda Laborant</v>
      </c>
      <c r="C35" s="470"/>
      <c r="D35" s="471"/>
      <c r="E35" s="471">
        <f t="shared" si="53"/>
        <v>9.754769445874123E-2</v>
      </c>
      <c r="F35" s="471">
        <f t="shared" si="53"/>
        <v>-9.1601124619462571E-3</v>
      </c>
      <c r="G35" s="471">
        <f t="shared" si="53"/>
        <v>0.23209098296644926</v>
      </c>
      <c r="H35" s="471">
        <f t="shared" si="53"/>
        <v>0.31242331534879475</v>
      </c>
      <c r="I35" s="503">
        <f t="shared" si="55"/>
        <v>0</v>
      </c>
      <c r="J35" s="503">
        <f>'FTE"0"'!J35</f>
        <v>0</v>
      </c>
      <c r="K35" s="503">
        <f>'FTE"0"'!K35</f>
        <v>0</v>
      </c>
      <c r="L35" s="503">
        <f>'FTE"0"'!L35</f>
        <v>0</v>
      </c>
      <c r="M35" s="503">
        <f>'FTE"0"'!M35</f>
        <v>0</v>
      </c>
      <c r="N35" s="503">
        <f>'FTE"0"'!N35</f>
        <v>0</v>
      </c>
      <c r="O35" s="503">
        <f>'FTE"0"'!O35</f>
        <v>0</v>
      </c>
      <c r="P35" s="503">
        <f t="shared" si="52"/>
        <v>0</v>
      </c>
      <c r="Q35" s="503">
        <f t="shared" si="52"/>
        <v>0</v>
      </c>
      <c r="R35" s="503">
        <f t="shared" si="52"/>
        <v>0</v>
      </c>
      <c r="S35" s="503">
        <f t="shared" si="52"/>
        <v>0</v>
      </c>
      <c r="T35" s="503">
        <f t="shared" si="52"/>
        <v>0</v>
      </c>
      <c r="U35" s="503">
        <f t="shared" si="52"/>
        <v>0</v>
      </c>
      <c r="V35" s="503">
        <f t="shared" si="52"/>
        <v>0</v>
      </c>
      <c r="W35" s="503">
        <f t="shared" si="52"/>
        <v>0</v>
      </c>
      <c r="X35" s="503">
        <f t="shared" si="52"/>
        <v>0</v>
      </c>
      <c r="Y35" s="503">
        <f t="shared" si="52"/>
        <v>0</v>
      </c>
      <c r="Z35" s="503">
        <f t="shared" si="52"/>
        <v>0</v>
      </c>
      <c r="AA35" s="503">
        <f t="shared" si="52"/>
        <v>0</v>
      </c>
      <c r="AB35" s="503">
        <f t="shared" si="52"/>
        <v>0</v>
      </c>
      <c r="AC35" s="503">
        <f t="shared" si="52"/>
        <v>0</v>
      </c>
      <c r="AD35" s="470"/>
      <c r="AE35" s="470"/>
      <c r="AF35" s="470"/>
      <c r="AG35" s="470"/>
      <c r="AH35" s="470"/>
      <c r="AI35" s="470"/>
      <c r="AJ35" s="470"/>
    </row>
    <row r="36" spans="1:36" s="332" customFormat="1">
      <c r="B36" s="469" t="str">
        <f t="shared" si="50"/>
        <v>rast mzda Admin</v>
      </c>
      <c r="C36" s="470"/>
      <c r="D36" s="471"/>
      <c r="E36" s="471">
        <f t="shared" si="53"/>
        <v>3.2321662752397229E-2</v>
      </c>
      <c r="F36" s="471">
        <f t="shared" si="53"/>
        <v>6.7338581637399919E-2</v>
      </c>
      <c r="G36" s="471">
        <f t="shared" si="53"/>
        <v>3.132297188729094E-3</v>
      </c>
      <c r="H36" s="471">
        <f t="shared" si="53"/>
        <v>0.2518065684256996</v>
      </c>
      <c r="I36" s="503">
        <f t="shared" si="55"/>
        <v>0</v>
      </c>
      <c r="J36" s="503">
        <f>'FTE"0"'!J36</f>
        <v>0</v>
      </c>
      <c r="K36" s="503">
        <f>'FTE"0"'!K36</f>
        <v>0</v>
      </c>
      <c r="L36" s="503">
        <f>'FTE"0"'!L36</f>
        <v>0</v>
      </c>
      <c r="M36" s="503">
        <f>'FTE"0"'!M36</f>
        <v>0</v>
      </c>
      <c r="N36" s="503">
        <f>'FTE"0"'!N36</f>
        <v>0</v>
      </c>
      <c r="O36" s="503">
        <f>'FTE"0"'!O36</f>
        <v>0</v>
      </c>
      <c r="P36" s="503">
        <f t="shared" si="52"/>
        <v>0</v>
      </c>
      <c r="Q36" s="503">
        <f t="shared" si="52"/>
        <v>0</v>
      </c>
      <c r="R36" s="503">
        <f t="shared" si="52"/>
        <v>0</v>
      </c>
      <c r="S36" s="503">
        <f t="shared" si="52"/>
        <v>0</v>
      </c>
      <c r="T36" s="503">
        <f t="shared" si="52"/>
        <v>0</v>
      </c>
      <c r="U36" s="503">
        <f t="shared" si="52"/>
        <v>0</v>
      </c>
      <c r="V36" s="503">
        <f t="shared" si="52"/>
        <v>0</v>
      </c>
      <c r="W36" s="503">
        <f t="shared" si="52"/>
        <v>0</v>
      </c>
      <c r="X36" s="503">
        <f t="shared" si="52"/>
        <v>0</v>
      </c>
      <c r="Y36" s="503">
        <f t="shared" si="52"/>
        <v>0</v>
      </c>
      <c r="Z36" s="503">
        <f t="shared" si="52"/>
        <v>0</v>
      </c>
      <c r="AA36" s="503">
        <f t="shared" si="52"/>
        <v>0</v>
      </c>
      <c r="AB36" s="503">
        <f t="shared" si="52"/>
        <v>0</v>
      </c>
      <c r="AC36" s="503">
        <f t="shared" si="52"/>
        <v>0</v>
      </c>
      <c r="AD36" s="470"/>
      <c r="AE36" s="470"/>
      <c r="AF36" s="470"/>
      <c r="AG36" s="470"/>
      <c r="AH36" s="470"/>
      <c r="AI36" s="470"/>
      <c r="AJ36" s="470"/>
    </row>
    <row r="37" spans="1:36" s="332" customFormat="1">
      <c r="B37" s="469" t="str">
        <f t="shared" si="50"/>
        <v>rast mzda THP</v>
      </c>
      <c r="C37" s="470"/>
      <c r="D37" s="471"/>
      <c r="E37" s="471">
        <f t="shared" si="53"/>
        <v>3.9121849249923457E-3</v>
      </c>
      <c r="F37" s="471">
        <f t="shared" si="53"/>
        <v>0.10289546401918703</v>
      </c>
      <c r="G37" s="471">
        <f t="shared" si="53"/>
        <v>0.11298819456570852</v>
      </c>
      <c r="H37" s="471">
        <f t="shared" si="53"/>
        <v>0.1587313294589372</v>
      </c>
      <c r="I37" s="503">
        <f t="shared" si="55"/>
        <v>0</v>
      </c>
      <c r="J37" s="503">
        <f>'FTE"0"'!J37</f>
        <v>0</v>
      </c>
      <c r="K37" s="503">
        <f>'FTE"0"'!K37</f>
        <v>0</v>
      </c>
      <c r="L37" s="503">
        <f>'FTE"0"'!L37</f>
        <v>0</v>
      </c>
      <c r="M37" s="503">
        <f>'FTE"0"'!M37</f>
        <v>0</v>
      </c>
      <c r="N37" s="503">
        <f>'FTE"0"'!N37</f>
        <v>0</v>
      </c>
      <c r="O37" s="503">
        <f>'FTE"0"'!O37</f>
        <v>0</v>
      </c>
      <c r="P37" s="503">
        <f t="shared" si="52"/>
        <v>0</v>
      </c>
      <c r="Q37" s="503">
        <f t="shared" si="52"/>
        <v>0</v>
      </c>
      <c r="R37" s="503">
        <f t="shared" si="52"/>
        <v>0</v>
      </c>
      <c r="S37" s="503">
        <f t="shared" si="52"/>
        <v>0</v>
      </c>
      <c r="T37" s="503">
        <f t="shared" si="52"/>
        <v>0</v>
      </c>
      <c r="U37" s="503">
        <f t="shared" si="52"/>
        <v>0</v>
      </c>
      <c r="V37" s="503">
        <f t="shared" si="52"/>
        <v>0</v>
      </c>
      <c r="W37" s="503">
        <f t="shared" si="52"/>
        <v>0</v>
      </c>
      <c r="X37" s="503">
        <f t="shared" si="52"/>
        <v>0</v>
      </c>
      <c r="Y37" s="503">
        <f t="shared" si="52"/>
        <v>0</v>
      </c>
      <c r="Z37" s="503">
        <f t="shared" si="52"/>
        <v>0</v>
      </c>
      <c r="AA37" s="503">
        <f t="shared" si="52"/>
        <v>0</v>
      </c>
      <c r="AB37" s="503">
        <f t="shared" si="52"/>
        <v>0</v>
      </c>
      <c r="AC37" s="503">
        <f t="shared" si="52"/>
        <v>0</v>
      </c>
      <c r="AD37" s="470"/>
      <c r="AE37" s="470"/>
      <c r="AF37" s="470"/>
      <c r="AG37" s="470"/>
      <c r="AH37" s="470"/>
      <c r="AI37" s="470"/>
      <c r="AJ37" s="470"/>
    </row>
    <row r="38" spans="1:36">
      <c r="B38" s="467"/>
    </row>
    <row r="39" spans="1:36" s="332" customFormat="1">
      <c r="B39" s="469" t="str">
        <f>"FTE "&amp;TEXT(B16,"")</f>
        <v>FTE Farmaceut</v>
      </c>
      <c r="C39" s="470"/>
      <c r="D39" s="471"/>
      <c r="E39" s="471">
        <f t="shared" ref="E39:H41" si="56">E4/D4-1</f>
        <v>-1.3713389121339015E-2</v>
      </c>
      <c r="F39" s="471">
        <f t="shared" si="56"/>
        <v>0.16073985300512272</v>
      </c>
      <c r="G39" s="471">
        <f t="shared" si="56"/>
        <v>0.19562946380982815</v>
      </c>
      <c r="H39" s="471">
        <f t="shared" si="56"/>
        <v>1.4800021397620711E-3</v>
      </c>
      <c r="I39" s="503">
        <v>0</v>
      </c>
      <c r="J39" s="503">
        <f>I39</f>
        <v>0</v>
      </c>
      <c r="K39" s="503">
        <f t="shared" ref="K39:V39" si="57">J39</f>
        <v>0</v>
      </c>
      <c r="L39" s="503">
        <f t="shared" si="57"/>
        <v>0</v>
      </c>
      <c r="M39" s="503">
        <f t="shared" si="57"/>
        <v>0</v>
      </c>
      <c r="N39" s="503">
        <f t="shared" si="57"/>
        <v>0</v>
      </c>
      <c r="O39" s="503">
        <f t="shared" si="57"/>
        <v>0</v>
      </c>
      <c r="P39" s="503">
        <f t="shared" si="57"/>
        <v>0</v>
      </c>
      <c r="Q39" s="503">
        <f t="shared" si="57"/>
        <v>0</v>
      </c>
      <c r="R39" s="503">
        <f t="shared" si="57"/>
        <v>0</v>
      </c>
      <c r="S39" s="503">
        <f t="shared" si="57"/>
        <v>0</v>
      </c>
      <c r="T39" s="503">
        <f t="shared" si="57"/>
        <v>0</v>
      </c>
      <c r="U39" s="503">
        <f t="shared" si="57"/>
        <v>0</v>
      </c>
      <c r="V39" s="503">
        <f t="shared" si="57"/>
        <v>0</v>
      </c>
      <c r="W39" s="503">
        <f t="shared" ref="W39:AC39" si="58">V39</f>
        <v>0</v>
      </c>
      <c r="X39" s="503">
        <f t="shared" si="58"/>
        <v>0</v>
      </c>
      <c r="Y39" s="503">
        <f t="shared" si="58"/>
        <v>0</v>
      </c>
      <c r="Z39" s="503">
        <f t="shared" si="58"/>
        <v>0</v>
      </c>
      <c r="AA39" s="503">
        <f t="shared" si="58"/>
        <v>0</v>
      </c>
      <c r="AB39" s="503">
        <f t="shared" si="58"/>
        <v>0</v>
      </c>
      <c r="AC39" s="503">
        <f t="shared" si="58"/>
        <v>0</v>
      </c>
      <c r="AD39" s="470"/>
      <c r="AE39" s="470"/>
      <c r="AF39" s="470"/>
      <c r="AG39" s="470"/>
      <c r="AH39" s="470"/>
      <c r="AI39" s="470"/>
      <c r="AJ39" s="470"/>
    </row>
    <row r="40" spans="1:36" s="332" customFormat="1">
      <c r="B40" s="469" t="str">
        <f>"FTE "&amp;TEXT(B17,"")</f>
        <v>FTE Výskum</v>
      </c>
      <c r="C40" s="470"/>
      <c r="D40" s="471"/>
      <c r="E40" s="471">
        <f t="shared" si="56"/>
        <v>-0.44615384615384612</v>
      </c>
      <c r="F40" s="471">
        <f t="shared" si="56"/>
        <v>0</v>
      </c>
      <c r="G40" s="471">
        <f t="shared" si="56"/>
        <v>0</v>
      </c>
      <c r="H40" s="471">
        <f t="shared" si="56"/>
        <v>0</v>
      </c>
      <c r="I40" s="503">
        <v>0</v>
      </c>
      <c r="J40" s="503">
        <f t="shared" ref="J40:V44" si="59">I40</f>
        <v>0</v>
      </c>
      <c r="K40" s="503">
        <f t="shared" si="59"/>
        <v>0</v>
      </c>
      <c r="L40" s="503">
        <f t="shared" si="59"/>
        <v>0</v>
      </c>
      <c r="M40" s="503">
        <f t="shared" si="59"/>
        <v>0</v>
      </c>
      <c r="N40" s="503">
        <f t="shared" si="59"/>
        <v>0</v>
      </c>
      <c r="O40" s="503">
        <f t="shared" si="59"/>
        <v>0</v>
      </c>
      <c r="P40" s="503">
        <f t="shared" si="59"/>
        <v>0</v>
      </c>
      <c r="Q40" s="503">
        <f t="shared" si="59"/>
        <v>0</v>
      </c>
      <c r="R40" s="503">
        <f t="shared" si="59"/>
        <v>0</v>
      </c>
      <c r="S40" s="503">
        <f t="shared" si="59"/>
        <v>0</v>
      </c>
      <c r="T40" s="503">
        <f t="shared" si="59"/>
        <v>0</v>
      </c>
      <c r="U40" s="503">
        <f t="shared" si="59"/>
        <v>0</v>
      </c>
      <c r="V40" s="503">
        <f t="shared" si="59"/>
        <v>0</v>
      </c>
      <c r="W40" s="503">
        <f t="shared" ref="W40:AC40" si="60">V40</f>
        <v>0</v>
      </c>
      <c r="X40" s="503">
        <f t="shared" si="60"/>
        <v>0</v>
      </c>
      <c r="Y40" s="503">
        <f t="shared" si="60"/>
        <v>0</v>
      </c>
      <c r="Z40" s="503">
        <f t="shared" si="60"/>
        <v>0</v>
      </c>
      <c r="AA40" s="503">
        <f t="shared" si="60"/>
        <v>0</v>
      </c>
      <c r="AB40" s="503">
        <f t="shared" si="60"/>
        <v>0</v>
      </c>
      <c r="AC40" s="503">
        <f t="shared" si="60"/>
        <v>0</v>
      </c>
      <c r="AD40" s="470"/>
      <c r="AE40" s="470"/>
      <c r="AF40" s="470"/>
      <c r="AG40" s="470"/>
      <c r="AH40" s="470"/>
      <c r="AI40" s="470"/>
      <c r="AJ40" s="470"/>
    </row>
    <row r="41" spans="1:36" s="332" customFormat="1">
      <c r="B41" s="469" t="str">
        <f>"FTE "&amp;TEXT(B18,"")</f>
        <v>FTE Iné zdravotnícke</v>
      </c>
      <c r="C41" s="470"/>
      <c r="D41" s="471"/>
      <c r="E41" s="471">
        <f t="shared" si="56"/>
        <v>-2.3521071066140431E-3</v>
      </c>
      <c r="F41" s="471">
        <f t="shared" si="56"/>
        <v>4.8273299563383887E-4</v>
      </c>
      <c r="G41" s="471">
        <f t="shared" si="56"/>
        <v>3.4443411160154369E-2</v>
      </c>
      <c r="H41" s="471">
        <f t="shared" si="56"/>
        <v>2.3905903350148305E-2</v>
      </c>
      <c r="I41" s="503">
        <v>0</v>
      </c>
      <c r="J41" s="503">
        <f t="shared" si="59"/>
        <v>0</v>
      </c>
      <c r="K41" s="503">
        <f t="shared" si="59"/>
        <v>0</v>
      </c>
      <c r="L41" s="503">
        <f t="shared" si="59"/>
        <v>0</v>
      </c>
      <c r="M41" s="503">
        <f t="shared" si="59"/>
        <v>0</v>
      </c>
      <c r="N41" s="503">
        <f t="shared" si="59"/>
        <v>0</v>
      </c>
      <c r="O41" s="503">
        <f t="shared" si="59"/>
        <v>0</v>
      </c>
      <c r="P41" s="503">
        <f t="shared" si="59"/>
        <v>0</v>
      </c>
      <c r="Q41" s="503">
        <f t="shared" si="59"/>
        <v>0</v>
      </c>
      <c r="R41" s="503">
        <f t="shared" si="59"/>
        <v>0</v>
      </c>
      <c r="S41" s="503">
        <f t="shared" si="59"/>
        <v>0</v>
      </c>
      <c r="T41" s="503">
        <f t="shared" si="59"/>
        <v>0</v>
      </c>
      <c r="U41" s="503">
        <f t="shared" si="59"/>
        <v>0</v>
      </c>
      <c r="V41" s="503">
        <f t="shared" si="59"/>
        <v>0</v>
      </c>
      <c r="W41" s="503">
        <f t="shared" ref="W41:AC41" si="61">V41</f>
        <v>0</v>
      </c>
      <c r="X41" s="503">
        <f t="shared" si="61"/>
        <v>0</v>
      </c>
      <c r="Y41" s="503">
        <f t="shared" si="61"/>
        <v>0</v>
      </c>
      <c r="Z41" s="503">
        <f t="shared" si="61"/>
        <v>0</v>
      </c>
      <c r="AA41" s="503">
        <f t="shared" si="61"/>
        <v>0</v>
      </c>
      <c r="AB41" s="503">
        <f t="shared" si="61"/>
        <v>0</v>
      </c>
      <c r="AC41" s="503">
        <f t="shared" si="61"/>
        <v>0</v>
      </c>
      <c r="AD41" s="470"/>
      <c r="AE41" s="470"/>
      <c r="AF41" s="470"/>
      <c r="AG41" s="470"/>
      <c r="AH41" s="470"/>
      <c r="AI41" s="470"/>
      <c r="AJ41" s="470"/>
    </row>
    <row r="42" spans="1:36" s="332" customFormat="1">
      <c r="B42" s="469" t="str">
        <f>"FTE "&amp;TEXT(B20,"")</f>
        <v>FTE NLZP</v>
      </c>
      <c r="C42" s="470"/>
      <c r="D42" s="471"/>
      <c r="E42" s="471">
        <f>E8/D8-1</f>
        <v>-1.7452894750517034E-3</v>
      </c>
      <c r="F42" s="471">
        <f>F8/E8-1</f>
        <v>-0.41148827467831317</v>
      </c>
      <c r="G42" s="471">
        <f>G8/F8-1</f>
        <v>-3.333550322821166E-2</v>
      </c>
      <c r="H42" s="471">
        <f>H8/G8-1</f>
        <v>0.13008228577762271</v>
      </c>
      <c r="I42" s="503">
        <v>0</v>
      </c>
      <c r="J42" s="503">
        <f t="shared" si="59"/>
        <v>0</v>
      </c>
      <c r="K42" s="503">
        <f t="shared" si="59"/>
        <v>0</v>
      </c>
      <c r="L42" s="503">
        <f t="shared" si="59"/>
        <v>0</v>
      </c>
      <c r="M42" s="503">
        <f t="shared" si="59"/>
        <v>0</v>
      </c>
      <c r="N42" s="503">
        <f t="shared" si="59"/>
        <v>0</v>
      </c>
      <c r="O42" s="503">
        <f t="shared" si="59"/>
        <v>0</v>
      </c>
      <c r="P42" s="503">
        <f t="shared" si="59"/>
        <v>0</v>
      </c>
      <c r="Q42" s="503">
        <f t="shared" si="59"/>
        <v>0</v>
      </c>
      <c r="R42" s="503">
        <f t="shared" si="59"/>
        <v>0</v>
      </c>
      <c r="S42" s="503">
        <f t="shared" si="59"/>
        <v>0</v>
      </c>
      <c r="T42" s="503">
        <f t="shared" si="59"/>
        <v>0</v>
      </c>
      <c r="U42" s="503">
        <f t="shared" si="59"/>
        <v>0</v>
      </c>
      <c r="V42" s="503">
        <f t="shared" si="59"/>
        <v>0</v>
      </c>
      <c r="W42" s="503">
        <f t="shared" ref="W42:AC42" si="62">V42</f>
        <v>0</v>
      </c>
      <c r="X42" s="503">
        <f t="shared" si="62"/>
        <v>0</v>
      </c>
      <c r="Y42" s="503">
        <f t="shared" si="62"/>
        <v>0</v>
      </c>
      <c r="Z42" s="503">
        <f t="shared" si="62"/>
        <v>0</v>
      </c>
      <c r="AA42" s="503">
        <f t="shared" si="62"/>
        <v>0</v>
      </c>
      <c r="AB42" s="503">
        <f t="shared" si="62"/>
        <v>0</v>
      </c>
      <c r="AC42" s="503">
        <f t="shared" si="62"/>
        <v>0</v>
      </c>
      <c r="AD42" s="470"/>
      <c r="AE42" s="470"/>
      <c r="AF42" s="470"/>
      <c r="AG42" s="470"/>
      <c r="AH42" s="470"/>
      <c r="AI42" s="470"/>
      <c r="AJ42" s="470"/>
    </row>
    <row r="43" spans="1:36" s="332" customFormat="1">
      <c r="B43" s="469" t="str">
        <f>"FTE "&amp;TEXT(B22,"")</f>
        <v>FTE Admin</v>
      </c>
      <c r="C43" s="470"/>
      <c r="D43" s="471"/>
      <c r="E43" s="471">
        <f t="shared" ref="E43:H44" si="63">E10/D10-1</f>
        <v>-2.8965043628762177E-2</v>
      </c>
      <c r="F43" s="471">
        <f t="shared" si="63"/>
        <v>1.6557620519407568E-2</v>
      </c>
      <c r="G43" s="471">
        <f t="shared" si="63"/>
        <v>7.7088686257310801E-2</v>
      </c>
      <c r="H43" s="471">
        <f t="shared" si="63"/>
        <v>0.17659653582015</v>
      </c>
      <c r="I43" s="503">
        <v>0</v>
      </c>
      <c r="J43" s="503">
        <f t="shared" si="59"/>
        <v>0</v>
      </c>
      <c r="K43" s="503">
        <f t="shared" si="59"/>
        <v>0</v>
      </c>
      <c r="L43" s="503">
        <f t="shared" si="59"/>
        <v>0</v>
      </c>
      <c r="M43" s="503">
        <f t="shared" si="59"/>
        <v>0</v>
      </c>
      <c r="N43" s="503">
        <f t="shared" si="59"/>
        <v>0</v>
      </c>
      <c r="O43" s="801">
        <f>N43+Scenarios_Summary!C39</f>
        <v>-0.1</v>
      </c>
      <c r="P43" s="503">
        <v>0</v>
      </c>
      <c r="Q43" s="503">
        <f t="shared" si="59"/>
        <v>0</v>
      </c>
      <c r="R43" s="503">
        <f t="shared" si="59"/>
        <v>0</v>
      </c>
      <c r="S43" s="503">
        <f t="shared" si="59"/>
        <v>0</v>
      </c>
      <c r="T43" s="503">
        <f t="shared" si="59"/>
        <v>0</v>
      </c>
      <c r="U43" s="503">
        <f t="shared" si="59"/>
        <v>0</v>
      </c>
      <c r="V43" s="503">
        <f t="shared" si="59"/>
        <v>0</v>
      </c>
      <c r="W43" s="503">
        <f t="shared" ref="W43:AC43" si="64">V43</f>
        <v>0</v>
      </c>
      <c r="X43" s="503">
        <f t="shared" si="64"/>
        <v>0</v>
      </c>
      <c r="Y43" s="503">
        <f t="shared" si="64"/>
        <v>0</v>
      </c>
      <c r="Z43" s="503">
        <f t="shared" si="64"/>
        <v>0</v>
      </c>
      <c r="AA43" s="503">
        <f t="shared" si="64"/>
        <v>0</v>
      </c>
      <c r="AB43" s="503">
        <f t="shared" si="64"/>
        <v>0</v>
      </c>
      <c r="AC43" s="503">
        <f t="shared" si="64"/>
        <v>0</v>
      </c>
      <c r="AD43" s="470"/>
      <c r="AE43" s="470"/>
      <c r="AF43" s="470"/>
      <c r="AG43" s="470"/>
      <c r="AH43" s="470"/>
      <c r="AI43" s="470"/>
      <c r="AJ43" s="470"/>
    </row>
    <row r="44" spans="1:36" s="332" customFormat="1">
      <c r="B44" s="508" t="str">
        <f>"FTE "&amp;TEXT(B23,"")</f>
        <v>FTE THP</v>
      </c>
      <c r="C44" s="509"/>
      <c r="D44" s="510"/>
      <c r="E44" s="510">
        <f t="shared" si="63"/>
        <v>-7.5809593941950082E-3</v>
      </c>
      <c r="F44" s="510">
        <f t="shared" si="63"/>
        <v>1.1141868614577666E-2</v>
      </c>
      <c r="G44" s="510">
        <f t="shared" si="63"/>
        <v>5.9861875875719672E-3</v>
      </c>
      <c r="H44" s="510">
        <f t="shared" si="63"/>
        <v>0.17390933662497043</v>
      </c>
      <c r="I44" s="511">
        <v>0</v>
      </c>
      <c r="J44" s="511">
        <f t="shared" si="59"/>
        <v>0</v>
      </c>
      <c r="K44" s="511">
        <f t="shared" si="59"/>
        <v>0</v>
      </c>
      <c r="L44" s="511">
        <f t="shared" si="59"/>
        <v>0</v>
      </c>
      <c r="M44" s="511">
        <f t="shared" si="59"/>
        <v>0</v>
      </c>
      <c r="N44" s="511">
        <f t="shared" si="59"/>
        <v>0</v>
      </c>
      <c r="O44" s="844">
        <f>N44+Scenarios_Summary!C39</f>
        <v>-0.1</v>
      </c>
      <c r="P44" s="511">
        <f>N44</f>
        <v>0</v>
      </c>
      <c r="Q44" s="511">
        <f t="shared" si="59"/>
        <v>0</v>
      </c>
      <c r="R44" s="511">
        <f t="shared" si="59"/>
        <v>0</v>
      </c>
      <c r="S44" s="511">
        <f t="shared" si="59"/>
        <v>0</v>
      </c>
      <c r="T44" s="511">
        <f t="shared" si="59"/>
        <v>0</v>
      </c>
      <c r="U44" s="511">
        <f t="shared" si="59"/>
        <v>0</v>
      </c>
      <c r="V44" s="511">
        <f t="shared" si="59"/>
        <v>0</v>
      </c>
      <c r="W44" s="511">
        <f t="shared" ref="W44:AC44" si="65">V44</f>
        <v>0</v>
      </c>
      <c r="X44" s="511">
        <f t="shared" si="65"/>
        <v>0</v>
      </c>
      <c r="Y44" s="511">
        <f t="shared" si="65"/>
        <v>0</v>
      </c>
      <c r="Z44" s="511">
        <f t="shared" si="65"/>
        <v>0</v>
      </c>
      <c r="AA44" s="511">
        <f t="shared" si="65"/>
        <v>0</v>
      </c>
      <c r="AB44" s="511">
        <f t="shared" si="65"/>
        <v>0</v>
      </c>
      <c r="AC44" s="511">
        <f t="shared" si="65"/>
        <v>0</v>
      </c>
      <c r="AD44" s="470"/>
      <c r="AE44" s="470"/>
      <c r="AF44" s="470"/>
      <c r="AG44" s="470"/>
      <c r="AH44" s="470"/>
      <c r="AI44" s="470"/>
      <c r="AJ44" s="470"/>
    </row>
    <row r="46" spans="1:36">
      <c r="B46" s="757" t="s">
        <v>3065</v>
      </c>
      <c r="C46" s="754"/>
      <c r="D46" s="755"/>
      <c r="E46" s="755"/>
      <c r="F46" s="755"/>
      <c r="G46" s="755"/>
      <c r="H46" s="755"/>
      <c r="I46" s="756"/>
      <c r="J46" s="756"/>
      <c r="K46" s="756"/>
      <c r="L46" s="756"/>
      <c r="M46" s="756"/>
      <c r="N46" s="756"/>
      <c r="O46" s="756"/>
      <c r="P46" s="756"/>
      <c r="Q46" s="756"/>
      <c r="R46" s="756"/>
      <c r="S46" s="756"/>
      <c r="T46" s="756"/>
      <c r="U46" s="756"/>
      <c r="V46" s="756"/>
      <c r="W46" s="756"/>
      <c r="X46" s="756"/>
      <c r="Y46" s="756"/>
      <c r="Z46" s="756"/>
      <c r="AA46" s="756"/>
      <c r="AB46" s="756"/>
      <c r="AC46" s="756"/>
    </row>
    <row r="47" spans="1:36">
      <c r="A47" s="829">
        <f>'FTE"0"'!A47</f>
        <v>0.3</v>
      </c>
      <c r="B47" s="828" t="s">
        <v>3135</v>
      </c>
      <c r="D47" s="458">
        <f>'Revenues"A"'!C56+$A$47*'Revenues"A"'!C69</f>
        <v>0</v>
      </c>
      <c r="E47" s="458">
        <f>'Revenues"A"'!D56+$A$47*'Revenues"A"'!D69</f>
        <v>0</v>
      </c>
      <c r="F47" s="458">
        <f>'Revenues"A"'!E56+$A$47*'Revenues"A"'!E69</f>
        <v>53289.708301205588</v>
      </c>
      <c r="G47" s="458">
        <f>'Revenues"A"'!F56+$A$47*'Revenues"A"'!F69</f>
        <v>43510.549266741327</v>
      </c>
      <c r="H47" s="458">
        <f>'Revenues"A"'!G56+$A$47*'Revenues"A"'!G69</f>
        <v>52224.84330120559</v>
      </c>
      <c r="I47" s="460">
        <f>'Revenues"A"'!H56+$A$47*'Revenues"A"'!H69</f>
        <v>53303.756178325188</v>
      </c>
      <c r="J47" s="460">
        <f>'Revenues"A"'!I56+$A$47*'Revenues"A"'!I69</f>
        <v>52856.930948405185</v>
      </c>
      <c r="K47" s="460">
        <f>'Revenues"A"'!J56+$A$47*'Revenues"A"'!J69</f>
        <v>54487.840695876141</v>
      </c>
      <c r="L47" s="460">
        <f>'Revenues"A"'!K56+$A$47*'Revenues"A"'!K69</f>
        <v>57643.155169870399</v>
      </c>
      <c r="M47" s="460">
        <f>'Revenues"A"'!L56+$A$47*'Revenues"A"'!L69</f>
        <v>59923.403267634487</v>
      </c>
      <c r="N47" s="460">
        <f>'Revenues"A"'!M56+$A$47*'Revenues"A"'!M69</f>
        <v>60182.239383943386</v>
      </c>
      <c r="O47" s="460">
        <f>'Revenues"A"'!N56+$A$47*'Revenues"A"'!N69</f>
        <v>61784.953352313889</v>
      </c>
      <c r="P47" s="460">
        <f>'Revenues"A"'!O56+$A$47*'Revenues"A"'!O69</f>
        <v>64292.292467135609</v>
      </c>
      <c r="Q47" s="460">
        <f>'Revenues"A"'!P56+$A$47*'Revenues"A"'!P69</f>
        <v>64419.72602200105</v>
      </c>
      <c r="R47" s="460">
        <f>'Revenues"A"'!Q56+$A$47*'Revenues"A"'!Q69</f>
        <v>64507.355637071589</v>
      </c>
      <c r="S47" s="460">
        <f>'Revenues"A"'!R56+$A$47*'Revenues"A"'!R69</f>
        <v>64609.948270835994</v>
      </c>
      <c r="T47" s="460">
        <f>'Revenues"A"'!S56+$A$47*'Revenues"A"'!S69</f>
        <v>64690.085242620735</v>
      </c>
      <c r="U47" s="460">
        <f>'Revenues"A"'!T56+$A$47*'Revenues"A"'!T69</f>
        <v>64725.633912553691</v>
      </c>
      <c r="V47" s="460">
        <f>'Revenues"A"'!U56+$A$47*'Revenues"A"'!U69</f>
        <v>64727.039150073666</v>
      </c>
      <c r="W47" s="460">
        <f>'Revenues"A"'!V56+$A$47*'Revenues"A"'!V69</f>
        <v>64727.039150073666</v>
      </c>
      <c r="X47" s="460">
        <f>'Revenues"A"'!W56+$A$47*'Revenues"A"'!W69</f>
        <v>64727.039150073666</v>
      </c>
      <c r="Y47" s="460">
        <f>'Revenues"A"'!X56+$A$47*'Revenues"A"'!X69</f>
        <v>64727.039150073666</v>
      </c>
      <c r="Z47" s="460">
        <f>'Revenues"A"'!Y56+$A$47*'Revenues"A"'!Y69</f>
        <v>64727.039150073666</v>
      </c>
      <c r="AA47" s="460">
        <f>'Revenues"A"'!Z56+$A$47*'Revenues"A"'!Z69</f>
        <v>64727.039150073666</v>
      </c>
      <c r="AB47" s="460">
        <f>'Revenues"A"'!AA56+$A$47*'Revenues"A"'!AA69</f>
        <v>64727.039150073666</v>
      </c>
      <c r="AC47" s="460">
        <f>'Revenues"A"'!AB56+$A$47*'Revenues"A"'!AB69</f>
        <v>64727.039150073666</v>
      </c>
    </row>
    <row r="48" spans="1:36">
      <c r="B48" s="758" t="s">
        <v>3067</v>
      </c>
      <c r="D48" s="458">
        <f>'Revenues"A"'!C75</f>
        <v>0</v>
      </c>
      <c r="E48" s="458">
        <f>'Revenues"A"'!D75</f>
        <v>0</v>
      </c>
      <c r="F48" s="458">
        <f>'Revenues"A"'!E75</f>
        <v>581507</v>
      </c>
      <c r="G48" s="458">
        <f>'Revenues"A"'!F75</f>
        <v>412794</v>
      </c>
      <c r="H48" s="458">
        <f>'Revenues"A"'!G75</f>
        <v>585417.85</v>
      </c>
      <c r="I48" s="460">
        <f>'Revenues"A"'!H75</f>
        <v>623113.06985093723</v>
      </c>
      <c r="J48" s="460">
        <f>'Revenues"A"'!I75</f>
        <v>620236.9543141037</v>
      </c>
      <c r="K48" s="460">
        <f>'Revenues"A"'!J75</f>
        <v>641812.55515382637</v>
      </c>
      <c r="L48" s="460">
        <f>'Revenues"A"'!K75</f>
        <v>681578.03477678215</v>
      </c>
      <c r="M48" s="460">
        <f>'Revenues"A"'!L75</f>
        <v>711262.49041511328</v>
      </c>
      <c r="N48" s="460">
        <f>'Revenues"A"'!M75</f>
        <v>717090.1974486236</v>
      </c>
      <c r="O48" s="460">
        <f>'Revenues"A"'!N75</f>
        <v>739037.76841545093</v>
      </c>
      <c r="P48" s="460">
        <f>'Revenues"A"'!O75</f>
        <v>772018.66907830478</v>
      </c>
      <c r="Q48" s="460">
        <f>'Revenues"A"'!P75</f>
        <v>776567.67322697258</v>
      </c>
      <c r="R48" s="460">
        <f>'Revenues"A"'!Q75</f>
        <v>780670.61273709324</v>
      </c>
      <c r="S48" s="460">
        <f>'Revenues"A"'!R75</f>
        <v>784987.62304093095</v>
      </c>
      <c r="T48" s="460">
        <f>'Revenues"A"'!S75</f>
        <v>789064.82137378026</v>
      </c>
      <c r="U48" s="460">
        <f>'Revenues"A"'!T75</f>
        <v>792628.31990737841</v>
      </c>
      <c r="V48" s="460">
        <f>'Revenues"A"'!U75</f>
        <v>795800.40146363573</v>
      </c>
      <c r="W48" s="460">
        <f>'Revenues"A"'!V75</f>
        <v>795800.40146363573</v>
      </c>
      <c r="X48" s="460">
        <f>'Revenues"A"'!W75</f>
        <v>795800.40146363573</v>
      </c>
      <c r="Y48" s="460">
        <f>'Revenues"A"'!X75</f>
        <v>795800.40146363573</v>
      </c>
      <c r="Z48" s="460">
        <f>'Revenues"A"'!Y75</f>
        <v>795800.40146363573</v>
      </c>
      <c r="AA48" s="460">
        <f>'Revenues"A"'!Z75</f>
        <v>795800.40146363573</v>
      </c>
      <c r="AB48" s="460">
        <f>'Revenues"A"'!AA75</f>
        <v>795800.40146363573</v>
      </c>
      <c r="AC48" s="460">
        <f>'Revenues"A"'!AB75</f>
        <v>795800.40146363573</v>
      </c>
    </row>
    <row r="49" spans="2:36">
      <c r="B49" s="758" t="s">
        <v>3066</v>
      </c>
      <c r="D49" s="623">
        <f t="shared" ref="D49:I49" si="66">D47/D3</f>
        <v>0</v>
      </c>
      <c r="E49" s="623">
        <f t="shared" si="66"/>
        <v>0</v>
      </c>
      <c r="F49" s="623">
        <f t="shared" si="66"/>
        <v>87.038100898283531</v>
      </c>
      <c r="G49" s="623">
        <f t="shared" si="66"/>
        <v>68.438271416856438</v>
      </c>
      <c r="H49" s="623">
        <f t="shared" si="66"/>
        <v>78.980053993743226</v>
      </c>
      <c r="I49" s="623">
        <f t="shared" si="66"/>
        <v>80.611702686262788</v>
      </c>
      <c r="J49" s="760">
        <f>I49</f>
        <v>80.611702686262788</v>
      </c>
      <c r="K49" s="760">
        <f t="shared" ref="K49" si="67">J49</f>
        <v>80.611702686262788</v>
      </c>
      <c r="L49" s="759">
        <f>IF(Scenarios_Summary!$D$60=1,L73,IF(Scenarios_Summary!$D$60=2,L69,L65))</f>
        <v>81.955231064367169</v>
      </c>
      <c r="M49" s="759">
        <f>IF(Scenarios_Summary!$D$60=1,M73,IF(Scenarios_Summary!$D$60=2,M69,M65))</f>
        <v>83.29875944247155</v>
      </c>
      <c r="N49" s="759">
        <f>IF(Scenarios_Summary!$D$60=1,N73,IF(Scenarios_Summary!$D$60=2,N69,N65))</f>
        <v>84.64228782057593</v>
      </c>
      <c r="O49" s="759">
        <f>IF(Scenarios_Summary!$D$60=1,O73,IF(Scenarios_Summary!$D$60=2,O69,O65))</f>
        <v>85.985816198680311</v>
      </c>
      <c r="P49" s="759">
        <f>IF(Scenarios_Summary!$D$60=1,P73,IF(Scenarios_Summary!$D$60=2,P69,P65))</f>
        <v>87.329344576784692</v>
      </c>
      <c r="Q49" s="759">
        <f>IF(Scenarios_Summary!$D$60=1,Q73,IF(Scenarios_Summary!$D$60=2,Q69,Q65))</f>
        <v>88.672872954889073</v>
      </c>
      <c r="R49" s="759">
        <f t="shared" ref="R49:AC51" si="68">Q49</f>
        <v>88.672872954889073</v>
      </c>
      <c r="S49" s="759">
        <f t="shared" ref="S49:AC49" si="69">R49</f>
        <v>88.672872954889073</v>
      </c>
      <c r="T49" s="759">
        <f t="shared" si="69"/>
        <v>88.672872954889073</v>
      </c>
      <c r="U49" s="759">
        <f t="shared" si="69"/>
        <v>88.672872954889073</v>
      </c>
      <c r="V49" s="759">
        <f t="shared" si="69"/>
        <v>88.672872954889073</v>
      </c>
      <c r="W49" s="759">
        <f t="shared" si="69"/>
        <v>88.672872954889073</v>
      </c>
      <c r="X49" s="759">
        <f t="shared" si="69"/>
        <v>88.672872954889073</v>
      </c>
      <c r="Y49" s="759">
        <f t="shared" si="69"/>
        <v>88.672872954889073</v>
      </c>
      <c r="Z49" s="759">
        <f t="shared" si="69"/>
        <v>88.672872954889073</v>
      </c>
      <c r="AA49" s="759">
        <f t="shared" si="69"/>
        <v>88.672872954889073</v>
      </c>
      <c r="AB49" s="759">
        <f t="shared" si="69"/>
        <v>88.672872954889073</v>
      </c>
      <c r="AC49" s="759">
        <f t="shared" si="69"/>
        <v>88.672872954889073</v>
      </c>
    </row>
    <row r="50" spans="2:36">
      <c r="B50" s="758" t="s">
        <v>3068</v>
      </c>
      <c r="D50" s="623">
        <f t="shared" ref="D50:I50" si="70">D7/D3</f>
        <v>2.0214726334364213</v>
      </c>
      <c r="E50" s="623">
        <f t="shared" si="70"/>
        <v>2.0231159518519863</v>
      </c>
      <c r="F50" s="623">
        <f t="shared" si="70"/>
        <v>2.1950622062866554</v>
      </c>
      <c r="G50" s="623">
        <f t="shared" si="70"/>
        <v>2.1524313092881391</v>
      </c>
      <c r="H50" s="623">
        <f t="shared" si="70"/>
        <v>2.1303518851109615</v>
      </c>
      <c r="I50" s="623">
        <f t="shared" si="70"/>
        <v>2.1303518851109615</v>
      </c>
      <c r="J50" s="760">
        <f>I50</f>
        <v>2.1303518851109615</v>
      </c>
      <c r="K50" s="760">
        <f t="shared" ref="K50:K51" si="71">J50</f>
        <v>2.1303518851109615</v>
      </c>
      <c r="L50" s="759">
        <f>IF(Scenarios_Summary!$D$60=1,L74,IF(Scenarios_Summary!$D$60=2,L70,L66))</f>
        <v>2.0948460203591122</v>
      </c>
      <c r="M50" s="759">
        <f>IF(Scenarios_Summary!$D$60=1,M74,IF(Scenarios_Summary!$D$60=2,M70,M66))</f>
        <v>2.0593401556072628</v>
      </c>
      <c r="N50" s="759">
        <f>IF(Scenarios_Summary!$D$60=1,N74,IF(Scenarios_Summary!$D$60=2,N70,N66))</f>
        <v>2.0238342908554134</v>
      </c>
      <c r="O50" s="759">
        <f>IF(Scenarios_Summary!$D$60=1,O74,IF(Scenarios_Summary!$D$60=2,O70,O66))</f>
        <v>1.9883284261035641</v>
      </c>
      <c r="P50" s="759">
        <f>IF(Scenarios_Summary!$D$60=1,P74,IF(Scenarios_Summary!$D$60=2,P70,P66))</f>
        <v>1.9528225613517147</v>
      </c>
      <c r="Q50" s="759">
        <f>IF(Scenarios_Summary!$D$60=1,Q74,IF(Scenarios_Summary!$D$60=2,Q70,Q66))</f>
        <v>1.9173166965998654</v>
      </c>
      <c r="R50" s="759">
        <f t="shared" si="68"/>
        <v>1.9173166965998654</v>
      </c>
      <c r="S50" s="759">
        <f t="shared" si="68"/>
        <v>1.9173166965998654</v>
      </c>
      <c r="T50" s="759">
        <f t="shared" si="68"/>
        <v>1.9173166965998654</v>
      </c>
      <c r="U50" s="759">
        <f t="shared" si="68"/>
        <v>1.9173166965998654</v>
      </c>
      <c r="V50" s="759">
        <f t="shared" si="68"/>
        <v>1.9173166965998654</v>
      </c>
      <c r="W50" s="759">
        <f t="shared" si="68"/>
        <v>1.9173166965998654</v>
      </c>
      <c r="X50" s="759">
        <f t="shared" si="68"/>
        <v>1.9173166965998654</v>
      </c>
      <c r="Y50" s="759">
        <f t="shared" si="68"/>
        <v>1.9173166965998654</v>
      </c>
      <c r="Z50" s="759">
        <f t="shared" si="68"/>
        <v>1.9173166965998654</v>
      </c>
      <c r="AA50" s="759">
        <f t="shared" si="68"/>
        <v>1.9173166965998654</v>
      </c>
      <c r="AB50" s="759">
        <f t="shared" si="68"/>
        <v>1.9173166965998654</v>
      </c>
      <c r="AC50" s="759">
        <f t="shared" si="68"/>
        <v>1.9173166965998654</v>
      </c>
    </row>
    <row r="51" spans="2:36">
      <c r="B51" s="758" t="s">
        <v>3069</v>
      </c>
      <c r="D51" s="458">
        <f t="shared" ref="D51:I51" si="72">D48/D9</f>
        <v>0</v>
      </c>
      <c r="E51" s="458">
        <f t="shared" si="72"/>
        <v>0</v>
      </c>
      <c r="F51" s="458">
        <f t="shared" si="72"/>
        <v>3784.0400893018373</v>
      </c>
      <c r="G51" s="458">
        <f t="shared" si="72"/>
        <v>2674.8644620601767</v>
      </c>
      <c r="H51" s="458">
        <f t="shared" si="72"/>
        <v>3789.3371235618074</v>
      </c>
      <c r="I51" s="458">
        <f t="shared" si="72"/>
        <v>4033.3336056676753</v>
      </c>
      <c r="J51" s="760">
        <f>I51</f>
        <v>4033.3336056676753</v>
      </c>
      <c r="K51" s="760">
        <f t="shared" si="71"/>
        <v>4033.3336056676753</v>
      </c>
      <c r="L51" s="759">
        <f>IF(Scenarios_Summary!$D$60=1,L75,IF(Scenarios_Summary!$D$60=2,L71,L67))</f>
        <v>4100.5558324288031</v>
      </c>
      <c r="M51" s="759">
        <f>IF(Scenarios_Summary!$D$60=1,M75,IF(Scenarios_Summary!$D$60=2,M71,M67))</f>
        <v>4167.7780591899309</v>
      </c>
      <c r="N51" s="759">
        <f>IF(Scenarios_Summary!$D$60=1,N75,IF(Scenarios_Summary!$D$60=2,N71,N67))</f>
        <v>4235.0002859510587</v>
      </c>
      <c r="O51" s="759">
        <f>IF(Scenarios_Summary!$D$60=1,O75,IF(Scenarios_Summary!$D$60=2,O71,O67))</f>
        <v>4302.2225127121865</v>
      </c>
      <c r="P51" s="759">
        <f>IF(Scenarios_Summary!$D$60=1,P75,IF(Scenarios_Summary!$D$60=2,P71,P67))</f>
        <v>4369.4447394733143</v>
      </c>
      <c r="Q51" s="759">
        <f>IF(Scenarios_Summary!$D$60=1,Q75,IF(Scenarios_Summary!$D$60=2,Q71,Q67))</f>
        <v>4436.666966234443</v>
      </c>
      <c r="R51" s="759">
        <f t="shared" si="68"/>
        <v>4436.666966234443</v>
      </c>
      <c r="S51" s="759">
        <f t="shared" si="68"/>
        <v>4436.666966234443</v>
      </c>
      <c r="T51" s="759">
        <f t="shared" si="68"/>
        <v>4436.666966234443</v>
      </c>
      <c r="U51" s="759">
        <f t="shared" si="68"/>
        <v>4436.666966234443</v>
      </c>
      <c r="V51" s="759">
        <f t="shared" si="68"/>
        <v>4436.666966234443</v>
      </c>
      <c r="W51" s="759">
        <f t="shared" si="68"/>
        <v>4436.666966234443</v>
      </c>
      <c r="X51" s="759">
        <f t="shared" si="68"/>
        <v>4436.666966234443</v>
      </c>
      <c r="Y51" s="759">
        <f t="shared" si="68"/>
        <v>4436.666966234443</v>
      </c>
      <c r="Z51" s="759">
        <f t="shared" si="68"/>
        <v>4436.666966234443</v>
      </c>
      <c r="AA51" s="759">
        <f t="shared" si="68"/>
        <v>4436.666966234443</v>
      </c>
      <c r="AB51" s="759">
        <f t="shared" si="68"/>
        <v>4436.666966234443</v>
      </c>
      <c r="AC51" s="759">
        <f t="shared" si="68"/>
        <v>4436.666966234443</v>
      </c>
    </row>
    <row r="52" spans="2:36">
      <c r="I52" s="568" t="s">
        <v>3070</v>
      </c>
    </row>
    <row r="55" spans="2:36">
      <c r="B55" s="461"/>
      <c r="C55" s="461"/>
      <c r="D55" s="462"/>
      <c r="E55" s="462"/>
      <c r="F55" s="462"/>
      <c r="G55" s="462"/>
      <c r="H55" s="463"/>
      <c r="I55" s="463"/>
      <c r="J55" s="463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  <c r="AA55" s="463"/>
      <c r="AB55" s="463"/>
      <c r="AC55" s="463"/>
    </row>
    <row r="56" spans="2:36">
      <c r="B56" s="464" t="s">
        <v>2899</v>
      </c>
      <c r="C56" s="464"/>
      <c r="D56" s="465"/>
      <c r="E56" s="465"/>
      <c r="F56" s="465"/>
      <c r="G56" s="465"/>
      <c r="H56" s="465"/>
      <c r="I56" s="1589">
        <v>0</v>
      </c>
      <c r="J56" s="1589">
        <f>I56</f>
        <v>0</v>
      </c>
      <c r="K56" s="1589">
        <f t="shared" ref="K56:AC56" si="73">J56</f>
        <v>0</v>
      </c>
      <c r="L56" s="1589">
        <f t="shared" si="73"/>
        <v>0</v>
      </c>
      <c r="M56" s="1589">
        <f t="shared" si="73"/>
        <v>0</v>
      </c>
      <c r="N56" s="1589">
        <f t="shared" si="73"/>
        <v>0</v>
      </c>
      <c r="O56" s="1589">
        <f t="shared" si="73"/>
        <v>0</v>
      </c>
      <c r="P56" s="1589">
        <f t="shared" si="73"/>
        <v>0</v>
      </c>
      <c r="Q56" s="1589">
        <f t="shared" si="73"/>
        <v>0</v>
      </c>
      <c r="R56" s="1589">
        <f t="shared" si="73"/>
        <v>0</v>
      </c>
      <c r="S56" s="1589">
        <f t="shared" si="73"/>
        <v>0</v>
      </c>
      <c r="T56" s="1589">
        <f t="shared" si="73"/>
        <v>0</v>
      </c>
      <c r="U56" s="1589">
        <f t="shared" si="73"/>
        <v>0</v>
      </c>
      <c r="V56" s="1589">
        <f t="shared" si="73"/>
        <v>0</v>
      </c>
      <c r="W56" s="1589">
        <f t="shared" si="73"/>
        <v>0</v>
      </c>
      <c r="X56" s="1589">
        <f t="shared" si="73"/>
        <v>0</v>
      </c>
      <c r="Y56" s="1589">
        <f t="shared" si="73"/>
        <v>0</v>
      </c>
      <c r="Z56" s="1589">
        <f t="shared" si="73"/>
        <v>0</v>
      </c>
      <c r="AA56" s="1589">
        <f t="shared" si="73"/>
        <v>0</v>
      </c>
      <c r="AB56" s="1589">
        <f t="shared" si="73"/>
        <v>0</v>
      </c>
      <c r="AC56" s="1589">
        <f t="shared" si="73"/>
        <v>0</v>
      </c>
    </row>
    <row r="58" spans="2:36" s="121" customFormat="1">
      <c r="B58" s="989" t="s">
        <v>3253</v>
      </c>
      <c r="C58" s="468"/>
      <c r="D58" s="471"/>
      <c r="E58" s="471"/>
      <c r="F58" s="471"/>
      <c r="G58" s="471"/>
      <c r="H58" s="471"/>
      <c r="I58" s="503">
        <f>I25</f>
        <v>0.4363189659617428</v>
      </c>
      <c r="J58" s="503">
        <f t="shared" ref="J58:AC58" si="74">J25</f>
        <v>0.4363189659617428</v>
      </c>
      <c r="K58" s="503">
        <f t="shared" si="74"/>
        <v>0.4363189659617428</v>
      </c>
      <c r="L58" s="503">
        <f t="shared" si="74"/>
        <v>0.4363189659617428</v>
      </c>
      <c r="M58" s="503">
        <f t="shared" si="74"/>
        <v>0.4363189659617428</v>
      </c>
      <c r="N58" s="503">
        <f t="shared" si="74"/>
        <v>0.4363189659617428</v>
      </c>
      <c r="O58" s="503">
        <f t="shared" si="74"/>
        <v>0.4363189659617428</v>
      </c>
      <c r="P58" s="503">
        <f t="shared" si="74"/>
        <v>0.4363189659617428</v>
      </c>
      <c r="Q58" s="503">
        <f t="shared" si="74"/>
        <v>0.4363189659617428</v>
      </c>
      <c r="R58" s="503">
        <f t="shared" si="74"/>
        <v>0.4363189659617428</v>
      </c>
      <c r="S58" s="503">
        <f t="shared" si="74"/>
        <v>0.4363189659617428</v>
      </c>
      <c r="T58" s="503">
        <f t="shared" si="74"/>
        <v>0.4363189659617428</v>
      </c>
      <c r="U58" s="503">
        <f t="shared" si="74"/>
        <v>0.4363189659617428</v>
      </c>
      <c r="V58" s="503">
        <f t="shared" si="74"/>
        <v>0.4363189659617428</v>
      </c>
      <c r="W58" s="503">
        <f t="shared" si="74"/>
        <v>0.4363189659617428</v>
      </c>
      <c r="X58" s="503">
        <f t="shared" si="74"/>
        <v>0.4363189659617428</v>
      </c>
      <c r="Y58" s="503">
        <f t="shared" si="74"/>
        <v>0.4363189659617428</v>
      </c>
      <c r="Z58" s="503">
        <f t="shared" si="74"/>
        <v>0.4363189659617428</v>
      </c>
      <c r="AA58" s="503">
        <f t="shared" si="74"/>
        <v>0.4363189659617428</v>
      </c>
      <c r="AB58" s="503">
        <f t="shared" si="74"/>
        <v>0.4363189659617428</v>
      </c>
      <c r="AC58" s="503">
        <f t="shared" si="74"/>
        <v>0.4363189659617428</v>
      </c>
      <c r="AD58" s="468"/>
      <c r="AE58" s="468"/>
      <c r="AF58" s="468"/>
      <c r="AG58" s="468"/>
      <c r="AH58" s="468"/>
      <c r="AI58" s="468"/>
      <c r="AJ58" s="468"/>
    </row>
    <row r="59" spans="2:36">
      <c r="B59" s="990" t="s">
        <v>3250</v>
      </c>
      <c r="I59" s="460">
        <f>I58*(I24)</f>
        <v>34652304.429999992</v>
      </c>
      <c r="J59" s="460">
        <f t="shared" ref="J59:AC59" si="75">J58*(J24)</f>
        <v>34437095.535834923</v>
      </c>
      <c r="K59" s="460">
        <f t="shared" si="75"/>
        <v>35252036.598860413</v>
      </c>
      <c r="L59" s="460">
        <f t="shared" si="75"/>
        <v>36135233.473716609</v>
      </c>
      <c r="M59" s="460">
        <f t="shared" si="75"/>
        <v>36553542.113191739</v>
      </c>
      <c r="N59" s="460">
        <f t="shared" si="75"/>
        <v>36009445.333500251</v>
      </c>
      <c r="O59" s="460">
        <f t="shared" si="75"/>
        <v>35609104.314512074</v>
      </c>
      <c r="P59" s="460">
        <f t="shared" si="75"/>
        <v>36071004.443836384</v>
      </c>
      <c r="Q59" s="460">
        <f t="shared" si="75"/>
        <v>35477800.528046414</v>
      </c>
      <c r="R59" s="460">
        <f t="shared" si="75"/>
        <v>35522865.515717886</v>
      </c>
      <c r="S59" s="460">
        <f t="shared" si="75"/>
        <v>35574450.480257198</v>
      </c>
      <c r="T59" s="460">
        <f t="shared" si="75"/>
        <v>35616447.348696969</v>
      </c>
      <c r="U59" s="460">
        <f t="shared" si="75"/>
        <v>35639315.319626451</v>
      </c>
      <c r="V59" s="460">
        <f t="shared" si="75"/>
        <v>35647540.067475997</v>
      </c>
      <c r="W59" s="460">
        <f t="shared" si="75"/>
        <v>35647540.067475997</v>
      </c>
      <c r="X59" s="460">
        <f t="shared" si="75"/>
        <v>35647540.067475997</v>
      </c>
      <c r="Y59" s="460">
        <f t="shared" si="75"/>
        <v>35647540.067475997</v>
      </c>
      <c r="Z59" s="460">
        <f t="shared" si="75"/>
        <v>35647540.067475997</v>
      </c>
      <c r="AA59" s="460">
        <f t="shared" si="75"/>
        <v>35647540.067475997</v>
      </c>
      <c r="AB59" s="460">
        <f t="shared" si="75"/>
        <v>35647540.067475997</v>
      </c>
      <c r="AC59" s="460">
        <f t="shared" si="75"/>
        <v>35647540.067475997</v>
      </c>
    </row>
    <row r="60" spans="2:36">
      <c r="H60" s="458" t="s">
        <v>3254</v>
      </c>
      <c r="I60" s="634">
        <f>IF(Scenarios_Summary!$C$45=1,0,1)</f>
        <v>0</v>
      </c>
    </row>
    <row r="61" spans="2:36">
      <c r="P61" s="815" t="s">
        <v>3127</v>
      </c>
      <c r="Q61" s="814">
        <f>Scenarios_Summary!C30</f>
        <v>0.1</v>
      </c>
    </row>
    <row r="62" spans="2:36">
      <c r="P62" s="815" t="s">
        <v>3127</v>
      </c>
      <c r="Q62" s="814">
        <f>Scenarios_Summary!C31</f>
        <v>0.1</v>
      </c>
    </row>
    <row r="63" spans="2:36">
      <c r="P63" s="815" t="s">
        <v>3127</v>
      </c>
      <c r="Q63" s="814">
        <f>Scenarios_Summary!C32</f>
        <v>0.1</v>
      </c>
    </row>
    <row r="65" spans="9:17">
      <c r="I65" s="1137" t="s">
        <v>3409</v>
      </c>
      <c r="J65" s="760">
        <f>$I$49</f>
        <v>80.611702686262788</v>
      </c>
      <c r="K65" s="760">
        <f t="shared" ref="K65:K67" si="76">J65</f>
        <v>80.611702686262788</v>
      </c>
      <c r="L65" s="759">
        <f t="shared" ref="L65:O65" si="77">K65+($Q$65-$K$65)/COUNT($L$48:$Q$48)</f>
        <v>81.955231064367169</v>
      </c>
      <c r="M65" s="759">
        <f t="shared" si="77"/>
        <v>83.29875944247155</v>
      </c>
      <c r="N65" s="759">
        <f t="shared" si="77"/>
        <v>84.64228782057593</v>
      </c>
      <c r="O65" s="759">
        <f t="shared" si="77"/>
        <v>85.985816198680311</v>
      </c>
      <c r="P65" s="759">
        <f>O65+($Q$65-$K$65)/COUNT($L$48:$Q$48)</f>
        <v>87.329344576784692</v>
      </c>
      <c r="Q65" s="799">
        <f>$J$49*(1+$Q$61)</f>
        <v>88.672872954889073</v>
      </c>
    </row>
    <row r="66" spans="9:17">
      <c r="J66" s="760">
        <f>$I$50</f>
        <v>2.1303518851109615</v>
      </c>
      <c r="K66" s="760">
        <f t="shared" si="76"/>
        <v>2.1303518851109615</v>
      </c>
      <c r="L66" s="759">
        <f>K66+($Q$66-$K$66)/COUNT($L$48:$Q$48)</f>
        <v>2.0948460203591122</v>
      </c>
      <c r="M66" s="759">
        <f t="shared" ref="M66:P66" si="78">L66+($Q$66-$K$66)/COUNT($L$48:$Q$48)</f>
        <v>2.0593401556072628</v>
      </c>
      <c r="N66" s="759">
        <f t="shared" si="78"/>
        <v>2.0238342908554134</v>
      </c>
      <c r="O66" s="759">
        <f t="shared" si="78"/>
        <v>1.9883284261035641</v>
      </c>
      <c r="P66" s="759">
        <f t="shared" si="78"/>
        <v>1.9528225613517147</v>
      </c>
      <c r="Q66" s="799">
        <f>$J$50*(1-$Q$62)</f>
        <v>1.9173166965998654</v>
      </c>
    </row>
    <row r="67" spans="9:17">
      <c r="J67" s="760">
        <f>$I$51</f>
        <v>4033.3336056676753</v>
      </c>
      <c r="K67" s="760">
        <f t="shared" si="76"/>
        <v>4033.3336056676753</v>
      </c>
      <c r="L67" s="759">
        <f>K67+($Q$67-$K$67)/COUNT($L$48:$Q$48)</f>
        <v>4100.5558324288031</v>
      </c>
      <c r="M67" s="759">
        <f t="shared" ref="M67:P67" si="79">L67+($Q$67-$K$67)/COUNT($L$48:$Q$48)</f>
        <v>4167.7780591899309</v>
      </c>
      <c r="N67" s="759">
        <f t="shared" si="79"/>
        <v>4235.0002859510587</v>
      </c>
      <c r="O67" s="759">
        <f t="shared" si="79"/>
        <v>4302.2225127121865</v>
      </c>
      <c r="P67" s="759">
        <f t="shared" si="79"/>
        <v>4369.4447394733143</v>
      </c>
      <c r="Q67" s="799">
        <f>J51*(1+$Q$63)</f>
        <v>4436.666966234443</v>
      </c>
    </row>
    <row r="69" spans="9:17">
      <c r="I69" s="1137" t="s">
        <v>3410</v>
      </c>
      <c r="J69" s="760">
        <f>$I$49</f>
        <v>80.611702686262788</v>
      </c>
      <c r="K69" s="760">
        <f t="shared" ref="K69:K71" si="80">J69</f>
        <v>80.611702686262788</v>
      </c>
      <c r="L69" s="759">
        <f>K69+($N$69-$K$69)/3</f>
        <v>83.29875944247155</v>
      </c>
      <c r="M69" s="759">
        <f>L69+($N$69-$K$69)/3</f>
        <v>85.985816198680311</v>
      </c>
      <c r="N69" s="799">
        <f>J69*(1+Q61)</f>
        <v>88.672872954889073</v>
      </c>
      <c r="O69" s="759">
        <f>N69</f>
        <v>88.672872954889073</v>
      </c>
      <c r="P69" s="759">
        <f t="shared" ref="P69:Q69" si="81">O69</f>
        <v>88.672872954889073</v>
      </c>
      <c r="Q69" s="759">
        <f t="shared" si="81"/>
        <v>88.672872954889073</v>
      </c>
    </row>
    <row r="70" spans="9:17">
      <c r="J70" s="760">
        <f>$I$50</f>
        <v>2.1303518851109615</v>
      </c>
      <c r="K70" s="760">
        <f t="shared" si="80"/>
        <v>2.1303518851109615</v>
      </c>
      <c r="L70" s="759">
        <f>K70+($N$70-$K$70)/3</f>
        <v>2.0593401556072628</v>
      </c>
      <c r="M70" s="759">
        <f>L70+($N$70-$K$70)/3</f>
        <v>1.9883284261035641</v>
      </c>
      <c r="N70" s="799">
        <f>J70*(1-Q62)</f>
        <v>1.9173166965998654</v>
      </c>
      <c r="O70" s="759">
        <f>N70</f>
        <v>1.9173166965998654</v>
      </c>
      <c r="P70" s="759">
        <f t="shared" ref="P70:Q70" si="82">O70</f>
        <v>1.9173166965998654</v>
      </c>
      <c r="Q70" s="759">
        <f t="shared" si="82"/>
        <v>1.9173166965998654</v>
      </c>
    </row>
    <row r="71" spans="9:17">
      <c r="J71" s="760">
        <f>$I$51</f>
        <v>4033.3336056676753</v>
      </c>
      <c r="K71" s="760">
        <f t="shared" si="80"/>
        <v>4033.3336056676753</v>
      </c>
      <c r="L71" s="759">
        <f>K71+($N$71-$K$71)/3</f>
        <v>4167.7780591899309</v>
      </c>
      <c r="M71" s="759">
        <f>L71+($N$71-$K$71)/3</f>
        <v>4302.2225127121865</v>
      </c>
      <c r="N71" s="799">
        <f>J71*(1+Q63)</f>
        <v>4436.666966234443</v>
      </c>
      <c r="O71" s="759">
        <f>N71</f>
        <v>4436.666966234443</v>
      </c>
      <c r="P71" s="759">
        <f t="shared" ref="P71:Q71" si="83">O71</f>
        <v>4436.666966234443</v>
      </c>
      <c r="Q71" s="759">
        <f t="shared" si="83"/>
        <v>4436.666966234443</v>
      </c>
    </row>
    <row r="73" spans="9:17">
      <c r="I73" s="1137" t="s">
        <v>3411</v>
      </c>
      <c r="J73" s="760">
        <f>$I$49</f>
        <v>80.611702686262788</v>
      </c>
      <c r="K73" s="760">
        <f t="shared" ref="K73:K75" si="84">J73</f>
        <v>80.611702686262788</v>
      </c>
      <c r="L73" s="759">
        <f>K73+($O$73-$K$73)/4</f>
        <v>82.626995253419352</v>
      </c>
      <c r="M73" s="759">
        <f t="shared" ref="M73:N73" si="85">L73+($O$73-$K$73)/4</f>
        <v>84.642287820575916</v>
      </c>
      <c r="N73" s="759">
        <f t="shared" si="85"/>
        <v>86.65758038773248</v>
      </c>
      <c r="O73" s="799">
        <f>J73*(1+Q61)</f>
        <v>88.672872954889073</v>
      </c>
      <c r="P73" s="759">
        <f t="shared" ref="P73:Q73" si="86">O73</f>
        <v>88.672872954889073</v>
      </c>
      <c r="Q73" s="759">
        <f t="shared" si="86"/>
        <v>88.672872954889073</v>
      </c>
    </row>
    <row r="74" spans="9:17">
      <c r="J74" s="760">
        <f>$I$50</f>
        <v>2.1303518851109615</v>
      </c>
      <c r="K74" s="760">
        <f t="shared" si="84"/>
        <v>2.1303518851109615</v>
      </c>
      <c r="L74" s="759">
        <f>K74+($O$74-$K$74)/4</f>
        <v>2.0770930879831875</v>
      </c>
      <c r="M74" s="759">
        <f t="shared" ref="M74:N74" si="87">L74+($O$74-$K$74)/4</f>
        <v>2.0238342908554134</v>
      </c>
      <c r="N74" s="759">
        <f t="shared" si="87"/>
        <v>1.9705754937276394</v>
      </c>
      <c r="O74" s="799">
        <f>J74*(1-Q62)</f>
        <v>1.9173166965998654</v>
      </c>
      <c r="P74" s="759">
        <f t="shared" ref="P74:Q74" si="88">O74</f>
        <v>1.9173166965998654</v>
      </c>
      <c r="Q74" s="759">
        <f t="shared" si="88"/>
        <v>1.9173166965998654</v>
      </c>
    </row>
    <row r="75" spans="9:17">
      <c r="J75" s="760">
        <f>$I$51</f>
        <v>4033.3336056676753</v>
      </c>
      <c r="K75" s="760">
        <f t="shared" si="84"/>
        <v>4033.3336056676753</v>
      </c>
      <c r="L75" s="759">
        <f>K75+($O$75-$K$75)/4</f>
        <v>4134.1669458093675</v>
      </c>
      <c r="M75" s="759">
        <f t="shared" ref="M75:N75" si="89">L75+($O$75-$K$75)/4</f>
        <v>4235.0002859510596</v>
      </c>
      <c r="N75" s="759">
        <f t="shared" si="89"/>
        <v>4335.8336260927517</v>
      </c>
      <c r="O75" s="799">
        <f>J75*(1+Q63)</f>
        <v>4436.666966234443</v>
      </c>
      <c r="P75" s="759">
        <f t="shared" ref="P75:Q75" si="90">O75</f>
        <v>4436.666966234443</v>
      </c>
      <c r="Q75" s="759">
        <f t="shared" si="90"/>
        <v>4436.666966234443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C57E5-328A-4C13-9222-185402BCFD03}">
  <sheetPr>
    <tabColor rgb="FFDCEFF4"/>
  </sheetPr>
  <dimension ref="B1:AD117"/>
  <sheetViews>
    <sheetView topLeftCell="A88" workbookViewId="0">
      <selection activeCell="H103" sqref="H103"/>
    </sheetView>
  </sheetViews>
  <sheetFormatPr baseColWidth="10" defaultColWidth="8.83203125" defaultRowHeight="15"/>
  <cols>
    <col min="1" max="1" width="2.6640625" style="69" customWidth="1"/>
    <col min="2" max="2" width="33.33203125" style="69" customWidth="1"/>
    <col min="3" max="7" width="11.83203125" style="458" customWidth="1"/>
    <col min="8" max="28" width="11.83203125" style="69" customWidth="1"/>
    <col min="29" max="29" width="9.83203125" style="69" bestFit="1" customWidth="1"/>
    <col min="30" max="30" width="14.6640625" style="69" bestFit="1" customWidth="1"/>
    <col min="31" max="16384" width="8.83203125" style="69"/>
  </cols>
  <sheetData>
    <row r="1" spans="2:29">
      <c r="H1" s="690"/>
      <c r="I1" s="690"/>
      <c r="J1" s="690"/>
      <c r="K1" s="690"/>
      <c r="L1" s="690"/>
      <c r="M1" s="690"/>
      <c r="N1" s="690"/>
      <c r="O1" s="690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</row>
    <row r="2" spans="2:29" s="592" customFormat="1">
      <c r="C2" s="605">
        <v>43100</v>
      </c>
      <c r="D2" s="605">
        <f>EOMONTH(C2,12)</f>
        <v>43465</v>
      </c>
      <c r="E2" s="605">
        <f t="shared" ref="E2:U2" si="0">EOMONTH(D2,12)</f>
        <v>43830</v>
      </c>
      <c r="F2" s="605">
        <f t="shared" si="0"/>
        <v>44196</v>
      </c>
      <c r="G2" s="606">
        <f t="shared" si="0"/>
        <v>44561</v>
      </c>
      <c r="H2" s="592">
        <f t="shared" si="0"/>
        <v>44926</v>
      </c>
      <c r="I2" s="592">
        <f t="shared" si="0"/>
        <v>45291</v>
      </c>
      <c r="J2" s="592">
        <f t="shared" si="0"/>
        <v>45657</v>
      </c>
      <c r="K2" s="592">
        <f t="shared" si="0"/>
        <v>46022</v>
      </c>
      <c r="L2" s="592">
        <f t="shared" si="0"/>
        <v>46387</v>
      </c>
      <c r="M2" s="592">
        <f t="shared" si="0"/>
        <v>46752</v>
      </c>
      <c r="N2" s="592">
        <f t="shared" si="0"/>
        <v>47118</v>
      </c>
      <c r="O2" s="592">
        <f t="shared" si="0"/>
        <v>47483</v>
      </c>
      <c r="P2" s="592">
        <f t="shared" si="0"/>
        <v>47848</v>
      </c>
      <c r="Q2" s="592">
        <f t="shared" si="0"/>
        <v>48213</v>
      </c>
      <c r="R2" s="592">
        <f t="shared" si="0"/>
        <v>48579</v>
      </c>
      <c r="S2" s="592">
        <f t="shared" si="0"/>
        <v>48944</v>
      </c>
      <c r="T2" s="592">
        <f t="shared" si="0"/>
        <v>49309</v>
      </c>
      <c r="U2" s="592">
        <f t="shared" si="0"/>
        <v>49674</v>
      </c>
      <c r="V2" s="592">
        <f t="shared" ref="V2" si="1">EOMONTH(U2,12)</f>
        <v>50040</v>
      </c>
      <c r="W2" s="592">
        <f t="shared" ref="W2" si="2">EOMONTH(V2,12)</f>
        <v>50405</v>
      </c>
      <c r="X2" s="592">
        <f t="shared" ref="X2" si="3">EOMONTH(W2,12)</f>
        <v>50770</v>
      </c>
      <c r="Y2" s="592">
        <f t="shared" ref="Y2" si="4">EOMONTH(X2,12)</f>
        <v>51135</v>
      </c>
      <c r="Z2" s="592">
        <f t="shared" ref="Z2" si="5">EOMONTH(Y2,12)</f>
        <v>51501</v>
      </c>
      <c r="AA2" s="592">
        <f t="shared" ref="AA2" si="6">EOMONTH(Z2,12)</f>
        <v>51866</v>
      </c>
      <c r="AB2" s="592">
        <f t="shared" ref="AB2" si="7">EOMONTH(AA2,12)</f>
        <v>52231</v>
      </c>
    </row>
    <row r="3" spans="2:29" s="457" customFormat="1">
      <c r="B3" s="598" t="s">
        <v>2838</v>
      </c>
      <c r="C3" s="608">
        <f>C4+C16+C17</f>
        <v>87226423.650000051</v>
      </c>
      <c r="D3" s="608">
        <f>D4+D16+D17</f>
        <v>92750781.050000027</v>
      </c>
      <c r="E3" s="608">
        <f>E4+E16+E17</f>
        <v>102457789.18999997</v>
      </c>
      <c r="F3" s="608">
        <f>F4+F16+F17</f>
        <v>108230558.54000005</v>
      </c>
      <c r="G3" s="609">
        <f>G4+G16+G17</f>
        <v>123632577.04000004</v>
      </c>
      <c r="H3" s="598">
        <f t="shared" ref="H3:U3" si="8">H4+H16+H17</f>
        <v>130140372.93128745</v>
      </c>
      <c r="I3" s="598">
        <f t="shared" si="8"/>
        <v>129383103.43739179</v>
      </c>
      <c r="J3" s="598">
        <f t="shared" si="8"/>
        <v>133641840.04327275</v>
      </c>
      <c r="K3" s="598">
        <f t="shared" si="8"/>
        <v>141613768.12689355</v>
      </c>
      <c r="L3" s="598">
        <f t="shared" si="8"/>
        <v>147500086.22961855</v>
      </c>
      <c r="M3" s="598">
        <f t="shared" si="8"/>
        <v>148494550.87587661</v>
      </c>
      <c r="N3" s="598">
        <f t="shared" si="8"/>
        <v>152773082.10472408</v>
      </c>
      <c r="O3" s="598">
        <f t="shared" si="8"/>
        <v>159285686.94731393</v>
      </c>
      <c r="P3" s="598">
        <f t="shared" si="8"/>
        <v>159993411.00070629</v>
      </c>
      <c r="Q3" s="598">
        <f t="shared" si="8"/>
        <v>160606312.48262131</v>
      </c>
      <c r="R3" s="598">
        <f t="shared" si="8"/>
        <v>161258677.99594796</v>
      </c>
      <c r="S3" s="598">
        <f t="shared" si="8"/>
        <v>161858343.01423773</v>
      </c>
      <c r="T3" s="598">
        <f t="shared" si="8"/>
        <v>162350083.63304862</v>
      </c>
      <c r="U3" s="598">
        <f t="shared" si="8"/>
        <v>162759029.77294216</v>
      </c>
      <c r="V3" s="598">
        <f t="shared" ref="V3:AB3" si="9">V4+V16+V17</f>
        <v>160612876.2067697</v>
      </c>
      <c r="W3" s="598">
        <f t="shared" si="9"/>
        <v>160612876.2067697</v>
      </c>
      <c r="X3" s="598">
        <f t="shared" si="9"/>
        <v>160612876.2067697</v>
      </c>
      <c r="Y3" s="598">
        <f t="shared" si="9"/>
        <v>160612876.2067697</v>
      </c>
      <c r="Z3" s="598">
        <f t="shared" si="9"/>
        <v>160612876.2067697</v>
      </c>
      <c r="AA3" s="598">
        <f t="shared" si="9"/>
        <v>160612876.2067697</v>
      </c>
      <c r="AB3" s="598">
        <f t="shared" si="9"/>
        <v>160612876.2067697</v>
      </c>
    </row>
    <row r="4" spans="2:29" s="457" customFormat="1">
      <c r="B4" s="593" t="s">
        <v>2837</v>
      </c>
      <c r="C4" s="610">
        <f>-SUM(Ucto_HK_summ!D692:D769)</f>
        <v>85404705.280000046</v>
      </c>
      <c r="D4" s="610">
        <f>-SUM(Ucto_HK_summ!E692:E769)</f>
        <v>90862180.170000017</v>
      </c>
      <c r="E4" s="610">
        <f>-SUM(Ucto_HK_summ!F692:F769)</f>
        <v>100520072.16999997</v>
      </c>
      <c r="F4" s="610">
        <f>-SUM(Ucto_HK_summ!G692:G769)</f>
        <v>106702458.69000004</v>
      </c>
      <c r="G4" s="611">
        <f>-SUM(Ucto_HK_summ!H692:H769)</f>
        <v>121758961.49000004</v>
      </c>
      <c r="H4" s="457">
        <f>SUM(H5:H15)</f>
        <v>128117372.37238145</v>
      </c>
      <c r="I4" s="457">
        <f t="shared" ref="I4:U4" si="10">SUM(I5:I15)</f>
        <v>127151359.41433172</v>
      </c>
      <c r="J4" s="457">
        <f t="shared" si="10"/>
        <v>131154696.06233785</v>
      </c>
      <c r="K4" s="457">
        <f t="shared" si="10"/>
        <v>138814747.84984282</v>
      </c>
      <c r="L4" s="457">
        <f t="shared" si="10"/>
        <v>144391248.37583879</v>
      </c>
      <c r="M4" s="457">
        <f t="shared" si="10"/>
        <v>145130183.15465778</v>
      </c>
      <c r="N4" s="457">
        <f t="shared" si="10"/>
        <v>149096413.20017558</v>
      </c>
      <c r="O4" s="457">
        <f t="shared" si="10"/>
        <v>155242939.03741932</v>
      </c>
      <c r="P4" s="457">
        <f t="shared" si="10"/>
        <v>155679132.87232322</v>
      </c>
      <c r="Q4" s="457">
        <f t="shared" si="10"/>
        <v>156021090.88809776</v>
      </c>
      <c r="R4" s="457">
        <f t="shared" si="10"/>
        <v>156400472.88444468</v>
      </c>
      <c r="S4" s="457">
        <f t="shared" si="10"/>
        <v>156727201.27883473</v>
      </c>
      <c r="T4" s="457">
        <f t="shared" si="10"/>
        <v>156947762.73340392</v>
      </c>
      <c r="U4" s="457">
        <f t="shared" si="10"/>
        <v>157087110.94263026</v>
      </c>
      <c r="V4" s="457">
        <f t="shared" ref="V4:AB4" si="11">SUM(V5:V15)</f>
        <v>157087110.94263026</v>
      </c>
      <c r="W4" s="457">
        <f t="shared" si="11"/>
        <v>157087110.94263026</v>
      </c>
      <c r="X4" s="457">
        <f t="shared" si="11"/>
        <v>157087110.94263026</v>
      </c>
      <c r="Y4" s="457">
        <f t="shared" si="11"/>
        <v>157087110.94263026</v>
      </c>
      <c r="Z4" s="457">
        <f t="shared" si="11"/>
        <v>157087110.94263026</v>
      </c>
      <c r="AA4" s="457">
        <f t="shared" si="11"/>
        <v>157087110.94263026</v>
      </c>
      <c r="AB4" s="457">
        <f t="shared" si="11"/>
        <v>157087110.94263026</v>
      </c>
    </row>
    <row r="5" spans="2:29">
      <c r="B5" s="594" t="s">
        <v>2839</v>
      </c>
      <c r="C5" s="458">
        <f>-(Ucto_HK_summ!D692+Ucto_HK_summ!D718+Ucto_HK_summ!D743)-SUM(Ucto_HK_summ!D702+Ucto_HK_summ!D754+Ucto_HK_summ!D728)</f>
        <v>50662794.759999998</v>
      </c>
      <c r="D5" s="458">
        <f>-(Ucto_HK_summ!E692+Ucto_HK_summ!E718+Ucto_HK_summ!E743)-SUM(Ucto_HK_summ!E702+Ucto_HK_summ!E754+Ucto_HK_summ!E728)</f>
        <v>54155291.370000005</v>
      </c>
      <c r="E5" s="458">
        <f>-(Ucto_HK_summ!F692+Ucto_HK_summ!F718+Ucto_HK_summ!F743)-SUM(Ucto_HK_summ!F702+Ucto_HK_summ!F754+Ucto_HK_summ!F728)</f>
        <v>55093378.289999999</v>
      </c>
      <c r="F5" s="458">
        <f>-(Ucto_HK_summ!G692+Ucto_HK_summ!G718+Ucto_HK_summ!G743)-SUM(Ucto_HK_summ!G702+Ucto_HK_summ!G754+Ucto_HK_summ!G728)</f>
        <v>61753343.170000002</v>
      </c>
      <c r="G5" s="607">
        <f>-(Ucto_HK_summ!H692+Ucto_HK_summ!H718+Ucto_HK_summ!H743)-SUM(Ucto_HK_summ!H702+Ucto_HK_summ!H754+Ucto_HK_summ!H728)</f>
        <v>72317008.75</v>
      </c>
      <c r="H5" s="69">
        <f t="shared" ref="H5:AB5" si="12">H56*H88</f>
        <v>72336072.477030277</v>
      </c>
      <c r="I5" s="69">
        <f t="shared" si="12"/>
        <v>71594478.952729017</v>
      </c>
      <c r="J5" s="69">
        <f t="shared" si="12"/>
        <v>73663075.801033065</v>
      </c>
      <c r="K5" s="69">
        <f t="shared" si="12"/>
        <v>77779066.441313595</v>
      </c>
      <c r="L5" s="69">
        <f t="shared" si="12"/>
        <v>80698996.702621758</v>
      </c>
      <c r="M5" s="69">
        <f t="shared" si="12"/>
        <v>80888824.836880833</v>
      </c>
      <c r="N5" s="69">
        <f t="shared" si="12"/>
        <v>82878739.263182461</v>
      </c>
      <c r="O5" s="69">
        <f t="shared" si="12"/>
        <v>86069869.698282838</v>
      </c>
      <c r="P5" s="69">
        <f t="shared" si="12"/>
        <v>86066549.612389416</v>
      </c>
      <c r="Q5" s="69">
        <f t="shared" si="12"/>
        <v>86008105.115530625</v>
      </c>
      <c r="R5" s="69">
        <f t="shared" si="12"/>
        <v>85967710.420515388</v>
      </c>
      <c r="S5" s="69">
        <f t="shared" si="12"/>
        <v>85895534.879505038</v>
      </c>
      <c r="T5" s="69">
        <f t="shared" si="12"/>
        <v>85762416.736769423</v>
      </c>
      <c r="U5" s="69">
        <f t="shared" si="12"/>
        <v>85582519.652464315</v>
      </c>
      <c r="V5" s="69">
        <f t="shared" si="12"/>
        <v>85582519.652464315</v>
      </c>
      <c r="W5" s="69">
        <f t="shared" si="12"/>
        <v>85582519.652464315</v>
      </c>
      <c r="X5" s="69">
        <f t="shared" si="12"/>
        <v>85582519.652464315</v>
      </c>
      <c r="Y5" s="69">
        <f t="shared" si="12"/>
        <v>85582519.652464315</v>
      </c>
      <c r="Z5" s="69">
        <f t="shared" si="12"/>
        <v>85582519.652464315</v>
      </c>
      <c r="AA5" s="69">
        <f t="shared" si="12"/>
        <v>85582519.652464315</v>
      </c>
      <c r="AB5" s="69">
        <f t="shared" si="12"/>
        <v>85582519.652464315</v>
      </c>
      <c r="AC5" s="457"/>
    </row>
    <row r="6" spans="2:29">
      <c r="B6" s="594" t="s">
        <v>2823</v>
      </c>
      <c r="C6" s="458">
        <f>-(Ucto_HK_summ!D693+Ucto_HK_summ!D696+Ucto_HK_summ!D713+Ucto_HK_summ!D714+Ucto_HK_summ!D719+Ucto_HK_summ!D721+Ucto_HK_summ!D738+Ucto_HK_summ!D739+Ucto_HK_summ!D744+Ucto_HK_summ!D748)</f>
        <v>3014023.87</v>
      </c>
      <c r="D6" s="458">
        <f>-(Ucto_HK_summ!E693+Ucto_HK_summ!E696+Ucto_HK_summ!E713+Ucto_HK_summ!E714+Ucto_HK_summ!E719+Ucto_HK_summ!E721+Ucto_HK_summ!E738+Ucto_HK_summ!E739+Ucto_HK_summ!E744+Ucto_HK_summ!E748)</f>
        <v>2511468.35</v>
      </c>
      <c r="E6" s="458">
        <f>-(Ucto_HK_summ!F693+Ucto_HK_summ!F696+Ucto_HK_summ!F713+Ucto_HK_summ!F714+Ucto_HK_summ!F719+Ucto_HK_summ!F721+Ucto_HK_summ!F738+Ucto_HK_summ!F739+Ucto_HK_summ!F744+Ucto_HK_summ!F748)</f>
        <v>2418607.4700000002</v>
      </c>
      <c r="F6" s="458">
        <f>-(Ucto_HK_summ!G693+Ucto_HK_summ!G696+Ucto_HK_summ!G713+Ucto_HK_summ!G714+Ucto_HK_summ!G719+Ucto_HK_summ!G721+Ucto_HK_summ!G738+Ucto_HK_summ!G739+Ucto_HK_summ!G744+Ucto_HK_summ!G748)</f>
        <v>1911977.92</v>
      </c>
      <c r="G6" s="607">
        <f>-(Ucto_HK_summ!H693+Ucto_HK_summ!H696+Ucto_HK_summ!H713+Ucto_HK_summ!H714+Ucto_HK_summ!H719+Ucto_HK_summ!H721+Ucto_HK_summ!H738+Ucto_HK_summ!H739+Ucto_HK_summ!H744+Ucto_HK_summ!H748)</f>
        <v>1595269.98</v>
      </c>
      <c r="H6" s="69">
        <f>H69*H89</f>
        <v>2857592.3436642741</v>
      </c>
      <c r="I6" s="69">
        <f t="shared" ref="I6:U6" si="13">I69*I89</f>
        <v>2946351.2369957785</v>
      </c>
      <c r="J6" s="69">
        <f t="shared" si="13"/>
        <v>3154338.3272934943</v>
      </c>
      <c r="K6" s="69">
        <f t="shared" si="13"/>
        <v>3461806.5150920381</v>
      </c>
      <c r="L6" s="69">
        <f t="shared" si="13"/>
        <v>3729487.6516390783</v>
      </c>
      <c r="M6" s="69">
        <f t="shared" si="13"/>
        <v>3877913.660956406</v>
      </c>
      <c r="N6" s="69">
        <f t="shared" si="13"/>
        <v>4118078.8588066222</v>
      </c>
      <c r="O6" s="69">
        <f t="shared" si="13"/>
        <v>4428752.7921483871</v>
      </c>
      <c r="P6" s="69">
        <f t="shared" si="13"/>
        <v>4582493.472144424</v>
      </c>
      <c r="Q6" s="69">
        <f t="shared" si="13"/>
        <v>4735024.0687428638</v>
      </c>
      <c r="R6" s="69">
        <f t="shared" si="13"/>
        <v>4890237.067591629</v>
      </c>
      <c r="S6" s="69">
        <f t="shared" si="13"/>
        <v>5045335.8712788662</v>
      </c>
      <c r="T6" s="69">
        <f t="shared" si="13"/>
        <v>5198405.9485493302</v>
      </c>
      <c r="U6" s="69">
        <f t="shared" si="13"/>
        <v>5350016.0722804684</v>
      </c>
      <c r="V6" s="69">
        <f t="shared" ref="V6:AB6" si="14">V69*V89</f>
        <v>5350016.0722804684</v>
      </c>
      <c r="W6" s="69">
        <f t="shared" si="14"/>
        <v>5350016.0722804684</v>
      </c>
      <c r="X6" s="69">
        <f t="shared" si="14"/>
        <v>5350016.0722804684</v>
      </c>
      <c r="Y6" s="69">
        <f t="shared" si="14"/>
        <v>5350016.0722804684</v>
      </c>
      <c r="Z6" s="69">
        <f t="shared" si="14"/>
        <v>5350016.0722804684</v>
      </c>
      <c r="AA6" s="69">
        <f t="shared" si="14"/>
        <v>5350016.0722804684</v>
      </c>
      <c r="AB6" s="69">
        <f t="shared" si="14"/>
        <v>5350016.0722804684</v>
      </c>
      <c r="AC6" s="457"/>
    </row>
    <row r="7" spans="2:29">
      <c r="B7" s="594" t="s">
        <v>2824</v>
      </c>
      <c r="C7" s="458">
        <f>-(Ucto_HK_summ!D697+Ucto_HK_summ!D698+Ucto_HK_summ!D723+Ucto_HK_summ!D724+Ucto_HK_summ!D749+Ucto_HK_summ!D750)</f>
        <v>4976702.7</v>
      </c>
      <c r="D7" s="458">
        <f>-(Ucto_HK_summ!E697+Ucto_HK_summ!E698+Ucto_HK_summ!E723+Ucto_HK_summ!E724+Ucto_HK_summ!E749+Ucto_HK_summ!E750)</f>
        <v>5329128.5</v>
      </c>
      <c r="E7" s="458">
        <f>-(Ucto_HK_summ!F697+Ucto_HK_summ!F698+Ucto_HK_summ!F723+Ucto_HK_summ!F724+Ucto_HK_summ!F749+Ucto_HK_summ!F750)</f>
        <v>6240939.9399999995</v>
      </c>
      <c r="F7" s="458">
        <f>-(Ucto_HK_summ!G697+Ucto_HK_summ!G698+Ucto_HK_summ!G723+Ucto_HK_summ!G724+Ucto_HK_summ!G749+Ucto_HK_summ!G750)</f>
        <v>8314690.3000000007</v>
      </c>
      <c r="G7" s="607">
        <f>-(Ucto_HK_summ!H697+Ucto_HK_summ!H698+Ucto_HK_summ!H723+Ucto_HK_summ!H724+Ucto_HK_summ!H749+Ucto_HK_summ!H750)</f>
        <v>8843158.2299999986</v>
      </c>
      <c r="H7" s="69">
        <f>H74*H91</f>
        <v>9412571.6731611099</v>
      </c>
      <c r="I7" s="69">
        <f t="shared" ref="I7:U7" si="15">I74*I91</f>
        <v>9369125.8766586967</v>
      </c>
      <c r="J7" s="69">
        <f t="shared" si="15"/>
        <v>9695040.8656413313</v>
      </c>
      <c r="K7" s="69">
        <f t="shared" si="15"/>
        <v>10295727.073616778</v>
      </c>
      <c r="L7" s="69">
        <f t="shared" si="15"/>
        <v>10744132.154160833</v>
      </c>
      <c r="M7" s="69">
        <f t="shared" si="15"/>
        <v>10832163.865895309</v>
      </c>
      <c r="N7" s="69">
        <f t="shared" si="15"/>
        <v>11163697.731533002</v>
      </c>
      <c r="O7" s="69">
        <f t="shared" si="15"/>
        <v>11661897.988203563</v>
      </c>
      <c r="P7" s="69">
        <f t="shared" si="15"/>
        <v>11730613.971967291</v>
      </c>
      <c r="Q7" s="69">
        <f t="shared" si="15"/>
        <v>11792591.828119295</v>
      </c>
      <c r="R7" s="69">
        <f t="shared" si="15"/>
        <v>11857803.377779724</v>
      </c>
      <c r="S7" s="69">
        <f t="shared" si="15"/>
        <v>11919392.394910786</v>
      </c>
      <c r="T7" s="69">
        <f t="shared" si="15"/>
        <v>11973221.606618255</v>
      </c>
      <c r="U7" s="69">
        <f t="shared" si="15"/>
        <v>12021138.182992632</v>
      </c>
      <c r="V7" s="69">
        <f t="shared" ref="V7:AB7" si="16">V74*V91</f>
        <v>12021138.182992632</v>
      </c>
      <c r="W7" s="69">
        <f t="shared" si="16"/>
        <v>12021138.182992632</v>
      </c>
      <c r="X7" s="69">
        <f t="shared" si="16"/>
        <v>12021138.182992632</v>
      </c>
      <c r="Y7" s="69">
        <f t="shared" si="16"/>
        <v>12021138.182992632</v>
      </c>
      <c r="Z7" s="69">
        <f t="shared" si="16"/>
        <v>12021138.182992632</v>
      </c>
      <c r="AA7" s="69">
        <f t="shared" si="16"/>
        <v>12021138.182992632</v>
      </c>
      <c r="AB7" s="69">
        <f t="shared" si="16"/>
        <v>12021138.182992632</v>
      </c>
      <c r="AC7" s="457"/>
    </row>
    <row r="8" spans="2:29">
      <c r="B8" s="594" t="s">
        <v>2825</v>
      </c>
      <c r="C8" s="458">
        <f>-(Ucto_HK_summ!D699+Ucto_HK_summ!D725+Ucto_HK_summ!D751)</f>
        <v>288874.31</v>
      </c>
      <c r="D8" s="458">
        <f>-(Ucto_HK_summ!E699+Ucto_HK_summ!E725+Ucto_HK_summ!E751)</f>
        <v>210225.91</v>
      </c>
      <c r="E8" s="458">
        <f>-(Ucto_HK_summ!F699+Ucto_HK_summ!F725+Ucto_HK_summ!F751)</f>
        <v>153734.39000000001</v>
      </c>
      <c r="F8" s="458">
        <f>-(Ucto_HK_summ!G699+Ucto_HK_summ!G725+Ucto_HK_summ!G751)</f>
        <v>142811.92000000001</v>
      </c>
      <c r="G8" s="607">
        <f>-(Ucto_HK_summ!H699+Ucto_HK_summ!H725+Ucto_HK_summ!H751)</f>
        <v>145163.93</v>
      </c>
      <c r="H8" s="69">
        <f t="shared" ref="H8:AB8" si="17">G8*(1+H98)</f>
        <v>145163.93</v>
      </c>
      <c r="I8" s="69">
        <f t="shared" si="17"/>
        <v>145163.93</v>
      </c>
      <c r="J8" s="69">
        <f t="shared" si="17"/>
        <v>145163.93</v>
      </c>
      <c r="K8" s="69">
        <f t="shared" si="17"/>
        <v>145163.93</v>
      </c>
      <c r="L8" s="69">
        <f t="shared" si="17"/>
        <v>145163.93</v>
      </c>
      <c r="M8" s="69">
        <f t="shared" si="17"/>
        <v>145163.93</v>
      </c>
      <c r="N8" s="69">
        <f t="shared" si="17"/>
        <v>145163.93</v>
      </c>
      <c r="O8" s="69">
        <f t="shared" si="17"/>
        <v>145163.93</v>
      </c>
      <c r="P8" s="69">
        <f t="shared" si="17"/>
        <v>145163.93</v>
      </c>
      <c r="Q8" s="69">
        <f t="shared" si="17"/>
        <v>145163.93</v>
      </c>
      <c r="R8" s="69">
        <f t="shared" si="17"/>
        <v>145163.93</v>
      </c>
      <c r="S8" s="69">
        <f t="shared" si="17"/>
        <v>145163.93</v>
      </c>
      <c r="T8" s="69">
        <f t="shared" si="17"/>
        <v>145163.93</v>
      </c>
      <c r="U8" s="69">
        <f t="shared" si="17"/>
        <v>145163.93</v>
      </c>
      <c r="V8" s="69">
        <f t="shared" si="17"/>
        <v>145163.93</v>
      </c>
      <c r="W8" s="69">
        <f t="shared" si="17"/>
        <v>145163.93</v>
      </c>
      <c r="X8" s="69">
        <f t="shared" si="17"/>
        <v>145163.93</v>
      </c>
      <c r="Y8" s="69">
        <f t="shared" si="17"/>
        <v>145163.93</v>
      </c>
      <c r="Z8" s="69">
        <f t="shared" si="17"/>
        <v>145163.93</v>
      </c>
      <c r="AA8" s="69">
        <f t="shared" si="17"/>
        <v>145163.93</v>
      </c>
      <c r="AB8" s="69">
        <f t="shared" si="17"/>
        <v>145163.93</v>
      </c>
      <c r="AC8" s="457"/>
    </row>
    <row r="9" spans="2:29">
      <c r="B9" s="594" t="s">
        <v>2826</v>
      </c>
      <c r="C9" s="458">
        <f>-(Ucto_HK_summ!D700+Ucto_HK_summ!D726+Ucto_HK_summ!D752)</f>
        <v>686131.66</v>
      </c>
      <c r="D9" s="458">
        <f>-(Ucto_HK_summ!E700+Ucto_HK_summ!E726+Ucto_HK_summ!E752)</f>
        <v>730338.22</v>
      </c>
      <c r="E9" s="458">
        <f>-(Ucto_HK_summ!F700+Ucto_HK_summ!F726+Ucto_HK_summ!F752)</f>
        <v>732250.22</v>
      </c>
      <c r="F9" s="458">
        <f>-(Ucto_HK_summ!G700+Ucto_HK_summ!G726+Ucto_HK_summ!G752)</f>
        <v>634793.66</v>
      </c>
      <c r="G9" s="607">
        <f>-(Ucto_HK_summ!H700+Ucto_HK_summ!H726+Ucto_HK_summ!H752)</f>
        <v>665365.01</v>
      </c>
      <c r="H9" s="69">
        <f t="shared" ref="H9:AB9" si="18">G9*(1+H97)</f>
        <v>665365.01</v>
      </c>
      <c r="I9" s="69">
        <f t="shared" si="18"/>
        <v>665365.01</v>
      </c>
      <c r="J9" s="69">
        <f t="shared" si="18"/>
        <v>665365.01</v>
      </c>
      <c r="K9" s="69">
        <f t="shared" si="18"/>
        <v>665365.01</v>
      </c>
      <c r="L9" s="69">
        <f t="shared" si="18"/>
        <v>665365.01</v>
      </c>
      <c r="M9" s="69">
        <f t="shared" si="18"/>
        <v>665365.01</v>
      </c>
      <c r="N9" s="69">
        <f t="shared" si="18"/>
        <v>665365.01</v>
      </c>
      <c r="O9" s="69">
        <f t="shared" si="18"/>
        <v>665365.01</v>
      </c>
      <c r="P9" s="69">
        <f t="shared" si="18"/>
        <v>665365.01</v>
      </c>
      <c r="Q9" s="69">
        <f t="shared" si="18"/>
        <v>665365.01</v>
      </c>
      <c r="R9" s="69">
        <f t="shared" si="18"/>
        <v>665365.01</v>
      </c>
      <c r="S9" s="69">
        <f t="shared" si="18"/>
        <v>665365.01</v>
      </c>
      <c r="T9" s="69">
        <f t="shared" si="18"/>
        <v>665365.01</v>
      </c>
      <c r="U9" s="69">
        <f t="shared" si="18"/>
        <v>665365.01</v>
      </c>
      <c r="V9" s="69">
        <f t="shared" si="18"/>
        <v>665365.01</v>
      </c>
      <c r="W9" s="69">
        <f t="shared" si="18"/>
        <v>665365.01</v>
      </c>
      <c r="X9" s="69">
        <f t="shared" si="18"/>
        <v>665365.01</v>
      </c>
      <c r="Y9" s="69">
        <f t="shared" si="18"/>
        <v>665365.01</v>
      </c>
      <c r="Z9" s="69">
        <f t="shared" si="18"/>
        <v>665365.01</v>
      </c>
      <c r="AA9" s="69">
        <f t="shared" si="18"/>
        <v>665365.01</v>
      </c>
      <c r="AB9" s="69">
        <f t="shared" si="18"/>
        <v>665365.01</v>
      </c>
      <c r="AC9" s="457"/>
    </row>
    <row r="10" spans="2:29">
      <c r="B10" s="594" t="s">
        <v>2827</v>
      </c>
      <c r="C10" s="458">
        <f>-SUM(Ucto_HK_summ!D703:D704,Ucto_HK_summ!D729:D730,Ucto_HK_summ!D755:D756)</f>
        <v>10986534.77</v>
      </c>
      <c r="D10" s="458">
        <f>-SUM(Ucto_HK_summ!E703:E704,Ucto_HK_summ!E729:E730,Ucto_HK_summ!E755:E756)</f>
        <v>12459451.75</v>
      </c>
      <c r="E10" s="458">
        <f>-SUM(Ucto_HK_summ!F703:F704,Ucto_HK_summ!F729:F730,Ucto_HK_summ!F755:F756)</f>
        <v>11703576.99</v>
      </c>
      <c r="F10" s="458">
        <f>-SUM(Ucto_HK_summ!G703:G704,Ucto_HK_summ!G729:G730,Ucto_HK_summ!G755:G756)</f>
        <v>11116342.190000001</v>
      </c>
      <c r="G10" s="607">
        <f>-SUM(Ucto_HK_summ!H703:H704,Ucto_HK_summ!H729:H730,Ucto_HK_summ!H755:H756)</f>
        <v>14096753.570000002</v>
      </c>
      <c r="H10" s="69">
        <f>H75*H90</f>
        <v>15004447.493247533</v>
      </c>
      <c r="I10" s="69">
        <f t="shared" ref="I10:U10" si="19">I75*I90</f>
        <v>14935191.162984302</v>
      </c>
      <c r="J10" s="69">
        <f t="shared" si="19"/>
        <v>15454727.641351432</v>
      </c>
      <c r="K10" s="69">
        <f t="shared" si="19"/>
        <v>16412273.03706778</v>
      </c>
      <c r="L10" s="69">
        <f t="shared" si="19"/>
        <v>17127069.239460912</v>
      </c>
      <c r="M10" s="69">
        <f t="shared" si="19"/>
        <v>17267399.347143058</v>
      </c>
      <c r="N10" s="69">
        <f t="shared" si="19"/>
        <v>17795892.797384541</v>
      </c>
      <c r="O10" s="69">
        <f t="shared" si="19"/>
        <v>18590066.78637531</v>
      </c>
      <c r="P10" s="69">
        <f t="shared" si="19"/>
        <v>18699605.965053715</v>
      </c>
      <c r="Q10" s="69">
        <f t="shared" si="19"/>
        <v>18798403.989724107</v>
      </c>
      <c r="R10" s="69">
        <f t="shared" si="19"/>
        <v>18902356.79952031</v>
      </c>
      <c r="S10" s="69">
        <f t="shared" si="19"/>
        <v>19000534.981402177</v>
      </c>
      <c r="T10" s="69">
        <f t="shared" si="19"/>
        <v>19086343.367113661</v>
      </c>
      <c r="U10" s="69">
        <f t="shared" si="19"/>
        <v>19162726.504393302</v>
      </c>
      <c r="V10" s="69">
        <f t="shared" ref="V10:AB10" si="20">V75*V90</f>
        <v>19162726.504393302</v>
      </c>
      <c r="W10" s="69">
        <f t="shared" si="20"/>
        <v>19162726.504393302</v>
      </c>
      <c r="X10" s="69">
        <f t="shared" si="20"/>
        <v>19162726.504393302</v>
      </c>
      <c r="Y10" s="69">
        <f t="shared" si="20"/>
        <v>19162726.504393302</v>
      </c>
      <c r="Z10" s="69">
        <f t="shared" si="20"/>
        <v>19162726.504393302</v>
      </c>
      <c r="AA10" s="69">
        <f t="shared" si="20"/>
        <v>19162726.504393302</v>
      </c>
      <c r="AB10" s="69">
        <f t="shared" si="20"/>
        <v>19162726.504393302</v>
      </c>
      <c r="AC10" s="457"/>
    </row>
    <row r="11" spans="2:29">
      <c r="B11" s="594" t="s">
        <v>1180</v>
      </c>
      <c r="C11" s="458">
        <f>-SUM(Ucto_HK_summ!D708:D711,Ucto_HK_summ!D735:D736,Ucto_HK_summ!D761:D763)</f>
        <v>3759084.5100000002</v>
      </c>
      <c r="D11" s="458">
        <f>-SUM(Ucto_HK_summ!E708:E711,Ucto_HK_summ!E735:E736,Ucto_HK_summ!E761:E763)</f>
        <v>5260319.33</v>
      </c>
      <c r="E11" s="458">
        <f>-SUM(Ucto_HK_summ!F708:F711,Ucto_HK_summ!F735:F736,Ucto_HK_summ!F761:F763)</f>
        <v>7751300.5600000005</v>
      </c>
      <c r="F11" s="458">
        <f>-SUM(Ucto_HK_summ!G708:G711,Ucto_HK_summ!G735:G736,Ucto_HK_summ!G761:G763)</f>
        <v>5844649.04</v>
      </c>
      <c r="G11" s="607">
        <f>-SUM(Ucto_HK_summ!H708:H711,Ucto_HK_summ!H735:H736,Ucto_HK_summ!H761:H763)</f>
        <v>6314840.1800000006</v>
      </c>
      <c r="H11" s="69">
        <f t="shared" ref="H11:AB11" si="21">SUM(H$5:H$6)*H110</f>
        <v>6663650.0751126623</v>
      </c>
      <c r="I11" s="69">
        <f t="shared" si="21"/>
        <v>6605795.9786529224</v>
      </c>
      <c r="J11" s="69">
        <f t="shared" si="21"/>
        <v>6807546.4687991198</v>
      </c>
      <c r="K11" s="69">
        <f t="shared" si="21"/>
        <v>7199552.6547228377</v>
      </c>
      <c r="L11" s="69">
        <f t="shared" si="21"/>
        <v>7482038.2468455108</v>
      </c>
      <c r="M11" s="69">
        <f t="shared" si="21"/>
        <v>7512014.2728129243</v>
      </c>
      <c r="N11" s="69">
        <f t="shared" si="21"/>
        <v>7709643.5583441276</v>
      </c>
      <c r="O11" s="69">
        <f t="shared" si="21"/>
        <v>8019972.8792841695</v>
      </c>
      <c r="P11" s="69">
        <f t="shared" si="21"/>
        <v>8033303.1273254193</v>
      </c>
      <c r="Q11" s="69">
        <f t="shared" si="21"/>
        <v>8041641.0218420932</v>
      </c>
      <c r="R11" s="69">
        <f t="shared" si="21"/>
        <v>8051816.2008387428</v>
      </c>
      <c r="S11" s="69">
        <f t="shared" si="21"/>
        <v>8059164.84659079</v>
      </c>
      <c r="T11" s="69">
        <f t="shared" si="21"/>
        <v>8060932.9837121656</v>
      </c>
      <c r="U11" s="69">
        <f t="shared" si="21"/>
        <v>8058426.1979689393</v>
      </c>
      <c r="V11" s="69">
        <f t="shared" si="21"/>
        <v>8058426.1979689393</v>
      </c>
      <c r="W11" s="69">
        <f t="shared" si="21"/>
        <v>8058426.1979689393</v>
      </c>
      <c r="X11" s="69">
        <f t="shared" si="21"/>
        <v>8058426.1979689393</v>
      </c>
      <c r="Y11" s="69">
        <f t="shared" si="21"/>
        <v>8058426.1979689393</v>
      </c>
      <c r="Z11" s="69">
        <f t="shared" si="21"/>
        <v>8058426.1979689393</v>
      </c>
      <c r="AA11" s="69">
        <f t="shared" si="21"/>
        <v>8058426.1979689393</v>
      </c>
      <c r="AB11" s="69">
        <f t="shared" si="21"/>
        <v>8058426.1979689393</v>
      </c>
      <c r="AC11" s="457"/>
    </row>
    <row r="12" spans="2:29">
      <c r="B12" s="594" t="s">
        <v>1172</v>
      </c>
      <c r="C12" s="458">
        <f>-SUM(Ucto_HK_summ!D705:D707,Ucto_HK_summ!D731:D733,Ucto_HK_summ!D758:D759)</f>
        <v>1878317.5799999998</v>
      </c>
      <c r="D12" s="458">
        <f>-SUM(Ucto_HK_summ!E705:E707,Ucto_HK_summ!E731:E733,Ucto_HK_summ!E758:E759)</f>
        <v>2001585.6900000002</v>
      </c>
      <c r="E12" s="458">
        <f>-SUM(Ucto_HK_summ!F705:F707,Ucto_HK_summ!F731:F733,Ucto_HK_summ!F758:F759)</f>
        <v>2142621.84</v>
      </c>
      <c r="F12" s="458">
        <f>-SUM(Ucto_HK_summ!G705:G707,Ucto_HK_summ!G731:G733,Ucto_HK_summ!G758:G759)</f>
        <v>1663458.2500000002</v>
      </c>
      <c r="G12" s="607">
        <f>-SUM(Ucto_HK_summ!H705:H707,Ucto_HK_summ!H731:H733,Ucto_HK_summ!H758:H759)</f>
        <v>1729932.2899999998</v>
      </c>
      <c r="H12" s="69">
        <f t="shared" ref="H12:AB12" si="22">SUM(H$5:H$6)*H111</f>
        <v>1862298.0792064152</v>
      </c>
      <c r="I12" s="69">
        <f t="shared" si="22"/>
        <v>1846129.5272121278</v>
      </c>
      <c r="J12" s="69">
        <f t="shared" si="22"/>
        <v>1902512.9726276442</v>
      </c>
      <c r="K12" s="69">
        <f t="shared" si="22"/>
        <v>2012067.3998340322</v>
      </c>
      <c r="L12" s="69">
        <f t="shared" si="22"/>
        <v>2091013.9786134781</v>
      </c>
      <c r="M12" s="69">
        <f t="shared" si="22"/>
        <v>2099391.4136456456</v>
      </c>
      <c r="N12" s="69">
        <f t="shared" si="22"/>
        <v>2154623.101187923</v>
      </c>
      <c r="O12" s="69">
        <f t="shared" si="22"/>
        <v>2241351.1994214277</v>
      </c>
      <c r="P12" s="69">
        <f t="shared" si="22"/>
        <v>2245076.6194303925</v>
      </c>
      <c r="Q12" s="69">
        <f t="shared" si="22"/>
        <v>2247406.8205616046</v>
      </c>
      <c r="R12" s="69">
        <f t="shared" si="22"/>
        <v>2250250.4897350222</v>
      </c>
      <c r="S12" s="69">
        <f t="shared" si="22"/>
        <v>2252304.2243571207</v>
      </c>
      <c r="T12" s="69">
        <f t="shared" si="22"/>
        <v>2252798.3677061554</v>
      </c>
      <c r="U12" s="69">
        <f t="shared" si="22"/>
        <v>2252097.7933629695</v>
      </c>
      <c r="V12" s="69">
        <f t="shared" si="22"/>
        <v>2252097.7933629695</v>
      </c>
      <c r="W12" s="69">
        <f t="shared" si="22"/>
        <v>2252097.7933629695</v>
      </c>
      <c r="X12" s="69">
        <f t="shared" si="22"/>
        <v>2252097.7933629695</v>
      </c>
      <c r="Y12" s="69">
        <f t="shared" si="22"/>
        <v>2252097.7933629695</v>
      </c>
      <c r="Z12" s="69">
        <f t="shared" si="22"/>
        <v>2252097.7933629695</v>
      </c>
      <c r="AA12" s="69">
        <f t="shared" si="22"/>
        <v>2252097.7933629695</v>
      </c>
      <c r="AB12" s="69">
        <f t="shared" si="22"/>
        <v>2252097.7933629695</v>
      </c>
      <c r="AC12" s="457"/>
    </row>
    <row r="13" spans="2:29">
      <c r="B13" s="594" t="s">
        <v>1173</v>
      </c>
      <c r="C13" s="458">
        <f>-SUM(Ucto_HK_summ!D712:D715,Ucto_HK_summ!D737:D740,Ucto_HK_summ!D764:D767)</f>
        <v>6693327.0700000003</v>
      </c>
      <c r="D13" s="458">
        <f>-SUM(Ucto_HK_summ!E712:E715,Ucto_HK_summ!E737:E740,Ucto_HK_summ!E764:E767)</f>
        <v>6514091.75</v>
      </c>
      <c r="E13" s="458">
        <f>-SUM(Ucto_HK_summ!F712:F715,Ucto_HK_summ!F737:F740,Ucto_HK_summ!F764:F767)</f>
        <v>6576496.5300000003</v>
      </c>
      <c r="F13" s="458">
        <f>-SUM(Ucto_HK_summ!G712:G715,Ucto_HK_summ!G737:G740,Ucto_HK_summ!G764:G767)</f>
        <v>5332807.8899999997</v>
      </c>
      <c r="G13" s="607">
        <f>-SUM(Ucto_HK_summ!H712:H715,Ucto_HK_summ!H737:H740,Ucto_HK_summ!H764:H767)</f>
        <v>5367031.4800000004</v>
      </c>
      <c r="H13" s="69">
        <f t="shared" ref="H13:AB13" si="23">SUM(H$5:H$6)*H112</f>
        <v>8621118.653695073</v>
      </c>
      <c r="I13" s="69">
        <f t="shared" si="23"/>
        <v>8546269.7308735512</v>
      </c>
      <c r="J13" s="69">
        <f t="shared" si="23"/>
        <v>8807285.0744744241</v>
      </c>
      <c r="K13" s="69">
        <f t="shared" si="23"/>
        <v>9314444.3346001413</v>
      </c>
      <c r="L13" s="69">
        <f t="shared" si="23"/>
        <v>9679910.9752847068</v>
      </c>
      <c r="M13" s="69">
        <f t="shared" si="23"/>
        <v>9718692.5550072808</v>
      </c>
      <c r="N13" s="69">
        <f t="shared" si="23"/>
        <v>9974376.0769216102</v>
      </c>
      <c r="O13" s="69">
        <f t="shared" si="23"/>
        <v>10375865.631053019</v>
      </c>
      <c r="P13" s="69">
        <f t="shared" si="23"/>
        <v>10393111.682203876</v>
      </c>
      <c r="Q13" s="69">
        <f t="shared" si="23"/>
        <v>10403898.859972814</v>
      </c>
      <c r="R13" s="69">
        <f t="shared" si="23"/>
        <v>10417063.030429531</v>
      </c>
      <c r="S13" s="69">
        <f t="shared" si="23"/>
        <v>10426570.364436908</v>
      </c>
      <c r="T13" s="69">
        <f t="shared" si="23"/>
        <v>10428857.897507757</v>
      </c>
      <c r="U13" s="69">
        <f t="shared" si="23"/>
        <v>10425614.735413687</v>
      </c>
      <c r="V13" s="69">
        <f t="shared" si="23"/>
        <v>10425614.735413687</v>
      </c>
      <c r="W13" s="69">
        <f t="shared" si="23"/>
        <v>10425614.735413687</v>
      </c>
      <c r="X13" s="69">
        <f t="shared" si="23"/>
        <v>10425614.735413687</v>
      </c>
      <c r="Y13" s="69">
        <f t="shared" si="23"/>
        <v>10425614.735413687</v>
      </c>
      <c r="Z13" s="69">
        <f t="shared" si="23"/>
        <v>10425614.735413687</v>
      </c>
      <c r="AA13" s="69">
        <f t="shared" si="23"/>
        <v>10425614.735413687</v>
      </c>
      <c r="AB13" s="69">
        <f t="shared" si="23"/>
        <v>10425614.735413687</v>
      </c>
      <c r="AC13" s="457"/>
    </row>
    <row r="14" spans="2:29">
      <c r="B14" s="594" t="s">
        <v>2840</v>
      </c>
      <c r="C14" s="458">
        <f>-SUM(Ucto_HK_summ!D716,Ucto_HK_summ!D741,Ucto_HK_summ!D768)</f>
        <v>1881640.0100000002</v>
      </c>
      <c r="D14" s="458">
        <f>-SUM(Ucto_HK_summ!E716,Ucto_HK_summ!E741,Ucto_HK_summ!E768)</f>
        <v>1475792.0799999998</v>
      </c>
      <c r="E14" s="458">
        <f>-SUM(Ucto_HK_summ!F716,Ucto_HK_summ!F741,Ucto_HK_summ!F768)</f>
        <v>7669598.5899999999</v>
      </c>
      <c r="F14" s="458">
        <f>-SUM(Ucto_HK_summ!G716,Ucto_HK_summ!G741,Ucto_HK_summ!G768)</f>
        <v>9837737.2999999989</v>
      </c>
      <c r="G14" s="607">
        <f>-SUM(Ucto_HK_summ!H716,Ucto_HK_summ!H741,Ucto_HK_summ!H768)</f>
        <v>10456762.280000001</v>
      </c>
      <c r="H14" s="69">
        <f t="shared" ref="H14:AB14" si="24">H113*H10</f>
        <v>9832728.0143726654</v>
      </c>
      <c r="I14" s="69">
        <f t="shared" si="24"/>
        <v>9787342.8937903587</v>
      </c>
      <c r="J14" s="69">
        <f t="shared" si="24"/>
        <v>10127806.005652888</v>
      </c>
      <c r="K14" s="69">
        <f t="shared" si="24"/>
        <v>10755305.514830476</v>
      </c>
      <c r="L14" s="69">
        <f t="shared" si="24"/>
        <v>11223726.404503429</v>
      </c>
      <c r="M14" s="69">
        <f t="shared" si="24"/>
        <v>11315687.656771274</v>
      </c>
      <c r="N14" s="69">
        <f t="shared" si="24"/>
        <v>11662020.459491301</v>
      </c>
      <c r="O14" s="69">
        <f t="shared" si="24"/>
        <v>12182459.271606835</v>
      </c>
      <c r="P14" s="69">
        <f t="shared" si="24"/>
        <v>12254242.58461101</v>
      </c>
      <c r="Q14" s="69">
        <f t="shared" si="24"/>
        <v>12318986.994918583</v>
      </c>
      <c r="R14" s="69">
        <f t="shared" si="24"/>
        <v>12387109.443646926</v>
      </c>
      <c r="S14" s="69">
        <f t="shared" si="24"/>
        <v>12451447.658021329</v>
      </c>
      <c r="T14" s="69">
        <f t="shared" si="24"/>
        <v>12507679.686453771</v>
      </c>
      <c r="U14" s="69">
        <f t="shared" si="24"/>
        <v>12557735.152614268</v>
      </c>
      <c r="V14" s="69">
        <f t="shared" si="24"/>
        <v>12557735.152614268</v>
      </c>
      <c r="W14" s="69">
        <f t="shared" si="24"/>
        <v>12557735.152614268</v>
      </c>
      <c r="X14" s="69">
        <f t="shared" si="24"/>
        <v>12557735.152614268</v>
      </c>
      <c r="Y14" s="69">
        <f t="shared" si="24"/>
        <v>12557735.152614268</v>
      </c>
      <c r="Z14" s="69">
        <f t="shared" si="24"/>
        <v>12557735.152614268</v>
      </c>
      <c r="AA14" s="69">
        <f t="shared" si="24"/>
        <v>12557735.152614268</v>
      </c>
      <c r="AB14" s="69">
        <f t="shared" si="24"/>
        <v>12557735.152614268</v>
      </c>
      <c r="AC14" s="457"/>
    </row>
    <row r="15" spans="2:29" s="70" customFormat="1">
      <c r="B15" s="595" t="s">
        <v>2832</v>
      </c>
      <c r="C15" s="458">
        <f>C4-SUM(C5:C14)</f>
        <v>577274.04000005126</v>
      </c>
      <c r="D15" s="458">
        <f t="shared" ref="D15:G15" si="25">D4-SUM(D5:D14)</f>
        <v>214487.22000002861</v>
      </c>
      <c r="E15" s="458">
        <f t="shared" si="25"/>
        <v>37567.349999964237</v>
      </c>
      <c r="F15" s="458">
        <f t="shared" si="25"/>
        <v>149847.05000004172</v>
      </c>
      <c r="G15" s="607">
        <f t="shared" si="25"/>
        <v>227675.78999999166</v>
      </c>
      <c r="H15" s="70">
        <f t="shared" ref="H15:AB15" si="26">SUM(H5:H6)*H101</f>
        <v>716364.62289142818</v>
      </c>
      <c r="I15" s="70">
        <f t="shared" si="26"/>
        <v>710145.1144349603</v>
      </c>
      <c r="J15" s="70">
        <f t="shared" si="26"/>
        <v>731833.96546444623</v>
      </c>
      <c r="K15" s="70">
        <f t="shared" si="26"/>
        <v>773975.93876510812</v>
      </c>
      <c r="L15" s="70">
        <f t="shared" si="26"/>
        <v>804344.08270907099</v>
      </c>
      <c r="M15" s="70">
        <f t="shared" si="26"/>
        <v>807566.60554503591</v>
      </c>
      <c r="N15" s="70">
        <f t="shared" si="26"/>
        <v>828812.41332396097</v>
      </c>
      <c r="O15" s="70">
        <f t="shared" si="26"/>
        <v>862173.85104375414</v>
      </c>
      <c r="P15" s="70">
        <f t="shared" si="26"/>
        <v>863606.89719766064</v>
      </c>
      <c r="Q15" s="70">
        <f t="shared" si="26"/>
        <v>864503.24868578173</v>
      </c>
      <c r="R15" s="70">
        <f t="shared" si="26"/>
        <v>865597.11438740534</v>
      </c>
      <c r="S15" s="70">
        <f t="shared" si="26"/>
        <v>866387.1183317285</v>
      </c>
      <c r="T15" s="70">
        <f t="shared" si="26"/>
        <v>866577.19897340343</v>
      </c>
      <c r="U15" s="70">
        <f t="shared" si="26"/>
        <v>866307.71113965265</v>
      </c>
      <c r="V15" s="70">
        <f t="shared" si="26"/>
        <v>866307.71113965265</v>
      </c>
      <c r="W15" s="70">
        <f t="shared" si="26"/>
        <v>866307.71113965265</v>
      </c>
      <c r="X15" s="70">
        <f t="shared" si="26"/>
        <v>866307.71113965265</v>
      </c>
      <c r="Y15" s="70">
        <f t="shared" si="26"/>
        <v>866307.71113965265</v>
      </c>
      <c r="Z15" s="70">
        <f t="shared" si="26"/>
        <v>866307.71113965265</v>
      </c>
      <c r="AA15" s="70">
        <f t="shared" si="26"/>
        <v>866307.71113965265</v>
      </c>
      <c r="AB15" s="70">
        <f t="shared" si="26"/>
        <v>866307.71113965265</v>
      </c>
      <c r="AC15" s="457"/>
    </row>
    <row r="16" spans="2:29" s="457" customFormat="1">
      <c r="B16" s="593" t="s">
        <v>2833</v>
      </c>
      <c r="C16" s="610">
        <f>-SUM(Ucto_HK_summ!D770:D783,Ucto_HK_summ!D789)</f>
        <v>1140608.98</v>
      </c>
      <c r="D16" s="610">
        <f>-SUM(Ucto_HK_summ!E770:E783,Ucto_HK_summ!E789)</f>
        <v>1205918.54</v>
      </c>
      <c r="E16" s="610">
        <f>-SUM(Ucto_HK_summ!F770:F783,Ucto_HK_summ!F789)</f>
        <v>1268033.4499999997</v>
      </c>
      <c r="F16" s="610">
        <f>-SUM(Ucto_HK_summ!G770:G783,Ucto_HK_summ!G789)</f>
        <v>1020028.4199999999</v>
      </c>
      <c r="G16" s="611">
        <f>-SUM(Ucto_HK_summ!H770:H783,Ucto_HK_summ!H789)</f>
        <v>1169458.5999999999</v>
      </c>
      <c r="H16" s="457">
        <f t="shared" ref="H16:AB16" si="27">G16*(1+H99)</f>
        <v>1169458.5999999999</v>
      </c>
      <c r="I16" s="457">
        <f t="shared" si="27"/>
        <v>1169458.5999999999</v>
      </c>
      <c r="J16" s="457">
        <f t="shared" si="27"/>
        <v>1169458.5999999999</v>
      </c>
      <c r="K16" s="457">
        <f t="shared" si="27"/>
        <v>1169458.5999999999</v>
      </c>
      <c r="L16" s="457">
        <f t="shared" si="27"/>
        <v>1169458.5999999999</v>
      </c>
      <c r="M16" s="457">
        <f t="shared" si="27"/>
        <v>1169458.5999999999</v>
      </c>
      <c r="N16" s="457">
        <f t="shared" si="27"/>
        <v>1169458.5999999999</v>
      </c>
      <c r="O16" s="457">
        <f t="shared" si="27"/>
        <v>1169458.5999999999</v>
      </c>
      <c r="P16" s="457">
        <f t="shared" si="27"/>
        <v>1169458.5999999999</v>
      </c>
      <c r="Q16" s="457">
        <f t="shared" si="27"/>
        <v>1169458.5999999999</v>
      </c>
      <c r="R16" s="457">
        <f t="shared" si="27"/>
        <v>1169458.5999999999</v>
      </c>
      <c r="S16" s="457">
        <f t="shared" si="27"/>
        <v>1169458.5999999999</v>
      </c>
      <c r="T16" s="457">
        <f t="shared" si="27"/>
        <v>1169458.5999999999</v>
      </c>
      <c r="U16" s="457">
        <f t="shared" si="27"/>
        <v>1169458.5999999999</v>
      </c>
      <c r="V16" s="457">
        <f t="shared" si="27"/>
        <v>1169458.5999999999</v>
      </c>
      <c r="W16" s="457">
        <f t="shared" si="27"/>
        <v>1169458.5999999999</v>
      </c>
      <c r="X16" s="457">
        <f t="shared" si="27"/>
        <v>1169458.5999999999</v>
      </c>
      <c r="Y16" s="457">
        <f t="shared" si="27"/>
        <v>1169458.5999999999</v>
      </c>
      <c r="Z16" s="457">
        <f t="shared" si="27"/>
        <v>1169458.5999999999</v>
      </c>
      <c r="AA16" s="457">
        <f t="shared" si="27"/>
        <v>1169458.5999999999</v>
      </c>
      <c r="AB16" s="457">
        <f t="shared" si="27"/>
        <v>1169458.5999999999</v>
      </c>
    </row>
    <row r="17" spans="2:29" s="457" customFormat="1">
      <c r="B17" s="596" t="s">
        <v>2834</v>
      </c>
      <c r="C17" s="612">
        <f>-SUM(Ucto_HK_summ!D784:D788,Ucto_HK_summ!D790:D792)</f>
        <v>681109.39</v>
      </c>
      <c r="D17" s="612">
        <f>-SUM(Ucto_HK_summ!E784:E788,Ucto_HK_summ!E790:E792)</f>
        <v>682682.34</v>
      </c>
      <c r="E17" s="612">
        <f>-SUM(Ucto_HK_summ!F784:F788,Ucto_HK_summ!F790:F792)</f>
        <v>669683.57000000007</v>
      </c>
      <c r="F17" s="612">
        <f>-SUM(Ucto_HK_summ!G784:G788,Ucto_HK_summ!G790:G792)</f>
        <v>508071.43000000005</v>
      </c>
      <c r="G17" s="613">
        <f>-SUM(Ucto_HK_summ!H784:H788,Ucto_HK_summ!H790:H792)</f>
        <v>704156.95000000007</v>
      </c>
      <c r="H17" s="597">
        <f t="shared" ref="H17:AB17" si="28">H100*H4</f>
        <v>853541.95890601515</v>
      </c>
      <c r="I17" s="597">
        <f t="shared" si="28"/>
        <v>1062285.4230600714</v>
      </c>
      <c r="J17" s="597">
        <f t="shared" si="28"/>
        <v>1317685.3809349032</v>
      </c>
      <c r="K17" s="597">
        <f t="shared" si="28"/>
        <v>1629561.6770507325</v>
      </c>
      <c r="L17" s="597">
        <f t="shared" si="28"/>
        <v>1939379.2537797629</v>
      </c>
      <c r="M17" s="597">
        <f t="shared" si="28"/>
        <v>2194909.1212188369</v>
      </c>
      <c r="N17" s="597">
        <f t="shared" si="28"/>
        <v>2507210.3045484913</v>
      </c>
      <c r="O17" s="597">
        <f t="shared" si="28"/>
        <v>2873289.3098946302</v>
      </c>
      <c r="P17" s="597">
        <f t="shared" si="28"/>
        <v>3144819.5283830762</v>
      </c>
      <c r="Q17" s="597">
        <f t="shared" si="28"/>
        <v>3415762.9945235406</v>
      </c>
      <c r="R17" s="597">
        <f t="shared" si="28"/>
        <v>3688746.5115032811</v>
      </c>
      <c r="S17" s="597">
        <f t="shared" si="28"/>
        <v>3961683.135403018</v>
      </c>
      <c r="T17" s="597">
        <f t="shared" si="28"/>
        <v>4232862.2996446947</v>
      </c>
      <c r="U17" s="597">
        <f t="shared" si="28"/>
        <v>4502460.2303118948</v>
      </c>
      <c r="V17" s="597">
        <f t="shared" si="28"/>
        <v>2356306.6641394538</v>
      </c>
      <c r="W17" s="597">
        <f t="shared" si="28"/>
        <v>2356306.6641394538</v>
      </c>
      <c r="X17" s="597">
        <f t="shared" si="28"/>
        <v>2356306.6641394538</v>
      </c>
      <c r="Y17" s="597">
        <f t="shared" si="28"/>
        <v>2356306.6641394538</v>
      </c>
      <c r="Z17" s="597">
        <f t="shared" si="28"/>
        <v>2356306.6641394538</v>
      </c>
      <c r="AA17" s="597">
        <f t="shared" si="28"/>
        <v>2356306.6641394538</v>
      </c>
      <c r="AB17" s="597">
        <f t="shared" si="28"/>
        <v>2356306.6641394538</v>
      </c>
    </row>
    <row r="18" spans="2:29" s="457" customFormat="1">
      <c r="B18" s="598" t="s">
        <v>2841</v>
      </c>
      <c r="C18" s="608">
        <f>SUM(C19:C22)</f>
        <v>4311042.6699999468</v>
      </c>
      <c r="D18" s="608">
        <f t="shared" ref="D18:U18" si="29">SUM(D19:D22)</f>
        <v>4007646.3199999877</v>
      </c>
      <c r="E18" s="608">
        <f t="shared" si="29"/>
        <v>3926525.7900000326</v>
      </c>
      <c r="F18" s="608">
        <f t="shared" si="29"/>
        <v>3114758.7799999509</v>
      </c>
      <c r="G18" s="609">
        <f t="shared" si="29"/>
        <v>3859522.1099999668</v>
      </c>
      <c r="H18" s="598">
        <f t="shared" si="29"/>
        <v>4058806.6904900894</v>
      </c>
      <c r="I18" s="598">
        <f t="shared" si="29"/>
        <v>4054014.0927486205</v>
      </c>
      <c r="J18" s="598">
        <f t="shared" si="29"/>
        <v>4072162.435145149</v>
      </c>
      <c r="K18" s="598">
        <f t="shared" si="29"/>
        <v>4091830.8013812639</v>
      </c>
      <c r="L18" s="598">
        <f t="shared" si="29"/>
        <v>4101146.3319896208</v>
      </c>
      <c r="M18" s="598">
        <f t="shared" si="29"/>
        <v>4089029.5604797518</v>
      </c>
      <c r="N18" s="598">
        <f t="shared" si="29"/>
        <v>4080114.1600690773</v>
      </c>
      <c r="O18" s="598">
        <f t="shared" si="29"/>
        <v>4090400.452023562</v>
      </c>
      <c r="P18" s="598">
        <f t="shared" si="29"/>
        <v>4077190.088399535</v>
      </c>
      <c r="Q18" s="598">
        <f t="shared" si="29"/>
        <v>4078193.6638278253</v>
      </c>
      <c r="R18" s="598">
        <f t="shared" si="29"/>
        <v>4079342.4359801291</v>
      </c>
      <c r="S18" s="598">
        <f t="shared" si="29"/>
        <v>4080277.6858805297</v>
      </c>
      <c r="T18" s="598">
        <f t="shared" si="29"/>
        <v>4080786.9445069153</v>
      </c>
      <c r="U18" s="598">
        <f t="shared" si="29"/>
        <v>4080970.1056542322</v>
      </c>
      <c r="V18" s="598">
        <f t="shared" ref="V18:AB18" si="30">SUM(V19:V22)</f>
        <v>4080970.1056542322</v>
      </c>
      <c r="W18" s="598">
        <f t="shared" si="30"/>
        <v>4080970.1056542322</v>
      </c>
      <c r="X18" s="598">
        <f t="shared" si="30"/>
        <v>4080970.1056542322</v>
      </c>
      <c r="Y18" s="598">
        <f t="shared" si="30"/>
        <v>4080970.1056542322</v>
      </c>
      <c r="Z18" s="598">
        <f t="shared" si="30"/>
        <v>4080970.1056542322</v>
      </c>
      <c r="AA18" s="598">
        <f t="shared" si="30"/>
        <v>4080970.1056542322</v>
      </c>
      <c r="AB18" s="598">
        <f t="shared" si="30"/>
        <v>4080970.1056542322</v>
      </c>
    </row>
    <row r="19" spans="2:29" s="552" customFormat="1">
      <c r="B19" s="552" t="s">
        <v>2835</v>
      </c>
      <c r="C19" s="458">
        <f>-SUM(Ucto_HK_summ!D793:D796)</f>
        <v>1975052.87</v>
      </c>
      <c r="D19" s="458">
        <f>-SUM(Ucto_HK_summ!E793:E796)</f>
        <v>1875839.3399999999</v>
      </c>
      <c r="E19" s="458">
        <f>-SUM(Ucto_HK_summ!F793:F796)</f>
        <v>1699993.51</v>
      </c>
      <c r="F19" s="458">
        <f>-SUM(Ucto_HK_summ!G793:G796)</f>
        <v>1558595.45</v>
      </c>
      <c r="G19" s="607">
        <f>-SUM(Ucto_HK_summ!H793:H796)</f>
        <v>2102520.69</v>
      </c>
      <c r="H19" s="552">
        <f t="shared" ref="H19:AB19" si="31">G19*(1+H102)</f>
        <v>2102520.69</v>
      </c>
      <c r="I19" s="552">
        <f t="shared" si="31"/>
        <v>2102520.69</v>
      </c>
      <c r="J19" s="552">
        <f t="shared" si="31"/>
        <v>2102520.69</v>
      </c>
      <c r="K19" s="552">
        <f t="shared" si="31"/>
        <v>2102520.69</v>
      </c>
      <c r="L19" s="552">
        <f t="shared" si="31"/>
        <v>2102520.69</v>
      </c>
      <c r="M19" s="552">
        <f t="shared" si="31"/>
        <v>2102520.69</v>
      </c>
      <c r="N19" s="552">
        <f t="shared" si="31"/>
        <v>2102520.69</v>
      </c>
      <c r="O19" s="552">
        <f t="shared" si="31"/>
        <v>2102520.69</v>
      </c>
      <c r="P19" s="552">
        <f t="shared" si="31"/>
        <v>2102520.69</v>
      </c>
      <c r="Q19" s="552">
        <f t="shared" si="31"/>
        <v>2102520.69</v>
      </c>
      <c r="R19" s="552">
        <f t="shared" si="31"/>
        <v>2102520.69</v>
      </c>
      <c r="S19" s="552">
        <f t="shared" si="31"/>
        <v>2102520.69</v>
      </c>
      <c r="T19" s="552">
        <f t="shared" si="31"/>
        <v>2102520.69</v>
      </c>
      <c r="U19" s="552">
        <f t="shared" si="31"/>
        <v>2102520.69</v>
      </c>
      <c r="V19" s="552">
        <f t="shared" si="31"/>
        <v>2102520.69</v>
      </c>
      <c r="W19" s="552">
        <f t="shared" si="31"/>
        <v>2102520.69</v>
      </c>
      <c r="X19" s="552">
        <f t="shared" si="31"/>
        <v>2102520.69</v>
      </c>
      <c r="Y19" s="552">
        <f t="shared" si="31"/>
        <v>2102520.69</v>
      </c>
      <c r="Z19" s="552">
        <f t="shared" si="31"/>
        <v>2102520.69</v>
      </c>
      <c r="AA19" s="552">
        <f t="shared" si="31"/>
        <v>2102520.69</v>
      </c>
      <c r="AB19" s="552">
        <f t="shared" si="31"/>
        <v>2102520.69</v>
      </c>
      <c r="AC19" s="457"/>
    </row>
    <row r="20" spans="2:29">
      <c r="B20" s="552" t="s">
        <v>2836</v>
      </c>
      <c r="C20" s="458">
        <f>-Ucto_HK_summ!D800</f>
        <v>490717.27</v>
      </c>
      <c r="D20" s="458">
        <f>-Ucto_HK_summ!E800</f>
        <v>494393.17</v>
      </c>
      <c r="E20" s="458">
        <f>-Ucto_HK_summ!F800</f>
        <v>512111.62</v>
      </c>
      <c r="F20" s="458">
        <f>-Ucto_HK_summ!G800</f>
        <v>376364</v>
      </c>
      <c r="G20" s="607">
        <f>-Ucto_HK_summ!H800</f>
        <v>572405.43999999994</v>
      </c>
      <c r="H20" s="69">
        <f>H103*'PL"A"'!I17</f>
        <v>771690.02049012191</v>
      </c>
      <c r="I20" s="69">
        <f>I103*'PL"A"'!J17</f>
        <v>766897.42274865333</v>
      </c>
      <c r="J20" s="69">
        <f>J103*'PL"A"'!K17</f>
        <v>785045.76514518191</v>
      </c>
      <c r="K20" s="69">
        <f>K103*'PL"A"'!L17</f>
        <v>804714.13138129667</v>
      </c>
      <c r="L20" s="69">
        <f>L103*'PL"A"'!M17</f>
        <v>814029.66198965337</v>
      </c>
      <c r="M20" s="69">
        <f>M103*'PL"A"'!N17</f>
        <v>801912.89047978446</v>
      </c>
      <c r="N20" s="69">
        <f>N103*'PL"A"'!O17</f>
        <v>792997.49006911041</v>
      </c>
      <c r="O20" s="69">
        <f>O103*'PL"A"'!P17</f>
        <v>803283.78202359506</v>
      </c>
      <c r="P20" s="69">
        <f>P103*'PL"A"'!Q17</f>
        <v>790073.41839956807</v>
      </c>
      <c r="Q20" s="69">
        <f>Q103*'PL"A"'!R17</f>
        <v>791076.99382785859</v>
      </c>
      <c r="R20" s="69">
        <f>R103*'PL"A"'!S17</f>
        <v>792225.76598016196</v>
      </c>
      <c r="S20" s="69">
        <f>S103*'PL"A"'!T17</f>
        <v>793161.0158805626</v>
      </c>
      <c r="T20" s="69">
        <f>T103*'PL"A"'!U17</f>
        <v>793670.27450694866</v>
      </c>
      <c r="U20" s="69">
        <f>U103*'PL"A"'!V17</f>
        <v>793853.43565426476</v>
      </c>
      <c r="V20" s="69">
        <f>V103*'PL"A"'!W17</f>
        <v>793853.43565426476</v>
      </c>
      <c r="W20" s="69">
        <f>W103*'PL"A"'!X17</f>
        <v>793853.43565426476</v>
      </c>
      <c r="X20" s="69">
        <f>X103*'PL"A"'!Y17</f>
        <v>793853.43565426476</v>
      </c>
      <c r="Y20" s="69">
        <f>Y103*'PL"A"'!Z17</f>
        <v>793853.43565426476</v>
      </c>
      <c r="Z20" s="69">
        <f>Z103*'PL"A"'!AA17</f>
        <v>793853.43565426476</v>
      </c>
      <c r="AA20" s="69">
        <f>AA103*'PL"A"'!AB17</f>
        <v>793853.43565426476</v>
      </c>
      <c r="AB20" s="69">
        <f>AB103*'PL"A"'!AC17</f>
        <v>793853.43565426476</v>
      </c>
      <c r="AC20" s="457"/>
    </row>
    <row r="21" spans="2:29">
      <c r="B21" s="552" t="s">
        <v>1933</v>
      </c>
      <c r="C21" s="458">
        <f>-Ucto_HK_summ!D811-C4-C22-SUM(C19:C20)-C16-C17</f>
        <v>-5.343463271856308E-8</v>
      </c>
      <c r="D21" s="458">
        <f>-Ucto_HK_summ!E811-D4-D22-SUM(D19:D20)-D16-D17</f>
        <v>-1.2223608791828156E-8</v>
      </c>
      <c r="E21" s="458">
        <f>-Ucto_HK_summ!F811-E4-E22-SUM(E19:E20)-E16-E17</f>
        <v>3.2363459467887878E-8</v>
      </c>
      <c r="F21" s="458">
        <f>-Ucto_HK_summ!G811-F4-F22-SUM(F19:F20)-F16-F17</f>
        <v>-4.9476511776447296E-8</v>
      </c>
      <c r="G21" s="607">
        <f>-Ucto_HK_summ!H811-G4-G22-SUM(G19:G20)-G16-G17</f>
        <v>-3.2712705433368683E-8</v>
      </c>
      <c r="H21" s="69">
        <f>G21</f>
        <v>-3.2712705433368683E-8</v>
      </c>
      <c r="I21" s="69">
        <f t="shared" ref="I21:U21" si="32">H21</f>
        <v>-3.2712705433368683E-8</v>
      </c>
      <c r="J21" s="69">
        <f t="shared" si="32"/>
        <v>-3.2712705433368683E-8</v>
      </c>
      <c r="K21" s="69">
        <f t="shared" si="32"/>
        <v>-3.2712705433368683E-8</v>
      </c>
      <c r="L21" s="69">
        <f t="shared" si="32"/>
        <v>-3.2712705433368683E-8</v>
      </c>
      <c r="M21" s="69">
        <f t="shared" si="32"/>
        <v>-3.2712705433368683E-8</v>
      </c>
      <c r="N21" s="69">
        <f t="shared" si="32"/>
        <v>-3.2712705433368683E-8</v>
      </c>
      <c r="O21" s="69">
        <f t="shared" si="32"/>
        <v>-3.2712705433368683E-8</v>
      </c>
      <c r="P21" s="69">
        <f t="shared" si="32"/>
        <v>-3.2712705433368683E-8</v>
      </c>
      <c r="Q21" s="69">
        <f t="shared" si="32"/>
        <v>-3.2712705433368683E-8</v>
      </c>
      <c r="R21" s="69">
        <f t="shared" si="32"/>
        <v>-3.2712705433368683E-8</v>
      </c>
      <c r="S21" s="69">
        <f t="shared" si="32"/>
        <v>-3.2712705433368683E-8</v>
      </c>
      <c r="T21" s="69">
        <f t="shared" si="32"/>
        <v>-3.2712705433368683E-8</v>
      </c>
      <c r="U21" s="69">
        <f t="shared" si="32"/>
        <v>-3.2712705433368683E-8</v>
      </c>
      <c r="V21" s="69">
        <f t="shared" ref="V21" si="33">U21</f>
        <v>-3.2712705433368683E-8</v>
      </c>
      <c r="W21" s="69">
        <f t="shared" ref="W21" si="34">V21</f>
        <v>-3.2712705433368683E-8</v>
      </c>
      <c r="X21" s="69">
        <f t="shared" ref="X21" si="35">W21</f>
        <v>-3.2712705433368683E-8</v>
      </c>
      <c r="Y21" s="69">
        <f t="shared" ref="Y21" si="36">X21</f>
        <v>-3.2712705433368683E-8</v>
      </c>
      <c r="Z21" s="69">
        <f t="shared" ref="Z21" si="37">Y21</f>
        <v>-3.2712705433368683E-8</v>
      </c>
      <c r="AA21" s="69">
        <f t="shared" ref="AA21" si="38">Z21</f>
        <v>-3.2712705433368683E-8</v>
      </c>
      <c r="AB21" s="69">
        <f t="shared" ref="AB21" si="39">AA21</f>
        <v>-3.2712705433368683E-8</v>
      </c>
      <c r="AC21" s="457"/>
    </row>
    <row r="22" spans="2:29" s="457" customFormat="1">
      <c r="B22" s="552" t="s">
        <v>2831</v>
      </c>
      <c r="C22" s="458">
        <f>SUM(C23:C26)</f>
        <v>1845272.5300000003</v>
      </c>
      <c r="D22" s="458">
        <f t="shared" ref="D22:U22" si="40">SUM(D23:D26)</f>
        <v>1637413.81</v>
      </c>
      <c r="E22" s="458">
        <f t="shared" si="40"/>
        <v>1714420.6600000001</v>
      </c>
      <c r="F22" s="458">
        <f t="shared" si="40"/>
        <v>1179799.3300000003</v>
      </c>
      <c r="G22" s="607">
        <f t="shared" si="40"/>
        <v>1184595.9799999997</v>
      </c>
      <c r="H22" s="552">
        <f t="shared" si="40"/>
        <v>1184595.9799999997</v>
      </c>
      <c r="I22" s="552">
        <f t="shared" si="40"/>
        <v>1184595.9799999997</v>
      </c>
      <c r="J22" s="552">
        <f t="shared" si="40"/>
        <v>1184595.9799999997</v>
      </c>
      <c r="K22" s="552">
        <f t="shared" si="40"/>
        <v>1184595.9799999997</v>
      </c>
      <c r="L22" s="552">
        <f t="shared" si="40"/>
        <v>1184595.9799999997</v>
      </c>
      <c r="M22" s="552">
        <f t="shared" si="40"/>
        <v>1184595.9799999997</v>
      </c>
      <c r="N22" s="552">
        <f t="shared" si="40"/>
        <v>1184595.9799999997</v>
      </c>
      <c r="O22" s="552">
        <f t="shared" si="40"/>
        <v>1184595.9799999997</v>
      </c>
      <c r="P22" s="552">
        <f t="shared" si="40"/>
        <v>1184595.9799999997</v>
      </c>
      <c r="Q22" s="552">
        <f t="shared" si="40"/>
        <v>1184595.9799999997</v>
      </c>
      <c r="R22" s="552">
        <f t="shared" si="40"/>
        <v>1184595.9799999997</v>
      </c>
      <c r="S22" s="552">
        <f t="shared" si="40"/>
        <v>1184595.9799999997</v>
      </c>
      <c r="T22" s="552">
        <f t="shared" si="40"/>
        <v>1184595.9799999997</v>
      </c>
      <c r="U22" s="552">
        <f t="shared" si="40"/>
        <v>1184595.9799999997</v>
      </c>
      <c r="V22" s="552">
        <f t="shared" ref="V22:AB22" si="41">SUM(V23:V26)</f>
        <v>1184595.9799999997</v>
      </c>
      <c r="W22" s="552">
        <f t="shared" si="41"/>
        <v>1184595.9799999997</v>
      </c>
      <c r="X22" s="552">
        <f t="shared" si="41"/>
        <v>1184595.9799999997</v>
      </c>
      <c r="Y22" s="552">
        <f t="shared" si="41"/>
        <v>1184595.9799999997</v>
      </c>
      <c r="Z22" s="552">
        <f t="shared" si="41"/>
        <v>1184595.9799999997</v>
      </c>
      <c r="AA22" s="552">
        <f t="shared" si="41"/>
        <v>1184595.9799999997</v>
      </c>
      <c r="AB22" s="552">
        <f t="shared" si="41"/>
        <v>1184595.9799999997</v>
      </c>
    </row>
    <row r="23" spans="2:29">
      <c r="B23" s="554" t="s">
        <v>2828</v>
      </c>
      <c r="C23" s="458">
        <f>-SUM(Ucto_HK_summ!D801:D804)</f>
        <v>706614.19000000006</v>
      </c>
      <c r="D23" s="458">
        <f>-SUM(Ucto_HK_summ!E801:E804)</f>
        <v>730914.1100000001</v>
      </c>
      <c r="E23" s="458">
        <f>-SUM(Ucto_HK_summ!F801:F804)</f>
        <v>768252.66</v>
      </c>
      <c r="F23" s="458">
        <f>-SUM(Ucto_HK_summ!G801:G804)</f>
        <v>712830.39000000013</v>
      </c>
      <c r="G23" s="607">
        <f>-SUM(Ucto_HK_summ!H801:H804)</f>
        <v>645697.6</v>
      </c>
      <c r="H23" s="69">
        <f t="shared" ref="H23:AB23" si="42">G23*(1+H104)</f>
        <v>645697.6</v>
      </c>
      <c r="I23" s="69">
        <f t="shared" si="42"/>
        <v>645697.6</v>
      </c>
      <c r="J23" s="69">
        <f t="shared" si="42"/>
        <v>645697.6</v>
      </c>
      <c r="K23" s="69">
        <f t="shared" si="42"/>
        <v>645697.6</v>
      </c>
      <c r="L23" s="69">
        <f t="shared" si="42"/>
        <v>645697.6</v>
      </c>
      <c r="M23" s="69">
        <f t="shared" si="42"/>
        <v>645697.6</v>
      </c>
      <c r="N23" s="69">
        <f t="shared" si="42"/>
        <v>645697.6</v>
      </c>
      <c r="O23" s="69">
        <f t="shared" si="42"/>
        <v>645697.6</v>
      </c>
      <c r="P23" s="69">
        <f t="shared" si="42"/>
        <v>645697.6</v>
      </c>
      <c r="Q23" s="69">
        <f t="shared" si="42"/>
        <v>645697.6</v>
      </c>
      <c r="R23" s="69">
        <f t="shared" si="42"/>
        <v>645697.6</v>
      </c>
      <c r="S23" s="69">
        <f t="shared" si="42"/>
        <v>645697.6</v>
      </c>
      <c r="T23" s="69">
        <f t="shared" si="42"/>
        <v>645697.6</v>
      </c>
      <c r="U23" s="69">
        <f t="shared" si="42"/>
        <v>645697.6</v>
      </c>
      <c r="V23" s="69">
        <f t="shared" si="42"/>
        <v>645697.6</v>
      </c>
      <c r="W23" s="69">
        <f t="shared" si="42"/>
        <v>645697.6</v>
      </c>
      <c r="X23" s="69">
        <f t="shared" si="42"/>
        <v>645697.6</v>
      </c>
      <c r="Y23" s="69">
        <f t="shared" si="42"/>
        <v>645697.6</v>
      </c>
      <c r="Z23" s="69">
        <f t="shared" si="42"/>
        <v>645697.6</v>
      </c>
      <c r="AA23" s="69">
        <f t="shared" si="42"/>
        <v>645697.6</v>
      </c>
      <c r="AB23" s="69">
        <f t="shared" si="42"/>
        <v>645697.6</v>
      </c>
      <c r="AC23" s="457"/>
    </row>
    <row r="24" spans="2:29">
      <c r="B24" s="554" t="s">
        <v>2829</v>
      </c>
      <c r="C24" s="458">
        <f>-Ucto_HK_summ!D807</f>
        <v>303471.8</v>
      </c>
      <c r="D24" s="458">
        <f>-Ucto_HK_summ!E807</f>
        <v>73625.539999999994</v>
      </c>
      <c r="E24" s="458">
        <f>-Ucto_HK_summ!F807</f>
        <v>78965.13</v>
      </c>
      <c r="F24" s="458">
        <f>-Ucto_HK_summ!G807</f>
        <v>67088.89</v>
      </c>
      <c r="G24" s="607">
        <f>-Ucto_HK_summ!H807</f>
        <v>93507.77</v>
      </c>
      <c r="H24" s="69">
        <f t="shared" ref="H24:AB24" si="43">G24*(1+H105)</f>
        <v>93507.77</v>
      </c>
      <c r="I24" s="69">
        <f t="shared" si="43"/>
        <v>93507.77</v>
      </c>
      <c r="J24" s="69">
        <f t="shared" si="43"/>
        <v>93507.77</v>
      </c>
      <c r="K24" s="69">
        <f t="shared" si="43"/>
        <v>93507.77</v>
      </c>
      <c r="L24" s="69">
        <f t="shared" si="43"/>
        <v>93507.77</v>
      </c>
      <c r="M24" s="69">
        <f t="shared" si="43"/>
        <v>93507.77</v>
      </c>
      <c r="N24" s="69">
        <f t="shared" si="43"/>
        <v>93507.77</v>
      </c>
      <c r="O24" s="69">
        <f t="shared" si="43"/>
        <v>93507.77</v>
      </c>
      <c r="P24" s="69">
        <f t="shared" si="43"/>
        <v>93507.77</v>
      </c>
      <c r="Q24" s="69">
        <f t="shared" si="43"/>
        <v>93507.77</v>
      </c>
      <c r="R24" s="69">
        <f t="shared" si="43"/>
        <v>93507.77</v>
      </c>
      <c r="S24" s="69">
        <f t="shared" si="43"/>
        <v>93507.77</v>
      </c>
      <c r="T24" s="69">
        <f t="shared" si="43"/>
        <v>93507.77</v>
      </c>
      <c r="U24" s="69">
        <f t="shared" si="43"/>
        <v>93507.77</v>
      </c>
      <c r="V24" s="69">
        <f t="shared" si="43"/>
        <v>93507.77</v>
      </c>
      <c r="W24" s="69">
        <f t="shared" si="43"/>
        <v>93507.77</v>
      </c>
      <c r="X24" s="69">
        <f t="shared" si="43"/>
        <v>93507.77</v>
      </c>
      <c r="Y24" s="69">
        <f t="shared" si="43"/>
        <v>93507.77</v>
      </c>
      <c r="Z24" s="69">
        <f t="shared" si="43"/>
        <v>93507.77</v>
      </c>
      <c r="AA24" s="69">
        <f t="shared" si="43"/>
        <v>93507.77</v>
      </c>
      <c r="AB24" s="69">
        <f t="shared" si="43"/>
        <v>93507.77</v>
      </c>
      <c r="AC24" s="457"/>
    </row>
    <row r="25" spans="2:29">
      <c r="B25" s="554" t="s">
        <v>2830</v>
      </c>
      <c r="C25" s="458">
        <f>-Ucto_HK_summ!D805</f>
        <v>584774.05000000005</v>
      </c>
      <c r="D25" s="458">
        <f>-Ucto_HK_summ!E805</f>
        <v>593929.55000000005</v>
      </c>
      <c r="E25" s="458">
        <f>-Ucto_HK_summ!F805</f>
        <v>637381.15</v>
      </c>
      <c r="F25" s="458">
        <f>-Ucto_HK_summ!G805</f>
        <v>218769.42</v>
      </c>
      <c r="G25" s="607">
        <f>-Ucto_HK_summ!H805</f>
        <v>274541.78999999998</v>
      </c>
      <c r="H25" s="69">
        <f t="shared" ref="H25:AB25" si="44">G25*(1+H106)</f>
        <v>274541.78999999998</v>
      </c>
      <c r="I25" s="69">
        <f t="shared" si="44"/>
        <v>274541.78999999998</v>
      </c>
      <c r="J25" s="69">
        <f t="shared" si="44"/>
        <v>274541.78999999998</v>
      </c>
      <c r="K25" s="69">
        <f t="shared" si="44"/>
        <v>274541.78999999998</v>
      </c>
      <c r="L25" s="69">
        <f t="shared" si="44"/>
        <v>274541.78999999998</v>
      </c>
      <c r="M25" s="69">
        <f t="shared" si="44"/>
        <v>274541.78999999998</v>
      </c>
      <c r="N25" s="69">
        <f t="shared" si="44"/>
        <v>274541.78999999998</v>
      </c>
      <c r="O25" s="69">
        <f t="shared" si="44"/>
        <v>274541.78999999998</v>
      </c>
      <c r="P25" s="69">
        <f t="shared" si="44"/>
        <v>274541.78999999998</v>
      </c>
      <c r="Q25" s="69">
        <f t="shared" si="44"/>
        <v>274541.78999999998</v>
      </c>
      <c r="R25" s="69">
        <f t="shared" si="44"/>
        <v>274541.78999999998</v>
      </c>
      <c r="S25" s="69">
        <f t="shared" si="44"/>
        <v>274541.78999999998</v>
      </c>
      <c r="T25" s="69">
        <f t="shared" si="44"/>
        <v>274541.78999999998</v>
      </c>
      <c r="U25" s="69">
        <f t="shared" si="44"/>
        <v>274541.78999999998</v>
      </c>
      <c r="V25" s="69">
        <f t="shared" si="44"/>
        <v>274541.78999999998</v>
      </c>
      <c r="W25" s="69">
        <f t="shared" si="44"/>
        <v>274541.78999999998</v>
      </c>
      <c r="X25" s="69">
        <f t="shared" si="44"/>
        <v>274541.78999999998</v>
      </c>
      <c r="Y25" s="69">
        <f t="shared" si="44"/>
        <v>274541.78999999998</v>
      </c>
      <c r="Z25" s="69">
        <f t="shared" si="44"/>
        <v>274541.78999999998</v>
      </c>
      <c r="AA25" s="69">
        <f t="shared" si="44"/>
        <v>274541.78999999998</v>
      </c>
      <c r="AB25" s="69">
        <f t="shared" si="44"/>
        <v>274541.78999999998</v>
      </c>
      <c r="AC25" s="457"/>
    </row>
    <row r="26" spans="2:29">
      <c r="B26" s="554" t="s">
        <v>242</v>
      </c>
      <c r="C26" s="458">
        <f>-SUM(Ucto_HK_summ!D801:D810,Ucto_HK_summ!D797:D799)-SUM(C23:C25)</f>
        <v>250412.49000000022</v>
      </c>
      <c r="D26" s="458">
        <f>-SUM(Ucto_HK_summ!E801:E810,Ucto_HK_summ!E797:E799)-SUM(D23:D25)</f>
        <v>238944.60999999987</v>
      </c>
      <c r="E26" s="458">
        <f>-SUM(Ucto_HK_summ!F801:F810,Ucto_HK_summ!F797:F799)-SUM(E23:E25)</f>
        <v>229821.7200000002</v>
      </c>
      <c r="F26" s="458">
        <f>-SUM(Ucto_HK_summ!G801:G810,Ucto_HK_summ!G797:G799)-SUM(F23:F25)</f>
        <v>181110.63000000012</v>
      </c>
      <c r="G26" s="607">
        <f>-SUM(Ucto_HK_summ!H801:H810,Ucto_HK_summ!H797:H799)-SUM(G23:G25)</f>
        <v>170848.81999999983</v>
      </c>
      <c r="H26" s="69">
        <f t="shared" ref="H26:AB26" si="45">G26*(1+H107)</f>
        <v>170848.81999999983</v>
      </c>
      <c r="I26" s="69">
        <f t="shared" si="45"/>
        <v>170848.81999999983</v>
      </c>
      <c r="J26" s="69">
        <f t="shared" si="45"/>
        <v>170848.81999999983</v>
      </c>
      <c r="K26" s="69">
        <f t="shared" si="45"/>
        <v>170848.81999999983</v>
      </c>
      <c r="L26" s="69">
        <f t="shared" si="45"/>
        <v>170848.81999999983</v>
      </c>
      <c r="M26" s="69">
        <f t="shared" si="45"/>
        <v>170848.81999999983</v>
      </c>
      <c r="N26" s="69">
        <f t="shared" si="45"/>
        <v>170848.81999999983</v>
      </c>
      <c r="O26" s="69">
        <f t="shared" si="45"/>
        <v>170848.81999999983</v>
      </c>
      <c r="P26" s="69">
        <f t="shared" si="45"/>
        <v>170848.81999999983</v>
      </c>
      <c r="Q26" s="69">
        <f t="shared" si="45"/>
        <v>170848.81999999983</v>
      </c>
      <c r="R26" s="69">
        <f t="shared" si="45"/>
        <v>170848.81999999983</v>
      </c>
      <c r="S26" s="69">
        <f t="shared" si="45"/>
        <v>170848.81999999983</v>
      </c>
      <c r="T26" s="69">
        <f t="shared" si="45"/>
        <v>170848.81999999983</v>
      </c>
      <c r="U26" s="69">
        <f t="shared" si="45"/>
        <v>170848.81999999983</v>
      </c>
      <c r="V26" s="69">
        <f t="shared" si="45"/>
        <v>170848.81999999983</v>
      </c>
      <c r="W26" s="69">
        <f t="shared" si="45"/>
        <v>170848.81999999983</v>
      </c>
      <c r="X26" s="69">
        <f t="shared" si="45"/>
        <v>170848.81999999983</v>
      </c>
      <c r="Y26" s="69">
        <f t="shared" si="45"/>
        <v>170848.81999999983</v>
      </c>
      <c r="Z26" s="69">
        <f t="shared" si="45"/>
        <v>170848.81999999983</v>
      </c>
      <c r="AA26" s="69">
        <f t="shared" si="45"/>
        <v>170848.81999999983</v>
      </c>
      <c r="AB26" s="69">
        <f t="shared" si="45"/>
        <v>170848.81999999983</v>
      </c>
      <c r="AC26" s="457"/>
    </row>
    <row r="27" spans="2:29" s="457" customFormat="1">
      <c r="B27" s="598" t="s">
        <v>2842</v>
      </c>
      <c r="C27" s="608">
        <f>-SUM(Ucto_HK_summ!D812:D822)</f>
        <v>0</v>
      </c>
      <c r="D27" s="608">
        <f>-SUM(Ucto_HK_summ!E812:E822)</f>
        <v>0</v>
      </c>
      <c r="E27" s="608">
        <f>-SUM(Ucto_HK_summ!F812:F822)</f>
        <v>187717.1</v>
      </c>
      <c r="F27" s="608">
        <f>-SUM(Ucto_HK_summ!G812:G822)</f>
        <v>2409124.5900000003</v>
      </c>
      <c r="G27" s="609">
        <f>-SUM(Ucto_HK_summ!H812:H822)</f>
        <v>3162118.92</v>
      </c>
      <c r="H27" s="598">
        <f t="shared" ref="H27:AB27" si="46">G27*(1+H108)</f>
        <v>3162118.92</v>
      </c>
      <c r="I27" s="598">
        <f t="shared" si="46"/>
        <v>3260336.6299347607</v>
      </c>
      <c r="J27" s="598">
        <f t="shared" si="46"/>
        <v>3490488.3920656797</v>
      </c>
      <c r="K27" s="598">
        <f t="shared" si="46"/>
        <v>3830722.7071846714</v>
      </c>
      <c r="L27" s="598">
        <f t="shared" si="46"/>
        <v>4126929.963016381</v>
      </c>
      <c r="M27" s="598">
        <f t="shared" si="46"/>
        <v>4291173.3664965937</v>
      </c>
      <c r="N27" s="598">
        <f t="shared" si="46"/>
        <v>4556932.3778305547</v>
      </c>
      <c r="O27" s="598">
        <f t="shared" si="46"/>
        <v>4900714.066897898</v>
      </c>
      <c r="P27" s="598">
        <f t="shared" si="46"/>
        <v>5070838.5124182664</v>
      </c>
      <c r="Q27" s="598">
        <f t="shared" si="46"/>
        <v>5239623.918934417</v>
      </c>
      <c r="R27" s="598">
        <f t="shared" si="46"/>
        <v>5411377.5847005649</v>
      </c>
      <c r="S27" s="598">
        <f t="shared" si="46"/>
        <v>5583004.8858081438</v>
      </c>
      <c r="T27" s="598">
        <f t="shared" si="46"/>
        <v>5752387.2641225168</v>
      </c>
      <c r="U27" s="598">
        <f t="shared" si="46"/>
        <v>5920154.1052454989</v>
      </c>
      <c r="V27" s="598">
        <f t="shared" si="46"/>
        <v>5920154.1052454989</v>
      </c>
      <c r="W27" s="598">
        <f t="shared" si="46"/>
        <v>5920154.1052454989</v>
      </c>
      <c r="X27" s="598">
        <f t="shared" si="46"/>
        <v>5920154.1052454989</v>
      </c>
      <c r="Y27" s="598">
        <f t="shared" si="46"/>
        <v>5920154.1052454989</v>
      </c>
      <c r="Z27" s="598">
        <f t="shared" si="46"/>
        <v>5920154.1052454989</v>
      </c>
      <c r="AA27" s="598">
        <f t="shared" si="46"/>
        <v>5920154.1052454989</v>
      </c>
      <c r="AB27" s="598">
        <f t="shared" si="46"/>
        <v>5920154.1052454989</v>
      </c>
    </row>
    <row r="28" spans="2:29">
      <c r="B28" s="598" t="s">
        <v>2843</v>
      </c>
      <c r="C28" s="608">
        <f>SUM('Revenues"A"'!C29:C36)</f>
        <v>7540060.8399999999</v>
      </c>
      <c r="D28" s="608">
        <f>SUM(D29:D36)</f>
        <v>29404936.680000003</v>
      </c>
      <c r="E28" s="608">
        <f>SUM(E29:E36)</f>
        <v>31684842.920000002</v>
      </c>
      <c r="F28" s="608">
        <f>SUM(F29:F36)</f>
        <v>39852068.390000001</v>
      </c>
      <c r="G28" s="609">
        <f>SUM(Ucto_HK_summ!J909:J915)</f>
        <v>49918583.980000004</v>
      </c>
      <c r="H28" s="598">
        <f>SUM(H29:H36)</f>
        <v>2864042.8138595638</v>
      </c>
      <c r="I28" s="598">
        <f t="shared" ref="I28:U28" si="47">SUM(I29:I36)</f>
        <v>2863570.9919699887</v>
      </c>
      <c r="J28" s="598">
        <f t="shared" si="47"/>
        <v>2864887.0893221814</v>
      </c>
      <c r="K28" s="598">
        <f t="shared" si="47"/>
        <v>2867505.7940677498</v>
      </c>
      <c r="L28" s="598">
        <f t="shared" si="47"/>
        <v>2869363.5327995108</v>
      </c>
      <c r="M28" s="598">
        <f t="shared" si="47"/>
        <v>2869484.3066008799</v>
      </c>
      <c r="N28" s="598">
        <f t="shared" si="47"/>
        <v>2870750.3440647251</v>
      </c>
      <c r="O28" s="598">
        <f t="shared" si="47"/>
        <v>2872780.6276937365</v>
      </c>
      <c r="P28" s="598">
        <f t="shared" si="47"/>
        <v>2872778.5153651512</v>
      </c>
      <c r="Q28" s="598">
        <f t="shared" si="47"/>
        <v>2872741.3313930165</v>
      </c>
      <c r="R28" s="598">
        <f t="shared" si="47"/>
        <v>2872715.6311937748</v>
      </c>
      <c r="S28" s="598">
        <f t="shared" si="47"/>
        <v>2872669.7111593829</v>
      </c>
      <c r="T28" s="598">
        <f t="shared" si="47"/>
        <v>2872585.0177908675</v>
      </c>
      <c r="U28" s="598">
        <f t="shared" si="47"/>
        <v>2872470.5623925067</v>
      </c>
      <c r="V28" s="598">
        <f t="shared" ref="V28:AB28" si="48">SUM(V29:V36)</f>
        <v>2872470.5623925067</v>
      </c>
      <c r="W28" s="598">
        <f t="shared" si="48"/>
        <v>2872470.5623925067</v>
      </c>
      <c r="X28" s="598">
        <f t="shared" si="48"/>
        <v>2872470.5623925067</v>
      </c>
      <c r="Y28" s="598">
        <f t="shared" si="48"/>
        <v>2872470.5623925067</v>
      </c>
      <c r="Z28" s="598">
        <f t="shared" si="48"/>
        <v>2872470.5623925067</v>
      </c>
      <c r="AA28" s="598">
        <f t="shared" si="48"/>
        <v>2872470.5623925067</v>
      </c>
      <c r="AB28" s="598">
        <f t="shared" si="48"/>
        <v>2872470.5623925067</v>
      </c>
      <c r="AC28" s="457"/>
    </row>
    <row r="29" spans="2:29">
      <c r="B29" s="554" t="s">
        <v>2880</v>
      </c>
      <c r="C29" s="458">
        <f>-SUM(Ucto_HK_summ!D848:D851)</f>
        <v>0</v>
      </c>
      <c r="D29" s="458">
        <f>-SUM(Ucto_HK_summ!E848:E851)</f>
        <v>24989578.379999999</v>
      </c>
      <c r="E29" s="458">
        <f>-SUM(Ucto_HK_summ!F848:F851)</f>
        <v>25036139.579999998</v>
      </c>
      <c r="F29" s="458">
        <f>-SUM(Ucto_HK_summ!G848:G851)</f>
        <v>30674751.219999999</v>
      </c>
      <c r="G29" s="607">
        <f>-SUM(Ucto_HK_summ!H848:H851)</f>
        <v>0</v>
      </c>
    </row>
    <row r="30" spans="2:29">
      <c r="B30" s="554" t="s">
        <v>2881</v>
      </c>
      <c r="C30" s="458">
        <f>-Ucto_HK_summ!D864</f>
        <v>3100369.12</v>
      </c>
      <c r="D30" s="458">
        <f>-Ucto_HK_summ!E864</f>
        <v>1008922.94</v>
      </c>
      <c r="E30" s="458">
        <f>-Ucto_HK_summ!F864</f>
        <v>2765700</v>
      </c>
      <c r="F30" s="458">
        <f>-Ucto_HK_summ!G864</f>
        <v>771577.7</v>
      </c>
      <c r="G30" s="607">
        <f>-Ucto_HK_summ!H864</f>
        <v>961624.44</v>
      </c>
      <c r="H30" s="634">
        <v>0</v>
      </c>
      <c r="I30" s="634">
        <v>0</v>
      </c>
      <c r="J30" s="634">
        <v>0</v>
      </c>
      <c r="K30" s="69">
        <f>J30</f>
        <v>0</v>
      </c>
      <c r="L30" s="69">
        <f t="shared" ref="L30:U32" si="49">K30</f>
        <v>0</v>
      </c>
      <c r="M30" s="69">
        <f t="shared" si="49"/>
        <v>0</v>
      </c>
      <c r="N30" s="69">
        <f t="shared" si="49"/>
        <v>0</v>
      </c>
      <c r="O30" s="69">
        <f t="shared" si="49"/>
        <v>0</v>
      </c>
      <c r="P30" s="69">
        <f t="shared" si="49"/>
        <v>0</v>
      </c>
      <c r="Q30" s="69">
        <f t="shared" si="49"/>
        <v>0</v>
      </c>
      <c r="R30" s="69">
        <f t="shared" si="49"/>
        <v>0</v>
      </c>
      <c r="S30" s="69">
        <f t="shared" si="49"/>
        <v>0</v>
      </c>
      <c r="T30" s="69">
        <f t="shared" si="49"/>
        <v>0</v>
      </c>
      <c r="U30" s="69">
        <f t="shared" si="49"/>
        <v>0</v>
      </c>
      <c r="V30" s="69">
        <f t="shared" ref="V30:V34" si="50">U30</f>
        <v>0</v>
      </c>
      <c r="W30" s="69">
        <f t="shared" ref="W30:W34" si="51">V30</f>
        <v>0</v>
      </c>
      <c r="X30" s="69">
        <f t="shared" ref="X30:X34" si="52">W30</f>
        <v>0</v>
      </c>
      <c r="Y30" s="69">
        <f t="shared" ref="Y30:Y34" si="53">X30</f>
        <v>0</v>
      </c>
      <c r="Z30" s="69">
        <f t="shared" ref="Z30:Z34" si="54">Y30</f>
        <v>0</v>
      </c>
      <c r="AA30" s="69">
        <f t="shared" ref="AA30:AA34" si="55">Z30</f>
        <v>0</v>
      </c>
      <c r="AB30" s="69">
        <f t="shared" ref="AB30:AB34" si="56">AA30</f>
        <v>0</v>
      </c>
    </row>
    <row r="31" spans="2:29">
      <c r="B31" s="554" t="s">
        <v>2844</v>
      </c>
      <c r="C31" s="458">
        <f>-Ucto_HK_summ!D893-Ucto_HK_summ!D894-Ucto_HK_summ!D900-Ucto_HK_summ!D902</f>
        <v>2005219.3699999999</v>
      </c>
      <c r="D31" s="458">
        <f>-Ucto_HK_summ!E893-Ucto_HK_summ!E894-Ucto_HK_summ!E900-Ucto_HK_summ!E902</f>
        <v>1997371.66</v>
      </c>
      <c r="E31" s="458">
        <f>-Ucto_HK_summ!F893-Ucto_HK_summ!F894-Ucto_HK_summ!F900-Ucto_HK_summ!F902</f>
        <v>2708344.74</v>
      </c>
      <c r="F31" s="458">
        <f>-Ucto_HK_summ!G893-Ucto_HK_summ!G894-Ucto_HK_summ!G900-Ucto_HK_summ!G902</f>
        <v>2660857.9700000002</v>
      </c>
      <c r="G31" s="607">
        <f>-Ucto_HK_summ!H893-Ucto_HK_summ!H894-Ucto_HK_summ!H900-Ucto_HK_summ!H902</f>
        <v>2975183.32</v>
      </c>
      <c r="H31" s="634">
        <f>AVERAGE(F31:G31)</f>
        <v>2818020.645</v>
      </c>
      <c r="I31" s="634">
        <f>H31</f>
        <v>2818020.645</v>
      </c>
      <c r="J31" s="634">
        <f t="shared" ref="J31:U31" si="57">I31</f>
        <v>2818020.645</v>
      </c>
      <c r="K31" s="634">
        <f t="shared" si="57"/>
        <v>2818020.645</v>
      </c>
      <c r="L31" s="634">
        <f t="shared" si="57"/>
        <v>2818020.645</v>
      </c>
      <c r="M31" s="634">
        <f t="shared" si="57"/>
        <v>2818020.645</v>
      </c>
      <c r="N31" s="634">
        <f t="shared" si="57"/>
        <v>2818020.645</v>
      </c>
      <c r="O31" s="634">
        <f t="shared" si="57"/>
        <v>2818020.645</v>
      </c>
      <c r="P31" s="634">
        <f t="shared" si="57"/>
        <v>2818020.645</v>
      </c>
      <c r="Q31" s="634">
        <f t="shared" si="57"/>
        <v>2818020.645</v>
      </c>
      <c r="R31" s="634">
        <f t="shared" si="57"/>
        <v>2818020.645</v>
      </c>
      <c r="S31" s="634">
        <f t="shared" si="57"/>
        <v>2818020.645</v>
      </c>
      <c r="T31" s="634">
        <f t="shared" si="57"/>
        <v>2818020.645</v>
      </c>
      <c r="U31" s="634">
        <f t="shared" si="57"/>
        <v>2818020.645</v>
      </c>
      <c r="V31" s="634">
        <f t="shared" si="50"/>
        <v>2818020.645</v>
      </c>
      <c r="W31" s="634">
        <f t="shared" si="51"/>
        <v>2818020.645</v>
      </c>
      <c r="X31" s="634">
        <f t="shared" si="52"/>
        <v>2818020.645</v>
      </c>
      <c r="Y31" s="634">
        <f t="shared" si="53"/>
        <v>2818020.645</v>
      </c>
      <c r="Z31" s="634">
        <f t="shared" si="54"/>
        <v>2818020.645</v>
      </c>
      <c r="AA31" s="634">
        <f t="shared" si="55"/>
        <v>2818020.645</v>
      </c>
      <c r="AB31" s="634">
        <f t="shared" si="56"/>
        <v>2818020.645</v>
      </c>
    </row>
    <row r="32" spans="2:29">
      <c r="B32" s="554" t="s">
        <v>2538</v>
      </c>
      <c r="C32" s="458">
        <f>-Ucto_HK_summ!D885</f>
        <v>0</v>
      </c>
      <c r="D32" s="458">
        <f>-Ucto_HK_summ!E885</f>
        <v>0</v>
      </c>
      <c r="E32" s="458">
        <f>-Ucto_HK_summ!F885</f>
        <v>0</v>
      </c>
      <c r="F32" s="458">
        <f>-Ucto_HK_summ!G885</f>
        <v>3609091.14</v>
      </c>
      <c r="G32" s="607">
        <f>-Ucto_HK_summ!H885</f>
        <v>21394931.390000001</v>
      </c>
      <c r="H32" s="634">
        <v>0</v>
      </c>
      <c r="I32" s="634">
        <v>0</v>
      </c>
      <c r="J32" s="634">
        <v>0</v>
      </c>
      <c r="K32" s="69">
        <f>J32</f>
        <v>0</v>
      </c>
      <c r="L32" s="69">
        <f t="shared" si="49"/>
        <v>0</v>
      </c>
      <c r="M32" s="69">
        <f t="shared" si="49"/>
        <v>0</v>
      </c>
      <c r="N32" s="69">
        <f t="shared" si="49"/>
        <v>0</v>
      </c>
      <c r="O32" s="69">
        <f t="shared" si="49"/>
        <v>0</v>
      </c>
      <c r="P32" s="69">
        <f t="shared" si="49"/>
        <v>0</v>
      </c>
      <c r="Q32" s="69">
        <f t="shared" si="49"/>
        <v>0</v>
      </c>
      <c r="R32" s="69">
        <f t="shared" si="49"/>
        <v>0</v>
      </c>
      <c r="S32" s="69">
        <f t="shared" si="49"/>
        <v>0</v>
      </c>
      <c r="T32" s="69">
        <f t="shared" si="49"/>
        <v>0</v>
      </c>
      <c r="U32" s="69">
        <f t="shared" si="49"/>
        <v>0</v>
      </c>
      <c r="V32" s="69">
        <f t="shared" si="50"/>
        <v>0</v>
      </c>
      <c r="W32" s="69">
        <f t="shared" si="51"/>
        <v>0</v>
      </c>
      <c r="X32" s="69">
        <f t="shared" si="52"/>
        <v>0</v>
      </c>
      <c r="Y32" s="69">
        <f t="shared" si="53"/>
        <v>0</v>
      </c>
      <c r="Z32" s="69">
        <f t="shared" si="54"/>
        <v>0</v>
      </c>
      <c r="AA32" s="69">
        <f t="shared" si="55"/>
        <v>0</v>
      </c>
      <c r="AB32" s="69">
        <f t="shared" si="56"/>
        <v>0</v>
      </c>
    </row>
    <row r="33" spans="2:29">
      <c r="B33" s="554" t="s">
        <v>2815</v>
      </c>
      <c r="C33" s="458">
        <f>-Ucto_HK_summ!D886</f>
        <v>0</v>
      </c>
      <c r="D33" s="458">
        <f>-Ucto_HK_summ!E886</f>
        <v>0</v>
      </c>
      <c r="E33" s="458">
        <f>-Ucto_HK_summ!F886</f>
        <v>0</v>
      </c>
      <c r="F33" s="458">
        <f>-Ucto_HK_summ!G886</f>
        <v>0</v>
      </c>
      <c r="G33" s="607">
        <f>-Ucto_HK_summ!H886</f>
        <v>16570501.08</v>
      </c>
      <c r="H33" s="634">
        <v>0</v>
      </c>
      <c r="I33" s="634">
        <v>0</v>
      </c>
      <c r="J33" s="634">
        <v>0</v>
      </c>
      <c r="K33" s="69">
        <f t="shared" ref="K33:U36" si="58">J33</f>
        <v>0</v>
      </c>
      <c r="L33" s="69">
        <f t="shared" si="58"/>
        <v>0</v>
      </c>
      <c r="M33" s="69">
        <f t="shared" si="58"/>
        <v>0</v>
      </c>
      <c r="N33" s="69">
        <f t="shared" si="58"/>
        <v>0</v>
      </c>
      <c r="O33" s="69">
        <f t="shared" si="58"/>
        <v>0</v>
      </c>
      <c r="P33" s="69">
        <f t="shared" si="58"/>
        <v>0</v>
      </c>
      <c r="Q33" s="69">
        <f t="shared" si="58"/>
        <v>0</v>
      </c>
      <c r="R33" s="69">
        <f t="shared" si="58"/>
        <v>0</v>
      </c>
      <c r="S33" s="69">
        <f t="shared" si="58"/>
        <v>0</v>
      </c>
      <c r="T33" s="69">
        <f t="shared" si="58"/>
        <v>0</v>
      </c>
      <c r="U33" s="69">
        <f t="shared" si="58"/>
        <v>0</v>
      </c>
      <c r="V33" s="69">
        <f t="shared" si="50"/>
        <v>0</v>
      </c>
      <c r="W33" s="69">
        <f t="shared" si="51"/>
        <v>0</v>
      </c>
      <c r="X33" s="69">
        <f t="shared" si="52"/>
        <v>0</v>
      </c>
      <c r="Y33" s="69">
        <f t="shared" si="53"/>
        <v>0</v>
      </c>
      <c r="Z33" s="69">
        <f t="shared" si="54"/>
        <v>0</v>
      </c>
      <c r="AA33" s="69">
        <f t="shared" si="55"/>
        <v>0</v>
      </c>
      <c r="AB33" s="69">
        <f t="shared" si="56"/>
        <v>0</v>
      </c>
    </row>
    <row r="34" spans="2:29">
      <c r="B34" s="554" t="s">
        <v>2882</v>
      </c>
      <c r="C34" s="458">
        <f>-Ucto_HK_summ!D895-Ucto_HK_summ!D896-Ucto_HK_summ!D897</f>
        <v>0</v>
      </c>
      <c r="D34" s="458">
        <f>-Ucto_HK_summ!E895-Ucto_HK_summ!E896-Ucto_HK_summ!E897</f>
        <v>0</v>
      </c>
      <c r="E34" s="458">
        <f>-Ucto_HK_summ!F895-Ucto_HK_summ!F896-Ucto_HK_summ!F897</f>
        <v>0</v>
      </c>
      <c r="F34" s="458">
        <f>-Ucto_HK_summ!G895-Ucto_HK_summ!G896-Ucto_HK_summ!G897</f>
        <v>1151394.26</v>
      </c>
      <c r="G34" s="607">
        <f>-Ucto_HK_summ!H895-Ucto_HK_summ!H896-Ucto_HK_summ!H897</f>
        <v>5150864.95</v>
      </c>
      <c r="H34" s="634">
        <v>0</v>
      </c>
      <c r="I34" s="634">
        <v>0</v>
      </c>
      <c r="J34" s="634">
        <v>0</v>
      </c>
      <c r="K34" s="69">
        <f t="shared" si="58"/>
        <v>0</v>
      </c>
      <c r="L34" s="69">
        <f t="shared" si="58"/>
        <v>0</v>
      </c>
      <c r="M34" s="69">
        <f t="shared" si="58"/>
        <v>0</v>
      </c>
      <c r="N34" s="69">
        <f t="shared" si="58"/>
        <v>0</v>
      </c>
      <c r="O34" s="69">
        <f t="shared" si="58"/>
        <v>0</v>
      </c>
      <c r="P34" s="69">
        <f t="shared" si="58"/>
        <v>0</v>
      </c>
      <c r="Q34" s="69">
        <f t="shared" si="58"/>
        <v>0</v>
      </c>
      <c r="R34" s="69">
        <f t="shared" si="58"/>
        <v>0</v>
      </c>
      <c r="S34" s="69">
        <f t="shared" si="58"/>
        <v>0</v>
      </c>
      <c r="T34" s="69">
        <f t="shared" si="58"/>
        <v>0</v>
      </c>
      <c r="U34" s="69">
        <f t="shared" si="58"/>
        <v>0</v>
      </c>
      <c r="V34" s="69">
        <f t="shared" si="50"/>
        <v>0</v>
      </c>
      <c r="W34" s="69">
        <f t="shared" si="51"/>
        <v>0</v>
      </c>
      <c r="X34" s="69">
        <f t="shared" si="52"/>
        <v>0</v>
      </c>
      <c r="Y34" s="69">
        <f t="shared" si="53"/>
        <v>0</v>
      </c>
      <c r="Z34" s="69">
        <f t="shared" si="54"/>
        <v>0</v>
      </c>
      <c r="AA34" s="69">
        <f t="shared" si="55"/>
        <v>0</v>
      </c>
      <c r="AB34" s="69">
        <f t="shared" si="56"/>
        <v>0</v>
      </c>
    </row>
    <row r="35" spans="2:29">
      <c r="B35" s="554" t="s">
        <v>2939</v>
      </c>
      <c r="C35" s="458">
        <f>-Ucto_HK_summ!D829</f>
        <v>43508.2</v>
      </c>
      <c r="D35" s="458">
        <f>-Ucto_HK_summ!E829</f>
        <v>43839.8</v>
      </c>
      <c r="E35" s="458">
        <f>-Ucto_HK_summ!F829</f>
        <v>43709.8</v>
      </c>
      <c r="F35" s="458">
        <f>-Ucto_HK_summ!G829</f>
        <v>32349.200000000001</v>
      </c>
      <c r="G35" s="607">
        <f>-Ucto_HK_summ!H829</f>
        <v>46010.04</v>
      </c>
      <c r="H35" s="69">
        <f>G35/G5*H5</f>
        <v>46022.168859563928</v>
      </c>
      <c r="I35" s="69">
        <f t="shared" ref="I35:U35" si="59">H35/H5*I5</f>
        <v>45550.346969988859</v>
      </c>
      <c r="J35" s="69">
        <f t="shared" si="59"/>
        <v>46866.444322181167</v>
      </c>
      <c r="K35" s="69">
        <f t="shared" si="59"/>
        <v>49485.149067749517</v>
      </c>
      <c r="L35" s="69">
        <f t="shared" si="59"/>
        <v>51342.887799510863</v>
      </c>
      <c r="M35" s="69">
        <f t="shared" si="59"/>
        <v>51463.661600880041</v>
      </c>
      <c r="N35" s="69">
        <f t="shared" si="59"/>
        <v>52729.699064725151</v>
      </c>
      <c r="O35" s="69">
        <f t="shared" si="59"/>
        <v>54759.982693736369</v>
      </c>
      <c r="P35" s="69">
        <f t="shared" si="59"/>
        <v>54757.87036515143</v>
      </c>
      <c r="Q35" s="69">
        <f t="shared" si="59"/>
        <v>54720.686393016345</v>
      </c>
      <c r="R35" s="69">
        <f t="shared" si="59"/>
        <v>54694.986193774639</v>
      </c>
      <c r="S35" s="69">
        <f t="shared" si="59"/>
        <v>54649.066159382899</v>
      </c>
      <c r="T35" s="69">
        <f t="shared" si="59"/>
        <v>54564.37279086755</v>
      </c>
      <c r="U35" s="69">
        <f t="shared" si="59"/>
        <v>54449.917392506497</v>
      </c>
      <c r="V35" s="69">
        <f t="shared" ref="V35" si="60">U35/U5*V5</f>
        <v>54449.917392506497</v>
      </c>
      <c r="W35" s="69">
        <f t="shared" ref="W35" si="61">V35/V5*W5</f>
        <v>54449.917392506497</v>
      </c>
      <c r="X35" s="69">
        <f t="shared" ref="X35" si="62">W35/W5*X5</f>
        <v>54449.917392506497</v>
      </c>
      <c r="Y35" s="69">
        <f t="shared" ref="Y35" si="63">X35/X5*Y5</f>
        <v>54449.917392506497</v>
      </c>
      <c r="Z35" s="69">
        <f t="shared" ref="Z35" si="64">Y35/Y5*Z5</f>
        <v>54449.917392506497</v>
      </c>
      <c r="AA35" s="69">
        <f t="shared" ref="AA35" si="65">Z35/Z5*AA5</f>
        <v>54449.917392506497</v>
      </c>
      <c r="AB35" s="69">
        <f t="shared" ref="AB35" si="66">AA35/AA5*AB5</f>
        <v>54449.917392506497</v>
      </c>
    </row>
    <row r="36" spans="2:29">
      <c r="B36" s="603" t="s">
        <v>242</v>
      </c>
      <c r="C36" s="614">
        <f>-SUM(Ucto_HK_summ!D829,Ucto_HK_summ!D856,Ucto_HK_summ!D867,Ucto_HK_summ!D876,Ucto_HK_summ!D881,Ucto_HK_summ!D903)-SUM(C29:C35)</f>
        <v>2390964.1499999994</v>
      </c>
      <c r="D36" s="614">
        <f>-SUM(Ucto_HK_summ!E829,Ucto_HK_summ!E856,Ucto_HK_summ!E867,Ucto_HK_summ!E876,Ucto_HK_summ!E881,Ucto_HK_summ!E903)-SUM(D29:D35)</f>
        <v>1365223.9000000022</v>
      </c>
      <c r="E36" s="614">
        <f>-SUM(Ucto_HK_summ!F829,Ucto_HK_summ!F856,Ucto_HK_summ!F867,Ucto_HK_summ!F876,Ucto_HK_summ!F881,Ucto_HK_summ!F903)-SUM(E29:E35)</f>
        <v>1130948.8000000007</v>
      </c>
      <c r="F36" s="614">
        <f>-SUM(Ucto_HK_summ!G829,Ucto_HK_summ!G856,Ucto_HK_summ!G867,Ucto_HK_summ!G876,Ucto_HK_summ!G881,Ucto_HK_summ!G903)-SUM(F29:F35)</f>
        <v>952046.89999999851</v>
      </c>
      <c r="G36" s="615">
        <f>-SUM(Ucto_HK_summ!H829,Ucto_HK_summ!H856,Ucto_HK_summ!H867,Ucto_HK_summ!H876,Ucto_HK_summ!H881,Ucto_HK_summ!H903)-SUM(G29:G35)</f>
        <v>2819468.7600000054</v>
      </c>
      <c r="H36" s="635">
        <v>0</v>
      </c>
      <c r="I36" s="636">
        <v>0</v>
      </c>
      <c r="J36" s="636">
        <v>0</v>
      </c>
      <c r="K36" s="604">
        <f t="shared" si="58"/>
        <v>0</v>
      </c>
      <c r="L36" s="604">
        <f t="shared" si="58"/>
        <v>0</v>
      </c>
      <c r="M36" s="604">
        <f t="shared" si="58"/>
        <v>0</v>
      </c>
      <c r="N36" s="604">
        <f t="shared" si="58"/>
        <v>0</v>
      </c>
      <c r="O36" s="604">
        <f t="shared" si="58"/>
        <v>0</v>
      </c>
      <c r="P36" s="604">
        <f t="shared" si="58"/>
        <v>0</v>
      </c>
      <c r="Q36" s="604">
        <f t="shared" si="58"/>
        <v>0</v>
      </c>
      <c r="R36" s="604">
        <f t="shared" si="58"/>
        <v>0</v>
      </c>
      <c r="S36" s="604">
        <f t="shared" si="58"/>
        <v>0</v>
      </c>
      <c r="T36" s="604">
        <f t="shared" si="58"/>
        <v>0</v>
      </c>
      <c r="U36" s="604">
        <f t="shared" si="58"/>
        <v>0</v>
      </c>
      <c r="V36" s="604">
        <f t="shared" ref="V36" si="67">U36</f>
        <v>0</v>
      </c>
      <c r="W36" s="604">
        <f t="shared" ref="W36" si="68">V36</f>
        <v>0</v>
      </c>
      <c r="X36" s="604">
        <f t="shared" ref="X36" si="69">W36</f>
        <v>0</v>
      </c>
      <c r="Y36" s="604">
        <f t="shared" ref="Y36" si="70">X36</f>
        <v>0</v>
      </c>
      <c r="Z36" s="604">
        <f t="shared" ref="Z36" si="71">Y36</f>
        <v>0</v>
      </c>
      <c r="AA36" s="604">
        <f t="shared" ref="AA36" si="72">Z36</f>
        <v>0</v>
      </c>
      <c r="AB36" s="604">
        <f t="shared" ref="AB36" si="73">AA36</f>
        <v>0</v>
      </c>
    </row>
    <row r="37" spans="2:29">
      <c r="B37" s="552"/>
      <c r="G37" s="607"/>
      <c r="O37" s="69">
        <f>O70-O69</f>
        <v>60554.072156003356</v>
      </c>
      <c r="P37" s="69">
        <f t="shared" ref="P37:AB37" si="74">P70-P69</f>
        <v>60551.736324411431</v>
      </c>
      <c r="Q37" s="69">
        <f t="shared" si="74"/>
        <v>60510.617959851166</v>
      </c>
      <c r="R37" s="69">
        <f t="shared" si="74"/>
        <v>60482.19845270834</v>
      </c>
      <c r="S37" s="69">
        <f t="shared" si="74"/>
        <v>60431.419673403114</v>
      </c>
      <c r="T37" s="69">
        <f t="shared" si="74"/>
        <v>60337.764999023537</v>
      </c>
      <c r="U37" s="69">
        <f t="shared" si="74"/>
        <v>60211.199209370861</v>
      </c>
      <c r="V37" s="69">
        <f>V70-V69</f>
        <v>60211.199209370861</v>
      </c>
      <c r="W37" s="69">
        <f t="shared" si="74"/>
        <v>60211.199209370861</v>
      </c>
      <c r="X37" s="69">
        <f t="shared" si="74"/>
        <v>60211.199209370861</v>
      </c>
      <c r="Y37" s="69">
        <f t="shared" si="74"/>
        <v>60211.199209370861</v>
      </c>
      <c r="Z37" s="69">
        <f t="shared" si="74"/>
        <v>60211.199209370861</v>
      </c>
      <c r="AA37" s="69">
        <f t="shared" si="74"/>
        <v>60211.199209370861</v>
      </c>
      <c r="AB37" s="69">
        <f t="shared" si="74"/>
        <v>60211.199209370861</v>
      </c>
    </row>
    <row r="38" spans="2:29" s="457" customFormat="1">
      <c r="B38" s="598" t="s">
        <v>3241</v>
      </c>
      <c r="C38" s="608">
        <f>SUM(C39:C41)</f>
        <v>0</v>
      </c>
      <c r="D38" s="608">
        <f>SUM(D39:D41)</f>
        <v>0</v>
      </c>
      <c r="E38" s="608">
        <f>SUM(E39:E41)</f>
        <v>0</v>
      </c>
      <c r="F38" s="608">
        <f>SUM(F39:F41)</f>
        <v>0</v>
      </c>
      <c r="G38" s="609">
        <f>SUM(G39:G41)</f>
        <v>0</v>
      </c>
      <c r="H38" s="598">
        <f>SUM(H39:H43)</f>
        <v>0</v>
      </c>
      <c r="I38" s="598">
        <f t="shared" ref="I38:AB38" si="75">SUM(I39:I43)</f>
        <v>-3188.6661265369085</v>
      </c>
      <c r="J38" s="598">
        <f t="shared" si="75"/>
        <v>399032.83645318309</v>
      </c>
      <c r="K38" s="598">
        <f t="shared" si="75"/>
        <v>1208466.3133925353</v>
      </c>
      <c r="L38" s="598">
        <f t="shared" si="75"/>
        <v>1796626.6387669831</v>
      </c>
      <c r="M38" s="598">
        <f t="shared" si="75"/>
        <v>2374623.2332981755</v>
      </c>
      <c r="N38" s="598">
        <f t="shared" si="75"/>
        <v>3795516.3766919211</v>
      </c>
      <c r="O38" s="598">
        <f t="shared" si="75"/>
        <v>5273832.2568391012</v>
      </c>
      <c r="P38" s="598">
        <f t="shared" si="75"/>
        <v>6678135.1744098905</v>
      </c>
      <c r="Q38" s="598">
        <f t="shared" si="75"/>
        <v>6831724.1982202567</v>
      </c>
      <c r="R38" s="598">
        <f t="shared" si="75"/>
        <v>6987469.9835109152</v>
      </c>
      <c r="S38" s="598">
        <f t="shared" si="75"/>
        <v>7142864.4980071168</v>
      </c>
      <c r="T38" s="598">
        <f t="shared" si="75"/>
        <v>7297450.8023840059</v>
      </c>
      <c r="U38" s="598">
        <f t="shared" si="75"/>
        <v>7451509.9570866376</v>
      </c>
      <c r="V38" s="598">
        <f t="shared" si="75"/>
        <v>7448549.0588856796</v>
      </c>
      <c r="W38" s="598">
        <f t="shared" si="75"/>
        <v>7445588.1606847197</v>
      </c>
      <c r="X38" s="598">
        <f t="shared" si="75"/>
        <v>7442627.2624837598</v>
      </c>
      <c r="Y38" s="598">
        <f t="shared" si="75"/>
        <v>7439666.3642828027</v>
      </c>
      <c r="Z38" s="598">
        <f t="shared" si="75"/>
        <v>7436705.4660818418</v>
      </c>
      <c r="AA38" s="598">
        <f t="shared" si="75"/>
        <v>7433744.5678808847</v>
      </c>
      <c r="AB38" s="598">
        <f t="shared" si="75"/>
        <v>7430783.6696799248</v>
      </c>
    </row>
    <row r="39" spans="2:29" s="552" customFormat="1">
      <c r="B39" s="552" t="s">
        <v>3074</v>
      </c>
      <c r="C39" s="458"/>
      <c r="D39" s="458"/>
      <c r="E39" s="458"/>
      <c r="F39" s="458"/>
      <c r="G39" s="607"/>
      <c r="H39" s="552">
        <f>H62*Scenarios_Summary!$C$46</f>
        <v>0</v>
      </c>
      <c r="I39" s="552">
        <f>I62*Scenarios_Summary!$C$46</f>
        <v>-3188.6661265369085</v>
      </c>
      <c r="J39" s="552">
        <f>J62*Scenarios_Summary!$C$46</f>
        <v>399032.83645318309</v>
      </c>
      <c r="K39" s="552">
        <f>K62*Scenarios_Summary!$C$46</f>
        <v>1208466.3133925353</v>
      </c>
      <c r="L39" s="552">
        <f>L62*Scenarios_Summary!$C$46</f>
        <v>1722625.9155465979</v>
      </c>
      <c r="M39" s="552">
        <f>M62*Scenarios_Summary!$C$46</f>
        <v>2224252.7871261197</v>
      </c>
      <c r="N39" s="552">
        <f>N62*Scenarios_Summary!$C$46</f>
        <v>3013676.3661040929</v>
      </c>
      <c r="O39" s="552">
        <f>O62*Scenarios_Summary!$C$46</f>
        <v>3842630.6190922479</v>
      </c>
      <c r="P39" s="552">
        <f>P62*Scenarios_Summary!$C$46</f>
        <v>3836837.4539432884</v>
      </c>
      <c r="Q39" s="552">
        <f>Q62*Scenarios_Summary!$C$46</f>
        <v>3827583.0323070795</v>
      </c>
      <c r="R39" s="552">
        <f>R62*Scenarios_Summary!$C$46</f>
        <v>3818512.9273601631</v>
      </c>
      <c r="S39" s="552">
        <f>S62*Scenarios_Summary!$C$46</f>
        <v>3807726.5999792027</v>
      </c>
      <c r="T39" s="552">
        <f>T62*Scenarios_Summary!$C$46</f>
        <v>3795414.3555588457</v>
      </c>
      <c r="U39" s="552">
        <f>U62*Scenarios_Summary!$C$46</f>
        <v>3781921.9441667008</v>
      </c>
      <c r="V39" s="552">
        <f>V62*Scenarios_Summary!$C$46</f>
        <v>3778961.0459657423</v>
      </c>
      <c r="W39" s="552">
        <f>W62*Scenarios_Summary!$C$46</f>
        <v>3776000.1477647829</v>
      </c>
      <c r="X39" s="552">
        <f>X62*Scenarios_Summary!$C$46</f>
        <v>3773039.249563823</v>
      </c>
      <c r="Y39" s="552">
        <f>Y62*Scenarios_Summary!$C$46</f>
        <v>3770078.3513628654</v>
      </c>
      <c r="Z39" s="552">
        <f>Z62*Scenarios_Summary!$C$46</f>
        <v>3767117.4531619051</v>
      </c>
      <c r="AA39" s="552">
        <f>AA62*Scenarios_Summary!$C$46</f>
        <v>3764156.5549609475</v>
      </c>
      <c r="AB39" s="552">
        <f>AB62*Scenarios_Summary!$C$46</f>
        <v>3761195.6567599881</v>
      </c>
      <c r="AC39" s="457"/>
    </row>
    <row r="40" spans="2:29">
      <c r="B40" s="552" t="s">
        <v>3255</v>
      </c>
      <c r="G40" s="607"/>
      <c r="H40" s="69">
        <f>H63*Scenarios_Summary!$C$47</f>
        <v>0</v>
      </c>
      <c r="I40" s="69">
        <f>I63*Scenarios_Summary!$C$47</f>
        <v>0</v>
      </c>
      <c r="J40" s="69">
        <f>J63*Scenarios_Summary!$C$47</f>
        <v>0</v>
      </c>
      <c r="K40" s="69">
        <f>K63*Scenarios_Summary!$C$47</f>
        <v>0</v>
      </c>
      <c r="L40" s="69">
        <f>L63*Scenarios_Summary!$C$47</f>
        <v>144566.34822038506</v>
      </c>
      <c r="M40" s="69">
        <f>M63*Scenarios_Summary!$C$47</f>
        <v>291501.69617205573</v>
      </c>
      <c r="N40" s="69">
        <f>N63*Scenarios_Summary!$C$47</f>
        <v>450635.2836675382</v>
      </c>
      <c r="O40" s="69">
        <f>O63*Scenarios_Summary!$C$47</f>
        <v>627660.93390627333</v>
      </c>
      <c r="P40" s="69">
        <f>P63*Scenarios_Summary!$C$47</f>
        <v>789199.16470573272</v>
      </c>
      <c r="Q40" s="69">
        <f>Q63*Scenarios_Summary!$C$47</f>
        <v>952042.61015230743</v>
      </c>
      <c r="R40" s="69">
        <f>R63*Scenarios_Summary!$C$47</f>
        <v>1116858.5003898821</v>
      </c>
      <c r="S40" s="69">
        <f>S63*Scenarios_Summary!$C$47</f>
        <v>1283039.3422670446</v>
      </c>
      <c r="T40" s="69">
        <f>T63*Scenarios_Summary!$C$47</f>
        <v>1449937.8910642909</v>
      </c>
      <c r="U40" s="69">
        <f>U63*Scenarios_Summary!$C$47</f>
        <v>1617489.4571590673</v>
      </c>
      <c r="V40" s="69">
        <f>V63*Scenarios_Summary!$C$47</f>
        <v>1617489.4571590673</v>
      </c>
      <c r="W40" s="69">
        <f>W63*Scenarios_Summary!$C$47</f>
        <v>1617489.4571590673</v>
      </c>
      <c r="X40" s="69">
        <f>X63*Scenarios_Summary!$C$47</f>
        <v>1617489.4571590673</v>
      </c>
      <c r="Y40" s="69">
        <f>Y63*Scenarios_Summary!$C$47</f>
        <v>1617489.4571590673</v>
      </c>
      <c r="Z40" s="69">
        <f>Z63*Scenarios_Summary!$C$47</f>
        <v>1617489.4571590673</v>
      </c>
      <c r="AA40" s="69">
        <f>AA63*Scenarios_Summary!$C$47</f>
        <v>1617489.4571590673</v>
      </c>
      <c r="AB40" s="69">
        <f>AB63*Scenarios_Summary!$C$47</f>
        <v>1617489.4571590673</v>
      </c>
      <c r="AC40" s="457"/>
    </row>
    <row r="41" spans="2:29">
      <c r="B41" s="552" t="s">
        <v>3256</v>
      </c>
      <c r="G41" s="607"/>
      <c r="H41" s="69">
        <f>H64*Scenarios_Summary!$C$48</f>
        <v>0</v>
      </c>
      <c r="I41" s="69">
        <f>I64*Scenarios_Summary!$C$48</f>
        <v>0</v>
      </c>
      <c r="J41" s="69">
        <f>J64*Scenarios_Summary!$C$48</f>
        <v>0</v>
      </c>
      <c r="K41" s="69">
        <f>K64*Scenarios_Summary!$C$48</f>
        <v>0</v>
      </c>
      <c r="L41" s="69">
        <f>L64*Scenarios_Summary!$C$48</f>
        <v>0</v>
      </c>
      <c r="M41" s="69">
        <f>M64*Scenarios_Summary!$C$48</f>
        <v>0</v>
      </c>
      <c r="N41" s="69">
        <f>N64*Scenarios_Summary!$C$48</f>
        <v>542901.6019202898</v>
      </c>
      <c r="O41" s="69">
        <f>O64*Scenarios_Summary!$C$48</f>
        <v>1085803.2038405796</v>
      </c>
      <c r="P41" s="69">
        <f>P64*Scenarios_Summary!$C$48</f>
        <v>1628704.8057608698</v>
      </c>
      <c r="Q41" s="69">
        <f>Q64*Scenarios_Summary!$C$48</f>
        <v>1628704.8057608698</v>
      </c>
      <c r="R41" s="69">
        <f>R64*Scenarios_Summary!$C$48</f>
        <v>1628704.8057608698</v>
      </c>
      <c r="S41" s="69">
        <f>S64*Scenarios_Summary!$C$48</f>
        <v>1628704.8057608698</v>
      </c>
      <c r="T41" s="69">
        <f>T64*Scenarios_Summary!$C$48</f>
        <v>1628704.8057608698</v>
      </c>
      <c r="U41" s="69">
        <f>U64*Scenarios_Summary!$C$48</f>
        <v>1628704.8057608698</v>
      </c>
      <c r="V41" s="69">
        <f>V64*Scenarios_Summary!$C$48</f>
        <v>1628704.8057608698</v>
      </c>
      <c r="W41" s="69">
        <f>W64*Scenarios_Summary!$C$48</f>
        <v>1628704.8057608698</v>
      </c>
      <c r="X41" s="69">
        <f>X64*Scenarios_Summary!$C$48</f>
        <v>1628704.8057608698</v>
      </c>
      <c r="Y41" s="69">
        <f>Y64*Scenarios_Summary!$C$48</f>
        <v>1628704.8057608698</v>
      </c>
      <c r="Z41" s="69">
        <f>Z64*Scenarios_Summary!$C$48</f>
        <v>1628704.8057608698</v>
      </c>
      <c r="AA41" s="69">
        <f>AA64*Scenarios_Summary!$C$48</f>
        <v>1628704.8057608698</v>
      </c>
      <c r="AB41" s="69">
        <f>AB64*Scenarios_Summary!$C$48</f>
        <v>1628704.8057608698</v>
      </c>
      <c r="AC41" s="457"/>
    </row>
    <row r="42" spans="2:29" s="1051" customFormat="1">
      <c r="B42" s="1051" t="s">
        <v>3329</v>
      </c>
      <c r="G42" s="1052"/>
      <c r="H42" s="1051">
        <f>H46*H45*Scenarios_Summary!$C$49</f>
        <v>0</v>
      </c>
      <c r="I42" s="1051">
        <f>I46*I45*Scenarios_Summary!$C$49</f>
        <v>0</v>
      </c>
      <c r="J42" s="1051">
        <f>J46*J45*Scenarios_Summary!$C$49</f>
        <v>0</v>
      </c>
      <c r="K42" s="1051">
        <f>K46*K45*Scenarios_Summary!$C$49</f>
        <v>0</v>
      </c>
      <c r="L42" s="1051">
        <f>L46*L45*Scenarios_Summary!$C$49</f>
        <v>-70565.625</v>
      </c>
      <c r="M42" s="1051">
        <f>M46*M45*Scenarios_Summary!$C$49</f>
        <v>-141131.25</v>
      </c>
      <c r="N42" s="1051">
        <f>N46*N45*Scenarios_Summary!$C$49</f>
        <v>-211696.875</v>
      </c>
      <c r="O42" s="1051">
        <f>O46*O45*Scenarios_Summary!$C$49</f>
        <v>-282262.5</v>
      </c>
      <c r="P42" s="1051">
        <f>P46*P45*Scenarios_Summary!$C$49</f>
        <v>423393.75</v>
      </c>
      <c r="Q42" s="1051">
        <f>Q46*Q45*Scenarios_Summary!$C$49</f>
        <v>423393.75</v>
      </c>
      <c r="R42" s="1051">
        <f>R46*R45*Scenarios_Summary!$C$49</f>
        <v>423393.75</v>
      </c>
      <c r="S42" s="1051">
        <f>S46*S45*Scenarios_Summary!$C$49</f>
        <v>423393.75</v>
      </c>
      <c r="T42" s="1051">
        <f>T46*T45*Scenarios_Summary!$C$49</f>
        <v>423393.75</v>
      </c>
      <c r="U42" s="1051">
        <f>U46*U45*Scenarios_Summary!$C$49</f>
        <v>423393.75</v>
      </c>
      <c r="V42" s="1051">
        <f>V46*V45*Scenarios_Summary!$C$49</f>
        <v>423393.75</v>
      </c>
      <c r="W42" s="1051">
        <f>W46*W45*Scenarios_Summary!$C$49</f>
        <v>423393.75</v>
      </c>
      <c r="X42" s="1051">
        <f>X46*X45*Scenarios_Summary!$C$49</f>
        <v>423393.75</v>
      </c>
      <c r="Y42" s="1051">
        <f>Y46*Y45*Scenarios_Summary!$C$49</f>
        <v>423393.75</v>
      </c>
      <c r="Z42" s="1051">
        <f>Z46*Z45*Scenarios_Summary!$C$49</f>
        <v>423393.75</v>
      </c>
      <c r="AA42" s="1051">
        <f>AA46*AA45*Scenarios_Summary!$C$49</f>
        <v>423393.75</v>
      </c>
      <c r="AB42" s="1051">
        <f>AB46*AB45*Scenarios_Summary!$C$49</f>
        <v>423393.75</v>
      </c>
      <c r="AC42" s="1053"/>
    </row>
    <row r="43" spans="2:29">
      <c r="B43" s="552" t="s">
        <v>1037</v>
      </c>
      <c r="G43" s="607"/>
      <c r="AC43" s="457"/>
    </row>
    <row r="44" spans="2:29" s="568" customFormat="1">
      <c r="B44" s="1049" t="s">
        <v>3331</v>
      </c>
      <c r="C44" s="568">
        <v>292</v>
      </c>
      <c r="D44" s="568">
        <v>359</v>
      </c>
      <c r="E44" s="568">
        <v>359</v>
      </c>
      <c r="F44" s="568">
        <v>352</v>
      </c>
      <c r="G44" s="1045">
        <v>667</v>
      </c>
      <c r="H44" s="568">
        <f>AVERAGE(D44:G44)</f>
        <v>434.25</v>
      </c>
      <c r="I44" s="568">
        <f>H44</f>
        <v>434.25</v>
      </c>
      <c r="J44" s="568">
        <f t="shared" ref="J44:K44" si="76">I44</f>
        <v>434.25</v>
      </c>
      <c r="K44" s="568">
        <f t="shared" si="76"/>
        <v>434.25</v>
      </c>
      <c r="L44" s="568">
        <f>K44+($J$44-$P$44)/6</f>
        <v>470.4375</v>
      </c>
      <c r="M44" s="568">
        <f t="shared" ref="M44:O44" si="77">L44+($J$44-$P$44)/6</f>
        <v>506.625</v>
      </c>
      <c r="N44" s="568">
        <f t="shared" si="77"/>
        <v>542.8125</v>
      </c>
      <c r="O44" s="568">
        <f t="shared" si="77"/>
        <v>579</v>
      </c>
      <c r="P44" s="843">
        <f>Scenarios_Summary!C52*K44</f>
        <v>217.125</v>
      </c>
      <c r="Q44" s="568">
        <f>P44</f>
        <v>217.125</v>
      </c>
      <c r="R44" s="568">
        <f t="shared" ref="R44:AB44" si="78">Q44</f>
        <v>217.125</v>
      </c>
      <c r="S44" s="568">
        <f t="shared" si="78"/>
        <v>217.125</v>
      </c>
      <c r="T44" s="568">
        <f t="shared" si="78"/>
        <v>217.125</v>
      </c>
      <c r="U44" s="568">
        <f t="shared" si="78"/>
        <v>217.125</v>
      </c>
      <c r="V44" s="568">
        <f t="shared" si="78"/>
        <v>217.125</v>
      </c>
      <c r="W44" s="568">
        <f t="shared" si="78"/>
        <v>217.125</v>
      </c>
      <c r="X44" s="568">
        <f t="shared" si="78"/>
        <v>217.125</v>
      </c>
      <c r="Y44" s="568">
        <f t="shared" si="78"/>
        <v>217.125</v>
      </c>
      <c r="Z44" s="568">
        <f t="shared" si="78"/>
        <v>217.125</v>
      </c>
      <c r="AA44" s="568">
        <f t="shared" si="78"/>
        <v>217.125</v>
      </c>
      <c r="AB44" s="568">
        <f t="shared" si="78"/>
        <v>217.125</v>
      </c>
      <c r="AC44" s="1046"/>
    </row>
    <row r="45" spans="2:29" s="568" customFormat="1">
      <c r="B45" s="1049" t="s">
        <v>3332</v>
      </c>
      <c r="G45" s="1045"/>
      <c r="H45" s="568">
        <f>0</f>
        <v>0</v>
      </c>
      <c r="I45" s="568">
        <f>H45+H44-I44</f>
        <v>0</v>
      </c>
      <c r="J45" s="568">
        <f t="shared" ref="J45:AB45" si="79">I45+I44-J44</f>
        <v>0</v>
      </c>
      <c r="K45" s="568">
        <f t="shared" si="79"/>
        <v>0</v>
      </c>
      <c r="L45" s="568">
        <f t="shared" si="79"/>
        <v>-36.1875</v>
      </c>
      <c r="M45" s="568">
        <f t="shared" si="79"/>
        <v>-72.375</v>
      </c>
      <c r="N45" s="568">
        <f t="shared" si="79"/>
        <v>-108.5625</v>
      </c>
      <c r="O45" s="568">
        <f t="shared" si="79"/>
        <v>-144.75</v>
      </c>
      <c r="P45" s="568">
        <f t="shared" si="79"/>
        <v>217.125</v>
      </c>
      <c r="Q45" s="568">
        <f t="shared" si="79"/>
        <v>217.125</v>
      </c>
      <c r="R45" s="568">
        <f t="shared" si="79"/>
        <v>217.125</v>
      </c>
      <c r="S45" s="568">
        <f t="shared" si="79"/>
        <v>217.125</v>
      </c>
      <c r="T45" s="568">
        <f t="shared" si="79"/>
        <v>217.125</v>
      </c>
      <c r="U45" s="568">
        <f t="shared" si="79"/>
        <v>217.125</v>
      </c>
      <c r="V45" s="568">
        <f t="shared" si="79"/>
        <v>217.125</v>
      </c>
      <c r="W45" s="568">
        <f t="shared" si="79"/>
        <v>217.125</v>
      </c>
      <c r="X45" s="568">
        <f t="shared" si="79"/>
        <v>217.125</v>
      </c>
      <c r="Y45" s="568">
        <f t="shared" si="79"/>
        <v>217.125</v>
      </c>
      <c r="Z45" s="568">
        <f t="shared" si="79"/>
        <v>217.125</v>
      </c>
      <c r="AA45" s="568">
        <f t="shared" si="79"/>
        <v>217.125</v>
      </c>
      <c r="AB45" s="568">
        <f t="shared" si="79"/>
        <v>217.125</v>
      </c>
      <c r="AC45" s="1046"/>
    </row>
    <row r="46" spans="2:29" s="568" customFormat="1">
      <c r="B46" s="1049" t="s">
        <v>3333</v>
      </c>
      <c r="G46" s="1045"/>
      <c r="H46" s="843">
        <v>1950</v>
      </c>
      <c r="I46" s="568">
        <f>H46*(1+I117)</f>
        <v>1950</v>
      </c>
      <c r="J46" s="568">
        <f t="shared" ref="J46:AB46" si="80">I46*(1+J117)</f>
        <v>1950</v>
      </c>
      <c r="K46" s="568">
        <f t="shared" si="80"/>
        <v>1950</v>
      </c>
      <c r="L46" s="568">
        <f t="shared" si="80"/>
        <v>1950</v>
      </c>
      <c r="M46" s="568">
        <f t="shared" si="80"/>
        <v>1950</v>
      </c>
      <c r="N46" s="568">
        <f t="shared" si="80"/>
        <v>1950</v>
      </c>
      <c r="O46" s="568">
        <f t="shared" si="80"/>
        <v>1950</v>
      </c>
      <c r="P46" s="568">
        <f t="shared" si="80"/>
        <v>1950</v>
      </c>
      <c r="Q46" s="568">
        <f t="shared" si="80"/>
        <v>1950</v>
      </c>
      <c r="R46" s="568">
        <f t="shared" si="80"/>
        <v>1950</v>
      </c>
      <c r="S46" s="568">
        <f t="shared" si="80"/>
        <v>1950</v>
      </c>
      <c r="T46" s="568">
        <f t="shared" si="80"/>
        <v>1950</v>
      </c>
      <c r="U46" s="568">
        <f t="shared" si="80"/>
        <v>1950</v>
      </c>
      <c r="V46" s="568">
        <f t="shared" si="80"/>
        <v>1950</v>
      </c>
      <c r="W46" s="568">
        <f t="shared" si="80"/>
        <v>1950</v>
      </c>
      <c r="X46" s="568">
        <f t="shared" si="80"/>
        <v>1950</v>
      </c>
      <c r="Y46" s="568">
        <f t="shared" si="80"/>
        <v>1950</v>
      </c>
      <c r="Z46" s="568">
        <f t="shared" si="80"/>
        <v>1950</v>
      </c>
      <c r="AA46" s="568">
        <f t="shared" si="80"/>
        <v>1950</v>
      </c>
      <c r="AB46" s="568">
        <f t="shared" si="80"/>
        <v>1950</v>
      </c>
      <c r="AC46" s="1046"/>
    </row>
    <row r="47" spans="2:29" s="568" customFormat="1">
      <c r="B47" s="1049"/>
      <c r="G47" s="1045"/>
      <c r="AC47" s="1046"/>
    </row>
    <row r="48" spans="2:29">
      <c r="B48" s="847" t="s">
        <v>3259</v>
      </c>
      <c r="G48" s="607"/>
      <c r="H48" s="69">
        <f>(H49-H50)*H51*Scenarios_Summary!$C$50</f>
        <v>0</v>
      </c>
      <c r="I48" s="69">
        <f>(I49-I50)*I51*Scenarios_Summary!$C$50</f>
        <v>-20810.498709168307</v>
      </c>
      <c r="J48" s="69">
        <f>(J49-J50)*J51*Scenarios_Summary!$C$50</f>
        <v>-42823.563109745737</v>
      </c>
      <c r="K48" s="69">
        <f>(K49-K50)*K51*Scenarios_Summary!$C$50</f>
        <v>-67824.552344853</v>
      </c>
      <c r="L48" s="69">
        <f>(L49-L50)*L51*Scenarios_Summary!$C$50</f>
        <v>-93827.702430515084</v>
      </c>
      <c r="M48" s="69">
        <f>(M49-M50)*M51*Scenarios_Summary!$C$50</f>
        <v>-117560.51650054673</v>
      </c>
      <c r="N48" s="69">
        <f>(N49-N50)*N51*Scenarios_Summary!$C$50</f>
        <v>-144543.0922900709</v>
      </c>
      <c r="O48" s="69">
        <f>(O49-O50)*O51*Scenarios_Summary!$C$50</f>
        <v>-175126.60988928113</v>
      </c>
      <c r="P48" s="69">
        <f>(P49-P50)*P51*Scenarios_Summary!$C$50</f>
        <v>-200136.97657259885</v>
      </c>
      <c r="Q48" s="69">
        <f>(Q49-Q50)*Q51*Scenarios_Summary!$C$50</f>
        <v>-225001.20512084503</v>
      </c>
      <c r="R48" s="69">
        <f>(R49-R50)*R51*Scenarios_Summary!$C$50</f>
        <v>-249883.92302115049</v>
      </c>
      <c r="S48" s="69">
        <f>(S49-S50)*S51*Scenarios_Summary!$C$50</f>
        <v>-274641.5419553321</v>
      </c>
      <c r="T48" s="69">
        <f>(T49-T50)*T51*Scenarios_Summary!$C$50</f>
        <v>-299144.63051947672</v>
      </c>
      <c r="U48" s="69">
        <f>(U49-U50)*U51*Scenarios_Summary!$C$50</f>
        <v>-323393.56652210769</v>
      </c>
      <c r="V48" s="69">
        <f>(V49-V50)*V51*Scenarios_Summary!$C$50</f>
        <v>-323393.56652210769</v>
      </c>
      <c r="W48" s="69">
        <f>(W49-W50)*W51*Scenarios_Summary!$C$50</f>
        <v>-323393.56652210769</v>
      </c>
      <c r="X48" s="69">
        <f>(X49-X50)*X51*Scenarios_Summary!$C$50</f>
        <v>-323393.56652210769</v>
      </c>
      <c r="Y48" s="69">
        <f>(Y49-Y50)*Y51*Scenarios_Summary!$C$50</f>
        <v>-323393.56652210769</v>
      </c>
      <c r="Z48" s="69">
        <f>(Z49-Z50)*Z51*Scenarios_Summary!$C$50</f>
        <v>-323393.56652210769</v>
      </c>
      <c r="AA48" s="69">
        <f>(AA49-AA50)*AA51*Scenarios_Summary!$C$50</f>
        <v>-323393.56652210769</v>
      </c>
      <c r="AB48" s="69">
        <f>(AB49-AB50)*AB51*Scenarios_Summary!$C$50</f>
        <v>-323393.56652210769</v>
      </c>
      <c r="AC48" s="1046"/>
    </row>
    <row r="49" spans="2:29" s="855" customFormat="1">
      <c r="B49" s="853" t="s">
        <v>3244</v>
      </c>
      <c r="C49" s="994"/>
      <c r="D49" s="994"/>
      <c r="E49" s="994"/>
      <c r="F49" s="994"/>
      <c r="G49" s="995"/>
      <c r="H49" s="855">
        <f t="shared" ref="H49:N49" si="81">$H$77*H56</f>
        <v>305676.87101943366</v>
      </c>
      <c r="I49" s="855">
        <f t="shared" si="81"/>
        <v>302543.05437285436</v>
      </c>
      <c r="J49" s="855">
        <f t="shared" si="81"/>
        <v>311284.50508115807</v>
      </c>
      <c r="K49" s="855">
        <f t="shared" si="81"/>
        <v>328677.80688733154</v>
      </c>
      <c r="L49" s="855">
        <f t="shared" si="81"/>
        <v>341016.81169236929</v>
      </c>
      <c r="M49" s="855">
        <f t="shared" si="81"/>
        <v>341818.98504965514</v>
      </c>
      <c r="N49" s="855">
        <f t="shared" si="81"/>
        <v>350227.94056243153</v>
      </c>
      <c r="O49" s="855">
        <f t="shared" ref="O49:AB49" si="82">$H$77*O56</f>
        <v>363712.97967242898</v>
      </c>
      <c r="P49" s="855">
        <f t="shared" si="82"/>
        <v>363698.94969495491</v>
      </c>
      <c r="Q49" s="855">
        <f t="shared" si="82"/>
        <v>363451.97567056655</v>
      </c>
      <c r="R49" s="855">
        <f t="shared" si="82"/>
        <v>363281.27627322281</v>
      </c>
      <c r="S49" s="855">
        <f t="shared" si="82"/>
        <v>362976.27777406899</v>
      </c>
      <c r="T49" s="855">
        <f t="shared" si="82"/>
        <v>362413.74879020324</v>
      </c>
      <c r="U49" s="855">
        <f t="shared" si="82"/>
        <v>361653.5419396949</v>
      </c>
      <c r="V49" s="855">
        <f t="shared" si="82"/>
        <v>361653.5419396949</v>
      </c>
      <c r="W49" s="855">
        <f t="shared" si="82"/>
        <v>361653.5419396949</v>
      </c>
      <c r="X49" s="855">
        <f t="shared" si="82"/>
        <v>361653.5419396949</v>
      </c>
      <c r="Y49" s="855">
        <f t="shared" si="82"/>
        <v>361653.5419396949</v>
      </c>
      <c r="Z49" s="855">
        <f t="shared" si="82"/>
        <v>361653.5419396949</v>
      </c>
      <c r="AA49" s="855">
        <f t="shared" si="82"/>
        <v>361653.5419396949</v>
      </c>
      <c r="AB49" s="855">
        <f t="shared" si="82"/>
        <v>361653.5419396949</v>
      </c>
      <c r="AC49" s="996"/>
    </row>
    <row r="50" spans="2:29" s="855" customFormat="1">
      <c r="B50" s="853" t="s">
        <v>3245</v>
      </c>
      <c r="C50" s="994"/>
      <c r="D50" s="994"/>
      <c r="E50" s="994"/>
      <c r="F50" s="994"/>
      <c r="G50" s="995"/>
      <c r="H50" s="855">
        <f t="shared" ref="H50:N50" si="83">H77*H56</f>
        <v>305676.87101943366</v>
      </c>
      <c r="I50" s="855">
        <f t="shared" si="83"/>
        <v>304805.06510211178</v>
      </c>
      <c r="J50" s="855">
        <f t="shared" si="83"/>
        <v>315939.24020178261</v>
      </c>
      <c r="K50" s="855">
        <f t="shared" si="83"/>
        <v>336050.04083785904</v>
      </c>
      <c r="L50" s="855">
        <f t="shared" si="83"/>
        <v>351215.47500003397</v>
      </c>
      <c r="M50" s="855">
        <f t="shared" si="83"/>
        <v>354597.30206058413</v>
      </c>
      <c r="N50" s="855">
        <f t="shared" si="83"/>
        <v>365939.14624613489</v>
      </c>
      <c r="O50" s="855">
        <f t="shared" ref="O50:AB50" si="84">O77*O56</f>
        <v>382748.48074735084</v>
      </c>
      <c r="P50" s="855">
        <f t="shared" si="84"/>
        <v>385452.9688876287</v>
      </c>
      <c r="Q50" s="855">
        <f t="shared" si="84"/>
        <v>387908.62840109318</v>
      </c>
      <c r="R50" s="855">
        <f t="shared" si="84"/>
        <v>390442.57225378265</v>
      </c>
      <c r="S50" s="855">
        <f t="shared" si="84"/>
        <v>392828.61929095292</v>
      </c>
      <c r="T50" s="855">
        <f t="shared" si="84"/>
        <v>394929.46949884202</v>
      </c>
      <c r="U50" s="855">
        <f t="shared" si="84"/>
        <v>396805.01656166313</v>
      </c>
      <c r="V50" s="855">
        <f t="shared" si="84"/>
        <v>396805.01656166313</v>
      </c>
      <c r="W50" s="855">
        <f t="shared" si="84"/>
        <v>396805.01656166313</v>
      </c>
      <c r="X50" s="855">
        <f t="shared" si="84"/>
        <v>396805.01656166313</v>
      </c>
      <c r="Y50" s="855">
        <f t="shared" si="84"/>
        <v>396805.01656166313</v>
      </c>
      <c r="Z50" s="855">
        <f t="shared" si="84"/>
        <v>396805.01656166313</v>
      </c>
      <c r="AA50" s="855">
        <f t="shared" si="84"/>
        <v>396805.01656166313</v>
      </c>
      <c r="AB50" s="855">
        <f t="shared" si="84"/>
        <v>396805.01656166313</v>
      </c>
      <c r="AC50" s="996"/>
    </row>
    <row r="51" spans="2:29" s="855" customFormat="1">
      <c r="B51" s="997" t="s">
        <v>3246</v>
      </c>
      <c r="C51" s="998"/>
      <c r="D51" s="998"/>
      <c r="E51" s="998"/>
      <c r="F51" s="998"/>
      <c r="G51" s="999"/>
      <c r="H51" s="1000">
        <v>9.1999999999999993</v>
      </c>
      <c r="I51" s="1000">
        <f t="shared" ref="I51:AB51" si="85">H51*(1+I117)</f>
        <v>9.1999999999999993</v>
      </c>
      <c r="J51" s="1000">
        <f t="shared" si="85"/>
        <v>9.1999999999999993</v>
      </c>
      <c r="K51" s="1000">
        <f t="shared" si="85"/>
        <v>9.1999999999999993</v>
      </c>
      <c r="L51" s="1000">
        <f t="shared" si="85"/>
        <v>9.1999999999999993</v>
      </c>
      <c r="M51" s="1000">
        <f t="shared" si="85"/>
        <v>9.1999999999999993</v>
      </c>
      <c r="N51" s="1000">
        <f t="shared" si="85"/>
        <v>9.1999999999999993</v>
      </c>
      <c r="O51" s="1000">
        <f t="shared" si="85"/>
        <v>9.1999999999999993</v>
      </c>
      <c r="P51" s="1000">
        <f t="shared" si="85"/>
        <v>9.1999999999999993</v>
      </c>
      <c r="Q51" s="1000">
        <f t="shared" si="85"/>
        <v>9.1999999999999993</v>
      </c>
      <c r="R51" s="1000">
        <f t="shared" si="85"/>
        <v>9.1999999999999993</v>
      </c>
      <c r="S51" s="1000">
        <f t="shared" si="85"/>
        <v>9.1999999999999993</v>
      </c>
      <c r="T51" s="1000">
        <f t="shared" si="85"/>
        <v>9.1999999999999993</v>
      </c>
      <c r="U51" s="1000">
        <f t="shared" si="85"/>
        <v>9.1999999999999993</v>
      </c>
      <c r="V51" s="1000">
        <f t="shared" si="85"/>
        <v>9.1999999999999993</v>
      </c>
      <c r="W51" s="1000">
        <f t="shared" si="85"/>
        <v>9.1999999999999993</v>
      </c>
      <c r="X51" s="1000">
        <f t="shared" si="85"/>
        <v>9.1999999999999993</v>
      </c>
      <c r="Y51" s="1000">
        <f t="shared" si="85"/>
        <v>9.1999999999999993</v>
      </c>
      <c r="Z51" s="1000">
        <f t="shared" si="85"/>
        <v>9.1999999999999993</v>
      </c>
      <c r="AA51" s="1000">
        <f t="shared" si="85"/>
        <v>9.1999999999999993</v>
      </c>
      <c r="AB51" s="1000">
        <f t="shared" si="85"/>
        <v>9.1999999999999993</v>
      </c>
      <c r="AC51" s="996"/>
    </row>
    <row r="52" spans="2:29">
      <c r="B52" s="552"/>
      <c r="G52" s="607"/>
    </row>
    <row r="53" spans="2:29">
      <c r="B53" s="552"/>
      <c r="G53" s="607"/>
    </row>
    <row r="54" spans="2:29">
      <c r="B54" s="598" t="s">
        <v>2902</v>
      </c>
      <c r="C54" s="608"/>
      <c r="D54" s="608"/>
      <c r="E54" s="991">
        <f t="shared" ref="E54:AB54" si="86">E2</f>
        <v>43830</v>
      </c>
      <c r="F54" s="991">
        <f t="shared" si="86"/>
        <v>44196</v>
      </c>
      <c r="G54" s="991">
        <f t="shared" si="86"/>
        <v>44561</v>
      </c>
      <c r="H54" s="992">
        <f t="shared" si="86"/>
        <v>44926</v>
      </c>
      <c r="I54" s="992">
        <f t="shared" si="86"/>
        <v>45291</v>
      </c>
      <c r="J54" s="992">
        <f t="shared" si="86"/>
        <v>45657</v>
      </c>
      <c r="K54" s="992">
        <f t="shared" si="86"/>
        <v>46022</v>
      </c>
      <c r="L54" s="992">
        <f t="shared" si="86"/>
        <v>46387</v>
      </c>
      <c r="M54" s="992">
        <f t="shared" si="86"/>
        <v>46752</v>
      </c>
      <c r="N54" s="992">
        <f t="shared" si="86"/>
        <v>47118</v>
      </c>
      <c r="O54" s="992">
        <f t="shared" si="86"/>
        <v>47483</v>
      </c>
      <c r="P54" s="992">
        <f t="shared" si="86"/>
        <v>47848</v>
      </c>
      <c r="Q54" s="992">
        <f t="shared" si="86"/>
        <v>48213</v>
      </c>
      <c r="R54" s="992">
        <f t="shared" si="86"/>
        <v>48579</v>
      </c>
      <c r="S54" s="992">
        <f t="shared" si="86"/>
        <v>48944</v>
      </c>
      <c r="T54" s="992">
        <f t="shared" si="86"/>
        <v>49309</v>
      </c>
      <c r="U54" s="992">
        <f t="shared" si="86"/>
        <v>49674</v>
      </c>
      <c r="V54" s="992">
        <f t="shared" si="86"/>
        <v>50040</v>
      </c>
      <c r="W54" s="992">
        <f t="shared" si="86"/>
        <v>50405</v>
      </c>
      <c r="X54" s="992">
        <f t="shared" si="86"/>
        <v>50770</v>
      </c>
      <c r="Y54" s="992">
        <f t="shared" si="86"/>
        <v>51135</v>
      </c>
      <c r="Z54" s="992">
        <f t="shared" si="86"/>
        <v>51501</v>
      </c>
      <c r="AA54" s="992">
        <f t="shared" si="86"/>
        <v>51866</v>
      </c>
      <c r="AB54" s="992">
        <f t="shared" si="86"/>
        <v>52231</v>
      </c>
      <c r="AC54" s="70"/>
    </row>
    <row r="55" spans="2:29">
      <c r="B55" s="554" t="s">
        <v>2903</v>
      </c>
      <c r="E55" s="458">
        <f>Vykony_Data!F11</f>
        <v>1356</v>
      </c>
      <c r="F55" s="458">
        <f>Vykony_Data!G11</f>
        <v>1249.5</v>
      </c>
      <c r="G55" s="607">
        <f>F55</f>
        <v>1249.5</v>
      </c>
      <c r="H55" s="69">
        <f>G55</f>
        <v>1249.5</v>
      </c>
      <c r="I55" s="69">
        <f t="shared" ref="I55:U55" si="87">H55</f>
        <v>1249.5</v>
      </c>
      <c r="J55" s="69">
        <f t="shared" si="87"/>
        <v>1249.5</v>
      </c>
      <c r="K55" s="69">
        <f t="shared" si="87"/>
        <v>1249.5</v>
      </c>
      <c r="L55" s="69">
        <f t="shared" si="87"/>
        <v>1249.5</v>
      </c>
      <c r="M55" s="69">
        <f t="shared" si="87"/>
        <v>1249.5</v>
      </c>
      <c r="N55" s="69">
        <f t="shared" si="87"/>
        <v>1249.5</v>
      </c>
      <c r="O55" s="802">
        <f>AVERAGE(N55,P55)</f>
        <v>1192.75</v>
      </c>
      <c r="P55" s="802">
        <f>beds_NEW!F40</f>
        <v>1136</v>
      </c>
      <c r="Q55" s="69">
        <f t="shared" si="87"/>
        <v>1136</v>
      </c>
      <c r="R55" s="69">
        <f t="shared" si="87"/>
        <v>1136</v>
      </c>
      <c r="S55" s="69">
        <f t="shared" si="87"/>
        <v>1136</v>
      </c>
      <c r="T55" s="69">
        <f t="shared" si="87"/>
        <v>1136</v>
      </c>
      <c r="U55" s="69">
        <f t="shared" si="87"/>
        <v>1136</v>
      </c>
      <c r="V55" s="69">
        <f t="shared" ref="V55" si="88">U55</f>
        <v>1136</v>
      </c>
      <c r="W55" s="69">
        <f t="shared" ref="W55" si="89">V55</f>
        <v>1136</v>
      </c>
      <c r="X55" s="69">
        <f t="shared" ref="X55" si="90">W55</f>
        <v>1136</v>
      </c>
      <c r="Y55" s="69">
        <f t="shared" ref="Y55" si="91">X55</f>
        <v>1136</v>
      </c>
      <c r="Z55" s="69">
        <f t="shared" ref="Z55" si="92">Y55</f>
        <v>1136</v>
      </c>
      <c r="AA55" s="69">
        <f t="shared" ref="AA55" si="93">Z55</f>
        <v>1136</v>
      </c>
      <c r="AB55" s="69">
        <f t="shared" ref="AB55" si="94">AA55</f>
        <v>1136</v>
      </c>
    </row>
    <row r="56" spans="2:29">
      <c r="B56" s="554" t="s">
        <v>3042</v>
      </c>
      <c r="E56" s="458">
        <f>'Hospit_Data_"0"'!J3</f>
        <v>50878.308301205587</v>
      </c>
      <c r="F56" s="458">
        <f>'Hospit_Data_"0"'!K3</f>
        <v>42074.749266741324</v>
      </c>
      <c r="G56" s="607">
        <f>'Hospit_Data_"0"'!L3</f>
        <v>50878.308301205587</v>
      </c>
      <c r="H56" s="69">
        <f>'Hospit_Data_"A"'!M3</f>
        <v>50891.720501156626</v>
      </c>
      <c r="I56" s="69">
        <f>H56+I59+I57</f>
        <v>50369.975691522515</v>
      </c>
      <c r="J56" s="69">
        <f t="shared" ref="J56" si="95">I56+J59+J57</f>
        <v>51825.327759011285</v>
      </c>
      <c r="K56" s="69">
        <f t="shared" ref="K56" si="96">J56+K59+K57</f>
        <v>54721.114578471912</v>
      </c>
      <c r="L56" s="69">
        <f t="shared" ref="L56" si="97">K56+L59+L57</f>
        <v>56775.41846383355</v>
      </c>
      <c r="M56" s="69">
        <f t="shared" ref="M56" si="98">L56+M59+M57</f>
        <v>56908.971199296713</v>
      </c>
      <c r="N56" s="69">
        <f t="shared" ref="N56" si="99">M56+N59+N57</f>
        <v>58308.966600439344</v>
      </c>
      <c r="O56" s="69">
        <f t="shared" ref="O56" si="100">N56+O59+O57</f>
        <v>60554.072156003363</v>
      </c>
      <c r="P56" s="69">
        <f t="shared" ref="P56" si="101">O56+P59+P57</f>
        <v>60551.736324411431</v>
      </c>
      <c r="Q56" s="69">
        <f t="shared" ref="Q56" si="102">P56+Q59+Q57</f>
        <v>60510.617959851166</v>
      </c>
      <c r="R56" s="69">
        <f t="shared" ref="R56" si="103">Q56+R59+R57</f>
        <v>60482.198452708348</v>
      </c>
      <c r="S56" s="69">
        <f t="shared" ref="S56" si="104">R56+S59+S57</f>
        <v>60431.419673403114</v>
      </c>
      <c r="T56" s="69">
        <f t="shared" ref="T56" si="105">S56+T59+T57</f>
        <v>60337.764999023537</v>
      </c>
      <c r="U56" s="69">
        <f t="shared" ref="U56" si="106">T56+U59+U57</f>
        <v>60211.199209370854</v>
      </c>
      <c r="V56" s="69">
        <f t="shared" ref="V56" si="107">U56+V59+V57</f>
        <v>60211.199209370854</v>
      </c>
      <c r="W56" s="69">
        <f t="shared" ref="W56" si="108">V56+W59+W57</f>
        <v>60211.199209370854</v>
      </c>
      <c r="X56" s="69">
        <f t="shared" ref="X56" si="109">W56+X59+X57</f>
        <v>60211.199209370854</v>
      </c>
      <c r="Y56" s="69">
        <f t="shared" ref="Y56" si="110">X56+Y59+Y57</f>
        <v>60211.199209370854</v>
      </c>
      <c r="Z56" s="69">
        <f t="shared" ref="Z56" si="111">Y56+Z59+Z57</f>
        <v>60211.199209370854</v>
      </c>
      <c r="AA56" s="69">
        <f t="shared" ref="AA56" si="112">Z56+AA59+AA57</f>
        <v>60211.199209370854</v>
      </c>
      <c r="AB56" s="69">
        <f t="shared" ref="AB56" si="113">AA56+AB59+AB57</f>
        <v>60211.199209370854</v>
      </c>
    </row>
    <row r="57" spans="2:29" s="763" customFormat="1">
      <c r="B57" s="762" t="s">
        <v>3087</v>
      </c>
      <c r="G57" s="764"/>
      <c r="H57" s="765">
        <v>0</v>
      </c>
      <c r="I57" s="765">
        <f t="shared" ref="I57:AB57" si="114">H56*(I68)-I59</f>
        <v>-11.216859011439396</v>
      </c>
      <c r="J57" s="765">
        <f t="shared" si="114"/>
        <v>1414.9057025001152</v>
      </c>
      <c r="K57" s="765">
        <f t="shared" si="114"/>
        <v>2847.3665255849751</v>
      </c>
      <c r="L57" s="765">
        <f t="shared" si="114"/>
        <v>1808.6734508650147</v>
      </c>
      <c r="M57" s="765">
        <f t="shared" si="114"/>
        <v>1764.5867179477461</v>
      </c>
      <c r="N57" s="765">
        <f t="shared" si="114"/>
        <v>2776.9771541803721</v>
      </c>
      <c r="O57" s="765">
        <f t="shared" si="114"/>
        <v>2916.0352993117185</v>
      </c>
      <c r="P57" s="765">
        <f t="shared" si="114"/>
        <v>-20.378777246408372</v>
      </c>
      <c r="Q57" s="765">
        <f t="shared" si="114"/>
        <v>-32.554534907833464</v>
      </c>
      <c r="R57" s="765">
        <f t="shared" si="114"/>
        <v>-31.906158992885704</v>
      </c>
      <c r="S57" s="765">
        <f t="shared" si="114"/>
        <v>-37.943362108863965</v>
      </c>
      <c r="T57" s="765">
        <f t="shared" si="114"/>
        <v>-43.311122675460339</v>
      </c>
      <c r="U57" s="765">
        <f t="shared" si="114"/>
        <v>-47.46262866799384</v>
      </c>
      <c r="V57" s="765">
        <f t="shared" si="114"/>
        <v>-10.415633481024997</v>
      </c>
      <c r="W57" s="765">
        <f t="shared" si="114"/>
        <v>-10.415633481032273</v>
      </c>
      <c r="X57" s="765">
        <f t="shared" si="114"/>
        <v>-10.415633481032273</v>
      </c>
      <c r="Y57" s="765">
        <f t="shared" si="114"/>
        <v>-10.415633481024997</v>
      </c>
      <c r="Z57" s="765">
        <f t="shared" si="114"/>
        <v>-10.415633481032273</v>
      </c>
      <c r="AA57" s="765">
        <f t="shared" si="114"/>
        <v>-10.415633481024997</v>
      </c>
      <c r="AB57" s="765">
        <f t="shared" si="114"/>
        <v>-10.415633481032273</v>
      </c>
    </row>
    <row r="58" spans="2:29" s="763" customFormat="1">
      <c r="B58" s="793" t="s">
        <v>3086</v>
      </c>
      <c r="C58" s="794"/>
      <c r="D58" s="794"/>
      <c r="E58" s="794"/>
      <c r="F58" s="794"/>
      <c r="G58" s="795"/>
      <c r="H58" s="796">
        <f>H57</f>
        <v>0</v>
      </c>
      <c r="I58" s="796">
        <f>H58+I57</f>
        <v>-11.216859011439396</v>
      </c>
      <c r="J58" s="796">
        <f>I58+J57</f>
        <v>1403.688843488676</v>
      </c>
      <c r="K58" s="796">
        <f t="shared" ref="K58:U58" si="115">J58+K57</f>
        <v>4251.0553690736506</v>
      </c>
      <c r="L58" s="796">
        <f t="shared" si="115"/>
        <v>6059.7288199386658</v>
      </c>
      <c r="M58" s="796">
        <f t="shared" si="115"/>
        <v>7824.3155378864121</v>
      </c>
      <c r="N58" s="796">
        <f t="shared" si="115"/>
        <v>10601.292692066785</v>
      </c>
      <c r="O58" s="796">
        <f t="shared" si="115"/>
        <v>13517.327991378505</v>
      </c>
      <c r="P58" s="796">
        <f t="shared" si="115"/>
        <v>13496.949214132097</v>
      </c>
      <c r="Q58" s="796">
        <f t="shared" si="115"/>
        <v>13464.394679224264</v>
      </c>
      <c r="R58" s="796">
        <f t="shared" si="115"/>
        <v>13432.488520231378</v>
      </c>
      <c r="S58" s="796">
        <f t="shared" si="115"/>
        <v>13394.545158122513</v>
      </c>
      <c r="T58" s="796">
        <f t="shared" si="115"/>
        <v>13351.234035447053</v>
      </c>
      <c r="U58" s="796">
        <f t="shared" si="115"/>
        <v>13303.771406779058</v>
      </c>
      <c r="V58" s="796">
        <f t="shared" ref="V58" si="116">U58+V57</f>
        <v>13293.355773298033</v>
      </c>
      <c r="W58" s="796">
        <f t="shared" ref="W58" si="117">V58+W57</f>
        <v>13282.940139817001</v>
      </c>
      <c r="X58" s="796">
        <f t="shared" ref="X58" si="118">W58+X57</f>
        <v>13272.524506335969</v>
      </c>
      <c r="Y58" s="796">
        <f t="shared" ref="Y58" si="119">X58+Y57</f>
        <v>13262.108872854944</v>
      </c>
      <c r="Z58" s="796">
        <f t="shared" ref="Z58" si="120">Y58+Z57</f>
        <v>13251.693239373912</v>
      </c>
      <c r="AA58" s="796">
        <f t="shared" ref="AA58" si="121">Z58+AA57</f>
        <v>13241.277605892887</v>
      </c>
      <c r="AB58" s="796">
        <f t="shared" ref="AB58" si="122">AA58+AB57</f>
        <v>13230.861972411854</v>
      </c>
    </row>
    <row r="59" spans="2:29" s="794" customFormat="1">
      <c r="B59" s="793" t="s">
        <v>3085</v>
      </c>
      <c r="G59" s="795"/>
      <c r="H59" s="796">
        <f>'Revenues"0"'!H42</f>
        <v>13.412199951038929</v>
      </c>
      <c r="I59" s="796">
        <f>'Revenues"0"'!I42</f>
        <v>-510.52795062267251</v>
      </c>
      <c r="J59" s="796">
        <f>'Revenues"0"'!J42</f>
        <v>40.446364988652931</v>
      </c>
      <c r="K59" s="796">
        <f>'Revenues"0"'!K42</f>
        <v>48.420293875649804</v>
      </c>
      <c r="L59" s="796">
        <f>'Revenues"0"'!L42</f>
        <v>245.63043449662655</v>
      </c>
      <c r="M59" s="796">
        <f>'Revenues"0"'!M42</f>
        <v>-1631.0339824845796</v>
      </c>
      <c r="N59" s="796">
        <f>'Revenues"0"'!N42</f>
        <v>-1376.9817530377404</v>
      </c>
      <c r="O59" s="796">
        <f>'Revenues"0"'!O42</f>
        <v>-670.92974374769983</v>
      </c>
      <c r="P59" s="796">
        <f>'Revenues"0"'!P42</f>
        <v>18.042945654473442</v>
      </c>
      <c r="Q59" s="796">
        <f>'Revenues"0"'!Q42</f>
        <v>-8.5638296524339239</v>
      </c>
      <c r="R59" s="796">
        <f>'Revenues"0"'!R42</f>
        <v>3.4866518500639359</v>
      </c>
      <c r="S59" s="796">
        <f>'Revenues"0"'!S42</f>
        <v>-12.835417196372873</v>
      </c>
      <c r="T59" s="796">
        <f>'Revenues"0"'!T42</f>
        <v>-50.343551704114361</v>
      </c>
      <c r="U59" s="796">
        <f>'Revenues"0"'!U42</f>
        <v>-79.103160984690476</v>
      </c>
      <c r="V59" s="796">
        <f>'Revenues"0"'!V42</f>
        <v>10.415633481024997</v>
      </c>
      <c r="W59" s="796">
        <f>'Revenues"0"'!W42</f>
        <v>10.415633481032273</v>
      </c>
      <c r="X59" s="796">
        <f>'Revenues"0"'!X42</f>
        <v>10.415633481032273</v>
      </c>
      <c r="Y59" s="796">
        <f>'Revenues"0"'!Y42</f>
        <v>10.415633481024997</v>
      </c>
      <c r="Z59" s="796">
        <f>'Revenues"0"'!Z42</f>
        <v>10.415633481032273</v>
      </c>
      <c r="AA59" s="796">
        <f>'Revenues"0"'!AA42</f>
        <v>10.415633481024997</v>
      </c>
      <c r="AB59" s="796">
        <f>'Revenues"0"'!AB42</f>
        <v>10.415633481032273</v>
      </c>
    </row>
    <row r="60" spans="2:29" s="763" customFormat="1">
      <c r="B60" s="762" t="s">
        <v>3089</v>
      </c>
      <c r="G60" s="764"/>
      <c r="H60" s="796">
        <f>H69-G69</f>
        <v>3551.6689238951949</v>
      </c>
      <c r="I60" s="765">
        <f t="shared" ref="I60:U60" si="123">I69-H69</f>
        <v>249.73193238036856</v>
      </c>
      <c r="J60" s="765">
        <f t="shared" si="123"/>
        <v>585.19226660730055</v>
      </c>
      <c r="K60" s="765">
        <f t="shared" si="123"/>
        <v>865.09218177876937</v>
      </c>
      <c r="L60" s="765">
        <f t="shared" si="123"/>
        <v>753.14737467482519</v>
      </c>
      <c r="M60" s="765">
        <f t="shared" si="123"/>
        <v>417.61126948578385</v>
      </c>
      <c r="N60" s="765">
        <f t="shared" si="123"/>
        <v>675.72855742624961</v>
      </c>
      <c r="O60" s="765">
        <f t="shared" si="123"/>
        <v>874.11186419231854</v>
      </c>
      <c r="P60" s="765">
        <f t="shared" si="123"/>
        <v>432.56462152457425</v>
      </c>
      <c r="Q60" s="765">
        <f t="shared" si="123"/>
        <v>429.15993210269335</v>
      </c>
      <c r="R60" s="765">
        <f t="shared" si="123"/>
        <v>436.70713635740867</v>
      </c>
      <c r="S60" s="765">
        <f t="shared" si="123"/>
        <v>436.38583696659407</v>
      </c>
      <c r="T60" s="765">
        <f t="shared" si="123"/>
        <v>430.67781437510166</v>
      </c>
      <c r="U60" s="765">
        <f t="shared" si="123"/>
        <v>426.57009057553114</v>
      </c>
      <c r="V60" s="765">
        <f t="shared" ref="V60:AB60" si="124">V69-U69</f>
        <v>0</v>
      </c>
      <c r="W60" s="765">
        <f t="shared" si="124"/>
        <v>0</v>
      </c>
      <c r="X60" s="765">
        <f t="shared" si="124"/>
        <v>0</v>
      </c>
      <c r="Y60" s="765">
        <f t="shared" si="124"/>
        <v>0</v>
      </c>
      <c r="Z60" s="765">
        <f t="shared" si="124"/>
        <v>0</v>
      </c>
      <c r="AA60" s="765">
        <f t="shared" si="124"/>
        <v>0</v>
      </c>
      <c r="AB60" s="765">
        <f t="shared" si="124"/>
        <v>0</v>
      </c>
    </row>
    <row r="61" spans="2:29" s="763" customFormat="1">
      <c r="B61" s="762" t="s">
        <v>3090</v>
      </c>
      <c r="G61" s="764"/>
      <c r="H61" s="765"/>
      <c r="I61" s="765">
        <f>I60</f>
        <v>249.73193238036856</v>
      </c>
      <c r="J61" s="765">
        <f>J60+I61</f>
        <v>834.92419898766912</v>
      </c>
      <c r="K61" s="765">
        <f t="shared" ref="K61:U61" si="125">K60+J61</f>
        <v>1700.0163807664385</v>
      </c>
      <c r="L61" s="765">
        <f t="shared" si="125"/>
        <v>2453.1637554412637</v>
      </c>
      <c r="M61" s="765">
        <f t="shared" si="125"/>
        <v>2870.7750249270475</v>
      </c>
      <c r="N61" s="765">
        <f t="shared" si="125"/>
        <v>3546.5035823532971</v>
      </c>
      <c r="O61" s="765">
        <f t="shared" si="125"/>
        <v>4420.6154465456157</v>
      </c>
      <c r="P61" s="765">
        <f t="shared" si="125"/>
        <v>4853.1800680701899</v>
      </c>
      <c r="Q61" s="765">
        <f t="shared" si="125"/>
        <v>5282.3400001728833</v>
      </c>
      <c r="R61" s="765">
        <f t="shared" si="125"/>
        <v>5719.0471365302919</v>
      </c>
      <c r="S61" s="765">
        <f t="shared" si="125"/>
        <v>6155.432973496886</v>
      </c>
      <c r="T61" s="765">
        <f t="shared" si="125"/>
        <v>6586.1107878719877</v>
      </c>
      <c r="U61" s="765">
        <f t="shared" si="125"/>
        <v>7012.6808784475188</v>
      </c>
      <c r="V61" s="765">
        <f t="shared" ref="V61" si="126">V60+U61</f>
        <v>7012.6808784475188</v>
      </c>
      <c r="W61" s="765">
        <f t="shared" ref="W61" si="127">W60+V61</f>
        <v>7012.6808784475188</v>
      </c>
      <c r="X61" s="765">
        <f t="shared" ref="X61" si="128">X60+W61</f>
        <v>7012.6808784475188</v>
      </c>
      <c r="Y61" s="765">
        <f t="shared" ref="Y61" si="129">Y60+X61</f>
        <v>7012.6808784475188</v>
      </c>
      <c r="Z61" s="765">
        <f t="shared" ref="Z61" si="130">Z60+Y61</f>
        <v>7012.6808784475188</v>
      </c>
      <c r="AA61" s="765">
        <f t="shared" ref="AA61" si="131">AA60+Z61</f>
        <v>7012.6808784475188</v>
      </c>
      <c r="AB61" s="765">
        <f t="shared" ref="AB61" si="132">AB60+AA61</f>
        <v>7012.6808784475188</v>
      </c>
    </row>
    <row r="62" spans="2:29" s="767" customFormat="1">
      <c r="B62" s="766" t="s">
        <v>3074</v>
      </c>
      <c r="F62" s="798" t="s">
        <v>3088</v>
      </c>
      <c r="G62" s="797">
        <f>Scenarios_Summary!C53</f>
        <v>0.2</v>
      </c>
      <c r="H62" s="767">
        <f t="shared" ref="H62:AB62" si="133">H58*H88*$G$62</f>
        <v>0</v>
      </c>
      <c r="I62" s="767">
        <f t="shared" si="133"/>
        <v>-3188.6661265369085</v>
      </c>
      <c r="J62" s="767">
        <f t="shared" si="133"/>
        <v>399032.83645318309</v>
      </c>
      <c r="K62" s="767">
        <f t="shared" si="133"/>
        <v>1208466.3133925353</v>
      </c>
      <c r="L62" s="767">
        <f t="shared" si="133"/>
        <v>1722625.9155465979</v>
      </c>
      <c r="M62" s="767">
        <f t="shared" si="133"/>
        <v>2224252.7871261197</v>
      </c>
      <c r="N62" s="767">
        <f t="shared" si="133"/>
        <v>3013676.3661040929</v>
      </c>
      <c r="O62" s="767">
        <f t="shared" si="133"/>
        <v>3842630.6190922479</v>
      </c>
      <c r="P62" s="767">
        <f t="shared" si="133"/>
        <v>3836837.4539432884</v>
      </c>
      <c r="Q62" s="767">
        <f t="shared" si="133"/>
        <v>3827583.0323070795</v>
      </c>
      <c r="R62" s="767">
        <f t="shared" si="133"/>
        <v>3818512.9273601631</v>
      </c>
      <c r="S62" s="767">
        <f t="shared" si="133"/>
        <v>3807726.5999792027</v>
      </c>
      <c r="T62" s="767">
        <f t="shared" si="133"/>
        <v>3795414.3555588457</v>
      </c>
      <c r="U62" s="767">
        <f t="shared" si="133"/>
        <v>3781921.9441667008</v>
      </c>
      <c r="V62" s="767">
        <f t="shared" si="133"/>
        <v>3778961.0459657423</v>
      </c>
      <c r="W62" s="767">
        <f t="shared" si="133"/>
        <v>3776000.1477647829</v>
      </c>
      <c r="X62" s="767">
        <f t="shared" si="133"/>
        <v>3773039.249563823</v>
      </c>
      <c r="Y62" s="767">
        <f t="shared" si="133"/>
        <v>3770078.3513628654</v>
      </c>
      <c r="Z62" s="767">
        <f t="shared" si="133"/>
        <v>3767117.4531619051</v>
      </c>
      <c r="AA62" s="767">
        <f t="shared" si="133"/>
        <v>3764156.5549609475</v>
      </c>
      <c r="AB62" s="767">
        <f t="shared" si="133"/>
        <v>3761195.6567599881</v>
      </c>
    </row>
    <row r="63" spans="2:29" s="767" customFormat="1">
      <c r="B63" s="766" t="s">
        <v>3255</v>
      </c>
      <c r="F63" s="798" t="s">
        <v>3088</v>
      </c>
      <c r="G63" s="797">
        <f>Scenarios_Summary!C54</f>
        <v>0.35</v>
      </c>
      <c r="H63" s="767">
        <f t="shared" ref="H63:AB63" si="134">H73*(H88-H89)*$G$63</f>
        <v>0</v>
      </c>
      <c r="I63" s="767">
        <f t="shared" si="134"/>
        <v>0</v>
      </c>
      <c r="J63" s="767">
        <f t="shared" si="134"/>
        <v>0</v>
      </c>
      <c r="K63" s="767">
        <f t="shared" si="134"/>
        <v>0</v>
      </c>
      <c r="L63" s="767">
        <f t="shared" si="134"/>
        <v>144566.34822038506</v>
      </c>
      <c r="M63" s="767">
        <f t="shared" si="134"/>
        <v>291501.69617205573</v>
      </c>
      <c r="N63" s="767">
        <f t="shared" si="134"/>
        <v>450635.2836675382</v>
      </c>
      <c r="O63" s="767">
        <f t="shared" si="134"/>
        <v>627660.93390627333</v>
      </c>
      <c r="P63" s="767">
        <f t="shared" si="134"/>
        <v>789199.16470573272</v>
      </c>
      <c r="Q63" s="767">
        <f t="shared" si="134"/>
        <v>952042.61015230743</v>
      </c>
      <c r="R63" s="767">
        <f t="shared" si="134"/>
        <v>1116858.5003898821</v>
      </c>
      <c r="S63" s="767">
        <f t="shared" si="134"/>
        <v>1283039.3422670446</v>
      </c>
      <c r="T63" s="767">
        <f t="shared" si="134"/>
        <v>1449937.8910642909</v>
      </c>
      <c r="U63" s="767">
        <f t="shared" si="134"/>
        <v>1617489.4571590673</v>
      </c>
      <c r="V63" s="767">
        <f t="shared" si="134"/>
        <v>1617489.4571590673</v>
      </c>
      <c r="W63" s="767">
        <f t="shared" si="134"/>
        <v>1617489.4571590673</v>
      </c>
      <c r="X63" s="767">
        <f t="shared" si="134"/>
        <v>1617489.4571590673</v>
      </c>
      <c r="Y63" s="767">
        <f t="shared" si="134"/>
        <v>1617489.4571590673</v>
      </c>
      <c r="Z63" s="767">
        <f t="shared" si="134"/>
        <v>1617489.4571590673</v>
      </c>
      <c r="AA63" s="767">
        <f t="shared" si="134"/>
        <v>1617489.4571590673</v>
      </c>
      <c r="AB63" s="767">
        <f t="shared" si="134"/>
        <v>1617489.4571590673</v>
      </c>
    </row>
    <row r="64" spans="2:29" s="767" customFormat="1">
      <c r="B64" s="766" t="s">
        <v>3256</v>
      </c>
      <c r="F64" s="798" t="s">
        <v>3088</v>
      </c>
      <c r="G64" s="797">
        <f>Scenarios_Summary!C55</f>
        <v>1</v>
      </c>
      <c r="H64" s="769">
        <f>-H66*H88</f>
        <v>0</v>
      </c>
      <c r="I64" s="769">
        <f t="shared" ref="I64:AB64" si="135">-I66*I88</f>
        <v>0</v>
      </c>
      <c r="J64" s="769">
        <f t="shared" si="135"/>
        <v>0</v>
      </c>
      <c r="K64" s="769">
        <f t="shared" si="135"/>
        <v>0</v>
      </c>
      <c r="L64" s="769">
        <f t="shared" si="135"/>
        <v>0</v>
      </c>
      <c r="M64" s="769">
        <f t="shared" si="135"/>
        <v>0</v>
      </c>
      <c r="N64" s="769">
        <f t="shared" si="135"/>
        <v>542901.6019202898</v>
      </c>
      <c r="O64" s="769">
        <f t="shared" si="135"/>
        <v>1085803.2038405796</v>
      </c>
      <c r="P64" s="769">
        <f t="shared" si="135"/>
        <v>1628704.8057608698</v>
      </c>
      <c r="Q64" s="769">
        <f t="shared" si="135"/>
        <v>1628704.8057608698</v>
      </c>
      <c r="R64" s="769">
        <f t="shared" si="135"/>
        <v>1628704.8057608698</v>
      </c>
      <c r="S64" s="769">
        <f t="shared" si="135"/>
        <v>1628704.8057608698</v>
      </c>
      <c r="T64" s="769">
        <f t="shared" si="135"/>
        <v>1628704.8057608698</v>
      </c>
      <c r="U64" s="769">
        <f t="shared" si="135"/>
        <v>1628704.8057608698</v>
      </c>
      <c r="V64" s="769">
        <f t="shared" si="135"/>
        <v>1628704.8057608698</v>
      </c>
      <c r="W64" s="769">
        <f t="shared" si="135"/>
        <v>1628704.8057608698</v>
      </c>
      <c r="X64" s="769">
        <f t="shared" si="135"/>
        <v>1628704.8057608698</v>
      </c>
      <c r="Y64" s="769">
        <f t="shared" si="135"/>
        <v>1628704.8057608698</v>
      </c>
      <c r="Z64" s="769">
        <f t="shared" si="135"/>
        <v>1628704.8057608698</v>
      </c>
      <c r="AA64" s="769">
        <f t="shared" si="135"/>
        <v>1628704.8057608698</v>
      </c>
      <c r="AB64" s="769">
        <f t="shared" si="135"/>
        <v>1628704.8057608698</v>
      </c>
    </row>
    <row r="65" spans="2:30" s="767" customFormat="1">
      <c r="B65" s="766" t="s">
        <v>3257</v>
      </c>
      <c r="G65" s="768"/>
      <c r="H65" s="769">
        <f>1036/23000*G56</f>
        <v>2291.7359739151734</v>
      </c>
      <c r="I65" s="769">
        <f>H65</f>
        <v>2291.7359739151734</v>
      </c>
      <c r="J65" s="769">
        <f t="shared" ref="J65:M65" si="136">I65</f>
        <v>2291.7359739151734</v>
      </c>
      <c r="K65" s="769">
        <f t="shared" si="136"/>
        <v>2291.7359739151734</v>
      </c>
      <c r="L65" s="769">
        <f t="shared" si="136"/>
        <v>2291.7359739151734</v>
      </c>
      <c r="M65" s="769">
        <f t="shared" si="136"/>
        <v>2291.7359739151734</v>
      </c>
      <c r="N65" s="767">
        <f>M65-P65/3</f>
        <v>1909.7799782626446</v>
      </c>
      <c r="O65" s="767">
        <f>N65-P65/3</f>
        <v>1527.8239826101158</v>
      </c>
      <c r="P65" s="769">
        <f>0.5*H65</f>
        <v>1145.8679869575867</v>
      </c>
      <c r="Q65" s="769">
        <f>P65</f>
        <v>1145.8679869575867</v>
      </c>
      <c r="R65" s="769">
        <f t="shared" ref="R65:AB65" si="137">Q65</f>
        <v>1145.8679869575867</v>
      </c>
      <c r="S65" s="769">
        <f t="shared" si="137"/>
        <v>1145.8679869575867</v>
      </c>
      <c r="T65" s="769">
        <f t="shared" si="137"/>
        <v>1145.8679869575867</v>
      </c>
      <c r="U65" s="769">
        <f t="shared" si="137"/>
        <v>1145.8679869575867</v>
      </c>
      <c r="V65" s="769">
        <f t="shared" si="137"/>
        <v>1145.8679869575867</v>
      </c>
      <c r="W65" s="769">
        <f t="shared" si="137"/>
        <v>1145.8679869575867</v>
      </c>
      <c r="X65" s="769">
        <f t="shared" si="137"/>
        <v>1145.8679869575867</v>
      </c>
      <c r="Y65" s="769">
        <f t="shared" si="137"/>
        <v>1145.8679869575867</v>
      </c>
      <c r="Z65" s="769">
        <f t="shared" si="137"/>
        <v>1145.8679869575867</v>
      </c>
      <c r="AA65" s="769">
        <f t="shared" si="137"/>
        <v>1145.8679869575867</v>
      </c>
      <c r="AB65" s="769">
        <f t="shared" si="137"/>
        <v>1145.8679869575867</v>
      </c>
    </row>
    <row r="66" spans="2:30" s="767" customFormat="1">
      <c r="B66" s="766" t="s">
        <v>3258</v>
      </c>
      <c r="G66" s="768"/>
      <c r="H66" s="769">
        <v>0</v>
      </c>
      <c r="I66" s="769">
        <f>I65-H65+H66</f>
        <v>0</v>
      </c>
      <c r="J66" s="769">
        <f t="shared" ref="J66:AB66" si="138">J65-I65+I66</f>
        <v>0</v>
      </c>
      <c r="K66" s="769">
        <f t="shared" si="138"/>
        <v>0</v>
      </c>
      <c r="L66" s="769">
        <f t="shared" si="138"/>
        <v>0</v>
      </c>
      <c r="M66" s="769">
        <f t="shared" si="138"/>
        <v>0</v>
      </c>
      <c r="N66" s="769">
        <f t="shared" si="138"/>
        <v>-381.95599565252883</v>
      </c>
      <c r="O66" s="769">
        <f t="shared" si="138"/>
        <v>-763.91199130505765</v>
      </c>
      <c r="P66" s="769">
        <f t="shared" si="138"/>
        <v>-1145.8679869575867</v>
      </c>
      <c r="Q66" s="769">
        <f t="shared" si="138"/>
        <v>-1145.8679869575867</v>
      </c>
      <c r="R66" s="769">
        <f t="shared" si="138"/>
        <v>-1145.8679869575867</v>
      </c>
      <c r="S66" s="769">
        <f t="shared" si="138"/>
        <v>-1145.8679869575867</v>
      </c>
      <c r="T66" s="769">
        <f t="shared" si="138"/>
        <v>-1145.8679869575867</v>
      </c>
      <c r="U66" s="769">
        <f t="shared" si="138"/>
        <v>-1145.8679869575867</v>
      </c>
      <c r="V66" s="769">
        <f t="shared" si="138"/>
        <v>-1145.8679869575867</v>
      </c>
      <c r="W66" s="769">
        <f t="shared" si="138"/>
        <v>-1145.8679869575867</v>
      </c>
      <c r="X66" s="769">
        <f t="shared" si="138"/>
        <v>-1145.8679869575867</v>
      </c>
      <c r="Y66" s="769">
        <f t="shared" si="138"/>
        <v>-1145.8679869575867</v>
      </c>
      <c r="Z66" s="769">
        <f t="shared" si="138"/>
        <v>-1145.8679869575867</v>
      </c>
      <c r="AA66" s="769">
        <f t="shared" si="138"/>
        <v>-1145.8679869575867</v>
      </c>
      <c r="AB66" s="769">
        <f t="shared" si="138"/>
        <v>-1145.8679869575867</v>
      </c>
    </row>
    <row r="67" spans="2:30" s="836" customFormat="1">
      <c r="B67" s="835" t="s">
        <v>3137</v>
      </c>
      <c r="G67" s="837"/>
      <c r="I67" s="801"/>
      <c r="J67" s="801"/>
      <c r="K67" s="801"/>
      <c r="L67" s="801"/>
      <c r="M67" s="801"/>
      <c r="N67" s="838">
        <f>Scenarios_Summary!C37/2</f>
        <v>3.6000000000000004E-2</v>
      </c>
      <c r="O67" s="838">
        <f>N67</f>
        <v>3.6000000000000004E-2</v>
      </c>
      <c r="P67" s="838">
        <v>0</v>
      </c>
      <c r="Q67" s="836">
        <f t="shared" ref="Q67:AB67" si="139">P67</f>
        <v>0</v>
      </c>
      <c r="R67" s="836">
        <f t="shared" si="139"/>
        <v>0</v>
      </c>
      <c r="S67" s="836">
        <f t="shared" si="139"/>
        <v>0</v>
      </c>
      <c r="T67" s="836">
        <f t="shared" si="139"/>
        <v>0</v>
      </c>
      <c r="U67" s="836">
        <f t="shared" si="139"/>
        <v>0</v>
      </c>
      <c r="V67" s="836">
        <f t="shared" si="139"/>
        <v>0</v>
      </c>
      <c r="W67" s="836">
        <f t="shared" si="139"/>
        <v>0</v>
      </c>
      <c r="X67" s="836">
        <f t="shared" si="139"/>
        <v>0</v>
      </c>
      <c r="Y67" s="836">
        <f t="shared" si="139"/>
        <v>0</v>
      </c>
      <c r="Z67" s="836">
        <f t="shared" si="139"/>
        <v>0</v>
      </c>
      <c r="AA67" s="836">
        <f t="shared" si="139"/>
        <v>0</v>
      </c>
      <c r="AB67" s="836">
        <f t="shared" si="139"/>
        <v>0</v>
      </c>
    </row>
    <row r="68" spans="2:30" s="332" customFormat="1">
      <c r="B68" s="616" t="s">
        <v>2912</v>
      </c>
      <c r="C68" s="471"/>
      <c r="D68" s="471"/>
      <c r="E68" s="471"/>
      <c r="F68" s="471"/>
      <c r="G68" s="617"/>
      <c r="H68" s="332">
        <f>H56/G56-1</f>
        <v>2.6361332361202194E-4</v>
      </c>
      <c r="I68" s="618">
        <f>'Hospit_Data_"A"'!N3/'Hospit_Data_"A"'!M3-1+I67</f>
        <v>-1.025205680798813E-2</v>
      </c>
      <c r="J68" s="618">
        <f>'Hospit_Data_"A"'!O3/'Hospit_Data_"A"'!N3-1+J67</f>
        <v>2.8893245380972266E-2</v>
      </c>
      <c r="K68" s="618">
        <f>'Hospit_Data_"A"'!P3/'Hospit_Data_"A"'!O3-1+K67</f>
        <v>5.587589977097851E-2</v>
      </c>
      <c r="L68" s="618">
        <f>'Hospit_Data_"A"'!Q3/'Hospit_Data_"A"'!P3-1+L67</f>
        <v>3.7541338497696364E-2</v>
      </c>
      <c r="M68" s="618">
        <f>'Hospit_Data_"A"'!R3/'Hospit_Data_"A"'!Q3-1+M67</f>
        <v>2.3522985664692353E-3</v>
      </c>
      <c r="N68" s="618">
        <f>'Hospit_Data_"A"'!S3/'Hospit_Data_"A"'!R3-1+N67</f>
        <v>2.4600609915083699E-2</v>
      </c>
      <c r="O68" s="618">
        <f>'Hospit_Data_"A"'!T3/'Hospit_Data_"A"'!S3-1+O67</f>
        <v>3.8503607360228925E-2</v>
      </c>
      <c r="P68" s="618">
        <f>'Hospit_Data_"A"'!U3/'Hospit_Data_"A"'!T3-1+P67</f>
        <v>-3.8574310674222012E-5</v>
      </c>
      <c r="Q68" s="618">
        <f>'Hospit_Data_"A"'!V3/'Hospit_Data_"A"'!U3-1+Q67</f>
        <v>-6.7906169263209915E-4</v>
      </c>
      <c r="R68" s="618">
        <f>'Hospit_Data_"A"'!W3/'Hospit_Data_"A"'!V3-1+R67</f>
        <v>-4.6966149249505484E-4</v>
      </c>
      <c r="S68" s="618">
        <f>'Hospit_Data_"A"'!X3/'Hospit_Data_"A"'!W3-1+S67</f>
        <v>-8.3956570039267486E-4</v>
      </c>
      <c r="T68" s="618">
        <f>'Hospit_Data_"A"'!Y3/'Hospit_Data_"A"'!X3-1+T67</f>
        <v>-1.549767900302923E-3</v>
      </c>
      <c r="U68" s="618">
        <f>'Hospit_Data_"A"'!Z3/'Hospit_Data_"A"'!Y3-1+U67</f>
        <v>-2.0976214424702766E-3</v>
      </c>
      <c r="V68" s="618">
        <v>0</v>
      </c>
      <c r="W68" s="618">
        <v>0</v>
      </c>
      <c r="X68" s="618">
        <v>0</v>
      </c>
      <c r="Y68" s="618">
        <v>0</v>
      </c>
      <c r="Z68" s="618">
        <v>0</v>
      </c>
      <c r="AA68" s="618">
        <v>0</v>
      </c>
      <c r="AB68" s="618">
        <v>0</v>
      </c>
      <c r="AD68" s="69"/>
    </row>
    <row r="69" spans="2:30">
      <c r="B69" s="554" t="s">
        <v>2906</v>
      </c>
      <c r="E69" s="458">
        <f>Revenues_Data!F41</f>
        <v>8038</v>
      </c>
      <c r="F69" s="458">
        <f>Revenues_Data!G41</f>
        <v>4786</v>
      </c>
      <c r="G69" s="607">
        <f>Revenues_Data!H41</f>
        <v>4488.45</v>
      </c>
      <c r="H69" s="69">
        <f>H72*H70</f>
        <v>8040.1189238951947</v>
      </c>
      <c r="I69" s="69">
        <f t="shared" ref="I69:AB69" si="140">I56/(1-I72)*I72</f>
        <v>8289.8508562755633</v>
      </c>
      <c r="J69" s="69">
        <f t="shared" si="140"/>
        <v>8875.0431228828638</v>
      </c>
      <c r="K69" s="69">
        <f t="shared" si="140"/>
        <v>9740.1353046616332</v>
      </c>
      <c r="L69" s="69">
        <f t="shared" si="140"/>
        <v>10493.282679336458</v>
      </c>
      <c r="M69" s="69">
        <f t="shared" si="140"/>
        <v>10910.893948822242</v>
      </c>
      <c r="N69" s="69">
        <f t="shared" si="140"/>
        <v>11586.622506248492</v>
      </c>
      <c r="O69" s="69">
        <f t="shared" si="140"/>
        <v>12460.73437044081</v>
      </c>
      <c r="P69" s="69">
        <f t="shared" si="140"/>
        <v>12893.298991965385</v>
      </c>
      <c r="Q69" s="69">
        <f t="shared" si="140"/>
        <v>13322.458924068078</v>
      </c>
      <c r="R69" s="69">
        <f t="shared" si="140"/>
        <v>13759.166060425487</v>
      </c>
      <c r="S69" s="69">
        <f t="shared" si="140"/>
        <v>14195.551897392081</v>
      </c>
      <c r="T69" s="69">
        <f t="shared" si="140"/>
        <v>14626.229711767182</v>
      </c>
      <c r="U69" s="69">
        <f t="shared" si="140"/>
        <v>15052.799802342714</v>
      </c>
      <c r="V69" s="69">
        <f t="shared" si="140"/>
        <v>15052.799802342714</v>
      </c>
      <c r="W69" s="69">
        <f t="shared" si="140"/>
        <v>15052.799802342714</v>
      </c>
      <c r="X69" s="69">
        <f t="shared" si="140"/>
        <v>15052.799802342714</v>
      </c>
      <c r="Y69" s="69">
        <f t="shared" si="140"/>
        <v>15052.799802342714</v>
      </c>
      <c r="Z69" s="69">
        <f t="shared" si="140"/>
        <v>15052.799802342714</v>
      </c>
      <c r="AA69" s="69">
        <f t="shared" si="140"/>
        <v>15052.799802342714</v>
      </c>
      <c r="AB69" s="69">
        <f t="shared" si="140"/>
        <v>15052.799802342714</v>
      </c>
    </row>
    <row r="70" spans="2:30">
      <c r="B70" s="554" t="s">
        <v>2910</v>
      </c>
      <c r="E70" s="458">
        <f>E56+E69</f>
        <v>58916.308301205587</v>
      </c>
      <c r="F70" s="458">
        <f>F56+F69</f>
        <v>46860.749266741324</v>
      </c>
      <c r="G70" s="607">
        <f>G56+G69</f>
        <v>55366.758301205584</v>
      </c>
      <c r="H70" s="69">
        <f>H56/(1-H72)</f>
        <v>58931.839425051825</v>
      </c>
      <c r="I70" s="69">
        <f t="shared" ref="I70:AB70" si="141">I69+I56</f>
        <v>58659.826547798075</v>
      </c>
      <c r="J70" s="69">
        <f t="shared" si="141"/>
        <v>60700.370881894152</v>
      </c>
      <c r="K70" s="69">
        <f t="shared" si="141"/>
        <v>64461.249883133547</v>
      </c>
      <c r="L70" s="69">
        <f t="shared" si="141"/>
        <v>67268.701143170008</v>
      </c>
      <c r="M70" s="69">
        <f t="shared" si="141"/>
        <v>67819.865148118959</v>
      </c>
      <c r="N70" s="69">
        <f t="shared" si="141"/>
        <v>69895.589106687839</v>
      </c>
      <c r="O70" s="69">
        <f t="shared" si="141"/>
        <v>73014.806526444168</v>
      </c>
      <c r="P70" s="69">
        <f t="shared" si="141"/>
        <v>73445.035316376816</v>
      </c>
      <c r="Q70" s="69">
        <f t="shared" si="141"/>
        <v>73833.076883919246</v>
      </c>
      <c r="R70" s="69">
        <f t="shared" si="141"/>
        <v>74241.364513133827</v>
      </c>
      <c r="S70" s="69">
        <f t="shared" si="141"/>
        <v>74626.971570795198</v>
      </c>
      <c r="T70" s="69">
        <f t="shared" si="141"/>
        <v>74963.994710790721</v>
      </c>
      <c r="U70" s="69">
        <f t="shared" si="141"/>
        <v>75263.999011713575</v>
      </c>
      <c r="V70" s="69">
        <f t="shared" si="141"/>
        <v>75263.999011713575</v>
      </c>
      <c r="W70" s="69">
        <f t="shared" si="141"/>
        <v>75263.999011713575</v>
      </c>
      <c r="X70" s="69">
        <f t="shared" si="141"/>
        <v>75263.999011713575</v>
      </c>
      <c r="Y70" s="69">
        <f t="shared" si="141"/>
        <v>75263.999011713575</v>
      </c>
      <c r="Z70" s="69">
        <f t="shared" si="141"/>
        <v>75263.999011713575</v>
      </c>
      <c r="AA70" s="69">
        <f t="shared" si="141"/>
        <v>75263.999011713575</v>
      </c>
      <c r="AB70" s="69">
        <f t="shared" si="141"/>
        <v>75263.999011713575</v>
      </c>
    </row>
    <row r="71" spans="2:30" s="332" customFormat="1">
      <c r="B71" s="616" t="s">
        <v>2913</v>
      </c>
      <c r="C71" s="471"/>
      <c r="D71" s="471"/>
      <c r="E71" s="471"/>
      <c r="F71" s="471"/>
      <c r="G71" s="617"/>
      <c r="H71" s="332">
        <f>H70/G70-1</f>
        <v>6.4390280977830283E-2</v>
      </c>
      <c r="I71" s="332">
        <f t="shared" ref="I71:AB71" si="142">I70/H70-1</f>
        <v>-4.6157201252761126E-3</v>
      </c>
      <c r="J71" s="332">
        <f t="shared" si="142"/>
        <v>3.4786061503836452E-2</v>
      </c>
      <c r="K71" s="332">
        <f t="shared" si="142"/>
        <v>6.1958089326290988E-2</v>
      </c>
      <c r="L71" s="332">
        <f t="shared" si="142"/>
        <v>4.3552541490062602E-2</v>
      </c>
      <c r="M71" s="332">
        <f t="shared" si="142"/>
        <v>8.1934688136149347E-3</v>
      </c>
      <c r="N71" s="332">
        <f t="shared" si="142"/>
        <v>3.0606430048710553E-2</v>
      </c>
      <c r="O71" s="332">
        <f t="shared" si="142"/>
        <v>4.4626813503140905E-2</v>
      </c>
      <c r="P71" s="332">
        <f t="shared" si="142"/>
        <v>5.8923499273648705E-3</v>
      </c>
      <c r="Q71" s="332">
        <f t="shared" si="142"/>
        <v>5.2834281564557717E-3</v>
      </c>
      <c r="R71" s="332">
        <f t="shared" si="142"/>
        <v>5.5298742304412674E-3</v>
      </c>
      <c r="S71" s="332">
        <f t="shared" si="142"/>
        <v>5.1939651189083502E-3</v>
      </c>
      <c r="T71" s="332">
        <f t="shared" si="142"/>
        <v>4.516103667369098E-3</v>
      </c>
      <c r="U71" s="332">
        <f t="shared" si="142"/>
        <v>4.0019785775859962E-3</v>
      </c>
      <c r="V71" s="332">
        <f t="shared" si="142"/>
        <v>0</v>
      </c>
      <c r="W71" s="332">
        <f t="shared" si="142"/>
        <v>0</v>
      </c>
      <c r="X71" s="332">
        <f t="shared" si="142"/>
        <v>0</v>
      </c>
      <c r="Y71" s="332">
        <f t="shared" si="142"/>
        <v>0</v>
      </c>
      <c r="Z71" s="332">
        <f t="shared" si="142"/>
        <v>0</v>
      </c>
      <c r="AA71" s="332">
        <f t="shared" si="142"/>
        <v>0</v>
      </c>
      <c r="AB71" s="332">
        <f t="shared" si="142"/>
        <v>0</v>
      </c>
    </row>
    <row r="72" spans="2:30" s="332" customFormat="1">
      <c r="B72" s="616" t="s">
        <v>2911</v>
      </c>
      <c r="C72" s="471"/>
      <c r="D72" s="471"/>
      <c r="E72" s="471">
        <f>E69/E70</f>
        <v>0.13643081570736368</v>
      </c>
      <c r="F72" s="471">
        <f t="shared" ref="F72:G72" si="143">F69/F70</f>
        <v>0.1021323831754604</v>
      </c>
      <c r="G72" s="617">
        <f t="shared" si="143"/>
        <v>8.1067596112129006E-2</v>
      </c>
      <c r="H72" s="332">
        <f>E72</f>
        <v>0.13643081570736368</v>
      </c>
      <c r="I72" s="332">
        <f t="shared" ref="I72:T72" si="144">H72+($U$72-$H$72)/COUNT($I$55:$U$55)</f>
        <v>0.14132075296064339</v>
      </c>
      <c r="J72" s="332">
        <f t="shared" si="144"/>
        <v>0.14621069021392311</v>
      </c>
      <c r="K72" s="332">
        <f t="shared" si="144"/>
        <v>0.15110062746720282</v>
      </c>
      <c r="L72" s="332">
        <f t="shared" si="144"/>
        <v>0.15599056472048253</v>
      </c>
      <c r="M72" s="332">
        <f t="shared" si="144"/>
        <v>0.16088050197376225</v>
      </c>
      <c r="N72" s="332">
        <f t="shared" si="144"/>
        <v>0.16577043922704196</v>
      </c>
      <c r="O72" s="332">
        <f t="shared" si="144"/>
        <v>0.17066037648032167</v>
      </c>
      <c r="P72" s="332">
        <f t="shared" si="144"/>
        <v>0.17555031373360139</v>
      </c>
      <c r="Q72" s="332">
        <f t="shared" si="144"/>
        <v>0.1804402509868811</v>
      </c>
      <c r="R72" s="332">
        <f t="shared" si="144"/>
        <v>0.18533018824016081</v>
      </c>
      <c r="S72" s="332">
        <f t="shared" si="144"/>
        <v>0.19022012549344053</v>
      </c>
      <c r="T72" s="332">
        <f t="shared" si="144"/>
        <v>0.19511006274672024</v>
      </c>
      <c r="U72" s="618">
        <f>MAX(10%,Scenarios_Summary!C36)</f>
        <v>0.2</v>
      </c>
      <c r="V72" s="332">
        <f>U72</f>
        <v>0.2</v>
      </c>
      <c r="W72" s="332">
        <f t="shared" ref="W72:AB72" si="145">V72</f>
        <v>0.2</v>
      </c>
      <c r="X72" s="332">
        <f t="shared" si="145"/>
        <v>0.2</v>
      </c>
      <c r="Y72" s="332">
        <f t="shared" si="145"/>
        <v>0.2</v>
      </c>
      <c r="Z72" s="332">
        <f t="shared" si="145"/>
        <v>0.2</v>
      </c>
      <c r="AA72" s="332">
        <f t="shared" si="145"/>
        <v>0.2</v>
      </c>
      <c r="AB72" s="332">
        <f t="shared" si="145"/>
        <v>0.2</v>
      </c>
      <c r="AC72" s="682" t="s">
        <v>3078</v>
      </c>
    </row>
    <row r="73" spans="2:30" s="599" customFormat="1">
      <c r="B73" s="985" t="s">
        <v>3249</v>
      </c>
      <c r="G73" s="986"/>
      <c r="H73" s="987">
        <v>0</v>
      </c>
      <c r="I73" s="987">
        <v>0</v>
      </c>
      <c r="J73" s="987">
        <v>0</v>
      </c>
      <c r="K73" s="987">
        <v>0</v>
      </c>
      <c r="L73" s="599">
        <f t="shared" ref="L73:AB73" si="146">L69-L56/(1-$K$72)*$K$72</f>
        <v>387.48965818915894</v>
      </c>
      <c r="M73" s="599">
        <f t="shared" si="146"/>
        <v>781.32908523826518</v>
      </c>
      <c r="N73" s="599">
        <f t="shared" si="146"/>
        <v>1207.8641688459466</v>
      </c>
      <c r="O73" s="599">
        <f t="shared" si="146"/>
        <v>1682.3563971282165</v>
      </c>
      <c r="P73" s="599">
        <f t="shared" si="146"/>
        <v>2115.3367871532973</v>
      </c>
      <c r="Q73" s="599">
        <f t="shared" si="146"/>
        <v>2551.815620513913</v>
      </c>
      <c r="R73" s="599">
        <f t="shared" si="146"/>
        <v>2993.5813132804014</v>
      </c>
      <c r="S73" s="599">
        <f t="shared" si="146"/>
        <v>3439.0055659453683</v>
      </c>
      <c r="T73" s="599">
        <f t="shared" si="146"/>
        <v>3886.3535305430687</v>
      </c>
      <c r="U73" s="599">
        <f t="shared" si="146"/>
        <v>4335.4518156858085</v>
      </c>
      <c r="V73" s="599">
        <f t="shared" si="146"/>
        <v>4335.4518156858085</v>
      </c>
      <c r="W73" s="599">
        <f t="shared" si="146"/>
        <v>4335.4518156858085</v>
      </c>
      <c r="X73" s="599">
        <f t="shared" si="146"/>
        <v>4335.4518156858085</v>
      </c>
      <c r="Y73" s="599">
        <f t="shared" si="146"/>
        <v>4335.4518156858085</v>
      </c>
      <c r="Z73" s="599">
        <f t="shared" si="146"/>
        <v>4335.4518156858085</v>
      </c>
      <c r="AA73" s="599">
        <f t="shared" si="146"/>
        <v>4335.4518156858085</v>
      </c>
      <c r="AB73" s="599">
        <f t="shared" si="146"/>
        <v>4335.4518156858085</v>
      </c>
      <c r="AC73" s="988"/>
    </row>
    <row r="74" spans="2:30">
      <c r="B74" s="554" t="s">
        <v>2905</v>
      </c>
      <c r="E74" s="458">
        <f>Revenues_Data!F25</f>
        <v>706654</v>
      </c>
      <c r="F74" s="458">
        <f>Revenues_Data!G25</f>
        <v>595152</v>
      </c>
      <c r="G74" s="607">
        <f>Revenues_Data!H25</f>
        <v>702975.45000000007</v>
      </c>
      <c r="H74" s="69">
        <f>H83*H70</f>
        <v>748240.23674601666</v>
      </c>
      <c r="I74" s="69">
        <f t="shared" ref="I74:U74" si="147">I83*I70</f>
        <v>744786.56922672677</v>
      </c>
      <c r="J74" s="69">
        <f t="shared" si="147"/>
        <v>770694.76063107897</v>
      </c>
      <c r="K74" s="69">
        <f t="shared" si="147"/>
        <v>818445.53545356391</v>
      </c>
      <c r="L74" s="69">
        <f t="shared" si="147"/>
        <v>854090.91859376163</v>
      </c>
      <c r="M74" s="69">
        <f t="shared" si="147"/>
        <v>861088.88589925144</v>
      </c>
      <c r="N74" s="69">
        <f t="shared" si="147"/>
        <v>887443.74265124893</v>
      </c>
      <c r="O74" s="69">
        <f t="shared" si="147"/>
        <v>927047.52904907556</v>
      </c>
      <c r="P74" s="69">
        <f t="shared" si="147"/>
        <v>932510.01748953166</v>
      </c>
      <c r="Q74" s="69">
        <f t="shared" si="147"/>
        <v>937436.8671721128</v>
      </c>
      <c r="R74" s="69">
        <f t="shared" si="147"/>
        <v>942620.77514655353</v>
      </c>
      <c r="S74" s="69">
        <f t="shared" si="147"/>
        <v>947516.71457302303</v>
      </c>
      <c r="T74" s="69">
        <f t="shared" si="147"/>
        <v>951795.79828259989</v>
      </c>
      <c r="U74" s="69">
        <f t="shared" si="147"/>
        <v>955604.86467756319</v>
      </c>
      <c r="V74" s="69">
        <f t="shared" ref="V74:AB74" si="148">V83*V70</f>
        <v>955604.86467756319</v>
      </c>
      <c r="W74" s="69">
        <f t="shared" si="148"/>
        <v>955604.86467756319</v>
      </c>
      <c r="X74" s="69">
        <f t="shared" si="148"/>
        <v>955604.86467756319</v>
      </c>
      <c r="Y74" s="69">
        <f t="shared" si="148"/>
        <v>955604.86467756319</v>
      </c>
      <c r="Z74" s="69">
        <f t="shared" si="148"/>
        <v>955604.86467756319</v>
      </c>
      <c r="AA74" s="69">
        <f t="shared" si="148"/>
        <v>955604.86467756319</v>
      </c>
      <c r="AB74" s="69">
        <f t="shared" si="148"/>
        <v>955604.86467756319</v>
      </c>
      <c r="AC74" s="332">
        <f>U74/E74-1</f>
        <v>0.35229527417599438</v>
      </c>
    </row>
    <row r="75" spans="2:30">
      <c r="B75" s="554" t="s">
        <v>2904</v>
      </c>
      <c r="E75" s="458">
        <f>Revenues_Data!F33</f>
        <v>581507</v>
      </c>
      <c r="F75" s="458">
        <f>Revenues_Data!G33</f>
        <v>412794</v>
      </c>
      <c r="G75" s="607">
        <f>Revenues_Data!H33</f>
        <v>585417.85</v>
      </c>
      <c r="H75" s="69">
        <f>H84*H70</f>
        <v>623113.06985093723</v>
      </c>
      <c r="I75" s="69">
        <f t="shared" ref="I75:U75" si="149">I84*I70</f>
        <v>620236.9543141037</v>
      </c>
      <c r="J75" s="69">
        <f t="shared" si="149"/>
        <v>641812.55515382637</v>
      </c>
      <c r="K75" s="69">
        <f t="shared" si="149"/>
        <v>681578.03477678215</v>
      </c>
      <c r="L75" s="69">
        <f t="shared" si="149"/>
        <v>711262.49041511328</v>
      </c>
      <c r="M75" s="69">
        <f t="shared" si="149"/>
        <v>717090.1974486236</v>
      </c>
      <c r="N75" s="69">
        <f t="shared" si="149"/>
        <v>739037.76841545093</v>
      </c>
      <c r="O75" s="69">
        <f t="shared" si="149"/>
        <v>772018.66907830478</v>
      </c>
      <c r="P75" s="69">
        <f t="shared" si="149"/>
        <v>776567.67322697258</v>
      </c>
      <c r="Q75" s="69">
        <f t="shared" si="149"/>
        <v>780670.61273709324</v>
      </c>
      <c r="R75" s="69">
        <f t="shared" si="149"/>
        <v>784987.62304093095</v>
      </c>
      <c r="S75" s="69">
        <f t="shared" si="149"/>
        <v>789064.82137378026</v>
      </c>
      <c r="T75" s="69">
        <f t="shared" si="149"/>
        <v>792628.31990737841</v>
      </c>
      <c r="U75" s="69">
        <f t="shared" si="149"/>
        <v>795800.40146363573</v>
      </c>
      <c r="V75" s="69">
        <f t="shared" ref="V75:AB75" si="150">V84*V70</f>
        <v>795800.40146363573</v>
      </c>
      <c r="W75" s="69">
        <f t="shared" si="150"/>
        <v>795800.40146363573</v>
      </c>
      <c r="X75" s="69">
        <f t="shared" si="150"/>
        <v>795800.40146363573</v>
      </c>
      <c r="Y75" s="69">
        <f t="shared" si="150"/>
        <v>795800.40146363573</v>
      </c>
      <c r="Z75" s="69">
        <f t="shared" si="150"/>
        <v>795800.40146363573</v>
      </c>
      <c r="AA75" s="69">
        <f t="shared" si="150"/>
        <v>795800.40146363573</v>
      </c>
      <c r="AB75" s="69">
        <f t="shared" si="150"/>
        <v>795800.40146363573</v>
      </c>
      <c r="AC75" s="332">
        <f>U75/E75-1</f>
        <v>0.36851388111172478</v>
      </c>
    </row>
    <row r="76" spans="2:30">
      <c r="G76" s="607"/>
    </row>
    <row r="77" spans="2:30">
      <c r="B77" s="554" t="s">
        <v>1044</v>
      </c>
      <c r="E77" s="623">
        <f>Vykony_Data!E16</f>
        <v>6.0549387934965111</v>
      </c>
      <c r="F77" s="623">
        <f>Vykony_Data!F16</f>
        <v>5.9814488980923084</v>
      </c>
      <c r="G77" s="624">
        <f>Vykony_Data!G16</f>
        <v>6.0064165253066353</v>
      </c>
      <c r="H77" s="661">
        <f>G77</f>
        <v>6.0064165253066353</v>
      </c>
      <c r="I77" s="661">
        <f t="shared" ref="I77:T77" si="151">H77+($U$77-$H$77)/COUNT($I$55:$U$55)</f>
        <v>6.0513244431327333</v>
      </c>
      <c r="J77" s="661">
        <f t="shared" si="151"/>
        <v>6.0962323609588314</v>
      </c>
      <c r="K77" s="661">
        <f t="shared" si="151"/>
        <v>6.1411402787849294</v>
      </c>
      <c r="L77" s="661">
        <f t="shared" si="151"/>
        <v>6.1860481966110274</v>
      </c>
      <c r="M77" s="661">
        <f t="shared" si="151"/>
        <v>6.2309561144371255</v>
      </c>
      <c r="N77" s="661">
        <f t="shared" si="151"/>
        <v>6.2758640322632235</v>
      </c>
      <c r="O77" s="661">
        <f t="shared" si="151"/>
        <v>6.3207719500893216</v>
      </c>
      <c r="P77" s="661">
        <f t="shared" si="151"/>
        <v>6.3656798679154196</v>
      </c>
      <c r="Q77" s="661">
        <f t="shared" si="151"/>
        <v>6.4105877857415177</v>
      </c>
      <c r="R77" s="661">
        <f t="shared" si="151"/>
        <v>6.4554957035676157</v>
      </c>
      <c r="S77" s="661">
        <f t="shared" si="151"/>
        <v>6.5004036213937137</v>
      </c>
      <c r="T77" s="661">
        <f t="shared" si="151"/>
        <v>6.5453115392198118</v>
      </c>
      <c r="U77" s="662">
        <f>H77*(1+AC77)</f>
        <v>6.5902194570459098</v>
      </c>
      <c r="V77" s="661">
        <f>U77</f>
        <v>6.5902194570459098</v>
      </c>
      <c r="W77" s="661">
        <f t="shared" ref="W77:AB77" si="152">V77</f>
        <v>6.5902194570459098</v>
      </c>
      <c r="X77" s="661">
        <f t="shared" si="152"/>
        <v>6.5902194570459098</v>
      </c>
      <c r="Y77" s="661">
        <f t="shared" si="152"/>
        <v>6.5902194570459098</v>
      </c>
      <c r="Z77" s="661">
        <f t="shared" si="152"/>
        <v>6.5902194570459098</v>
      </c>
      <c r="AA77" s="661">
        <f t="shared" si="152"/>
        <v>6.5902194570459098</v>
      </c>
      <c r="AB77" s="661">
        <f t="shared" si="152"/>
        <v>6.5902194570459098</v>
      </c>
      <c r="AC77" s="801">
        <v>9.7196544608512736E-2</v>
      </c>
      <c r="AD77" s="625"/>
    </row>
    <row r="78" spans="2:30">
      <c r="B78" s="554" t="s">
        <v>3091</v>
      </c>
      <c r="E78" s="623"/>
      <c r="F78" s="623"/>
      <c r="G78" s="624"/>
      <c r="H78" s="661">
        <v>1.5</v>
      </c>
      <c r="I78" s="661">
        <f>H78</f>
        <v>1.5</v>
      </c>
      <c r="J78" s="661">
        <f t="shared" ref="J78:U78" si="153">I78</f>
        <v>1.5</v>
      </c>
      <c r="K78" s="661">
        <f t="shared" si="153"/>
        <v>1.5</v>
      </c>
      <c r="L78" s="661">
        <f t="shared" si="153"/>
        <v>1.5</v>
      </c>
      <c r="M78" s="661">
        <f t="shared" si="153"/>
        <v>1.5</v>
      </c>
      <c r="N78" s="661">
        <f t="shared" si="153"/>
        <v>1.5</v>
      </c>
      <c r="O78" s="661">
        <f t="shared" si="153"/>
        <v>1.5</v>
      </c>
      <c r="P78" s="661">
        <f t="shared" si="153"/>
        <v>1.5</v>
      </c>
      <c r="Q78" s="661">
        <f t="shared" si="153"/>
        <v>1.5</v>
      </c>
      <c r="R78" s="661">
        <f t="shared" si="153"/>
        <v>1.5</v>
      </c>
      <c r="S78" s="661">
        <f t="shared" si="153"/>
        <v>1.5</v>
      </c>
      <c r="T78" s="661">
        <f t="shared" si="153"/>
        <v>1.5</v>
      </c>
      <c r="U78" s="661">
        <f t="shared" si="153"/>
        <v>1.5</v>
      </c>
      <c r="V78" s="661">
        <f t="shared" ref="V78:AB78" si="154">U78</f>
        <v>1.5</v>
      </c>
      <c r="W78" s="661">
        <f t="shared" si="154"/>
        <v>1.5</v>
      </c>
      <c r="X78" s="661">
        <f t="shared" si="154"/>
        <v>1.5</v>
      </c>
      <c r="Y78" s="661">
        <f t="shared" si="154"/>
        <v>1.5</v>
      </c>
      <c r="Z78" s="661">
        <f t="shared" si="154"/>
        <v>1.5</v>
      </c>
      <c r="AA78" s="661">
        <f t="shared" si="154"/>
        <v>1.5</v>
      </c>
      <c r="AB78" s="661">
        <f t="shared" si="154"/>
        <v>1.5</v>
      </c>
      <c r="AC78" s="661"/>
    </row>
    <row r="79" spans="2:30">
      <c r="B79" s="554" t="s">
        <v>2983</v>
      </c>
      <c r="E79" s="623">
        <f>Vykony_Data!E10</f>
        <v>1.1667602344434214</v>
      </c>
      <c r="F79" s="623">
        <f>Vykony_Data!F10</f>
        <v>1.1668996814191746</v>
      </c>
      <c r="G79" s="624">
        <f>Vykony_Data!G10</f>
        <v>1.1897812279463655</v>
      </c>
      <c r="H79" s="661">
        <f>AVERAGE(E79:G79)</f>
        <v>1.1744803812696538</v>
      </c>
      <c r="I79" s="661">
        <f t="shared" ref="I79:T79" si="155">H79+($U$79-$H$79)/COUNT($I$55:$U$55)</f>
        <v>1.1744803812696538</v>
      </c>
      <c r="J79" s="661">
        <f t="shared" si="155"/>
        <v>1.1744803812696538</v>
      </c>
      <c r="K79" s="661">
        <f t="shared" si="155"/>
        <v>1.1744803812696538</v>
      </c>
      <c r="L79" s="661">
        <f t="shared" si="155"/>
        <v>1.1744803812696538</v>
      </c>
      <c r="M79" s="661">
        <f t="shared" si="155"/>
        <v>1.1744803812696538</v>
      </c>
      <c r="N79" s="661">
        <f t="shared" si="155"/>
        <v>1.1744803812696538</v>
      </c>
      <c r="O79" s="661">
        <f t="shared" si="155"/>
        <v>1.1744803812696538</v>
      </c>
      <c r="P79" s="661">
        <f t="shared" si="155"/>
        <v>1.1744803812696538</v>
      </c>
      <c r="Q79" s="661">
        <f t="shared" si="155"/>
        <v>1.1744803812696538</v>
      </c>
      <c r="R79" s="661">
        <f t="shared" si="155"/>
        <v>1.1744803812696538</v>
      </c>
      <c r="S79" s="661">
        <f t="shared" si="155"/>
        <v>1.1744803812696538</v>
      </c>
      <c r="T79" s="661">
        <f t="shared" si="155"/>
        <v>1.1744803812696538</v>
      </c>
      <c r="U79" s="662">
        <f>H79*(1+AC79)</f>
        <v>1.1744803812696538</v>
      </c>
      <c r="V79" s="661">
        <f t="shared" ref="V79" si="156">I79*(1+AD79)</f>
        <v>1.1744803812696538</v>
      </c>
      <c r="W79" s="661">
        <f t="shared" ref="W79" si="157">J79*(1+AE79)</f>
        <v>1.1744803812696538</v>
      </c>
      <c r="X79" s="661">
        <f t="shared" ref="X79" si="158">K79*(1+AF79)</f>
        <v>1.1744803812696538</v>
      </c>
      <c r="Y79" s="661">
        <f t="shared" ref="Y79" si="159">L79*(1+AG79)</f>
        <v>1.1744803812696538</v>
      </c>
      <c r="Z79" s="661">
        <f t="shared" ref="Z79" si="160">M79*(1+AH79)</f>
        <v>1.1744803812696538</v>
      </c>
      <c r="AA79" s="661">
        <f t="shared" ref="AA79" si="161">N79*(1+AI79)</f>
        <v>1.1744803812696538</v>
      </c>
      <c r="AB79" s="661">
        <f t="shared" ref="AB79" si="162">O79*(1+AJ79)</f>
        <v>1.1744803812696538</v>
      </c>
      <c r="AC79" s="801">
        <v>0</v>
      </c>
    </row>
    <row r="80" spans="2:30">
      <c r="B80" s="554" t="s">
        <v>2984</v>
      </c>
      <c r="E80" s="458">
        <f>Vykony_Data!E8</f>
        <v>44531</v>
      </c>
      <c r="F80" s="458">
        <f>Vykony_Data!F8</f>
        <v>43631</v>
      </c>
      <c r="G80" s="607">
        <f>Vykony_Data!G8</f>
        <v>35425</v>
      </c>
      <c r="H80" s="69">
        <f t="shared" ref="H80:AB80" si="163">H56/H79</f>
        <v>43331.264883403943</v>
      </c>
      <c r="I80" s="69">
        <f t="shared" si="163"/>
        <v>42887.030294257303</v>
      </c>
      <c r="J80" s="69">
        <f t="shared" si="163"/>
        <v>44126.175784210478</v>
      </c>
      <c r="K80" s="69">
        <f t="shared" si="163"/>
        <v>46591.765559605599</v>
      </c>
      <c r="L80" s="69">
        <f t="shared" si="163"/>
        <v>48340.882801684063</v>
      </c>
      <c r="M80" s="69">
        <f t="shared" si="163"/>
        <v>48454.594991000318</v>
      </c>
      <c r="N80" s="69">
        <f t="shared" si="163"/>
        <v>49646.607580967284</v>
      </c>
      <c r="O80" s="69">
        <f t="shared" si="163"/>
        <v>51558.181066032215</v>
      </c>
      <c r="P80" s="69">
        <f t="shared" si="163"/>
        <v>51556.192244737977</v>
      </c>
      <c r="Q80" s="69">
        <f t="shared" si="163"/>
        <v>51521.182409566602</v>
      </c>
      <c r="R80" s="69">
        <f t="shared" si="163"/>
        <v>51496.984894141016</v>
      </c>
      <c r="S80" s="69">
        <f t="shared" si="163"/>
        <v>51453.749791950264</v>
      </c>
      <c r="T80" s="69">
        <f t="shared" si="163"/>
        <v>51374.008422172476</v>
      </c>
      <c r="U80" s="69">
        <f t="shared" si="163"/>
        <v>51266.245200520483</v>
      </c>
      <c r="V80" s="69">
        <f t="shared" si="163"/>
        <v>51266.245200520483</v>
      </c>
      <c r="W80" s="69">
        <f t="shared" si="163"/>
        <v>51266.245200520483</v>
      </c>
      <c r="X80" s="69">
        <f t="shared" si="163"/>
        <v>51266.245200520483</v>
      </c>
      <c r="Y80" s="69">
        <f t="shared" si="163"/>
        <v>51266.245200520483</v>
      </c>
      <c r="Z80" s="69">
        <f t="shared" si="163"/>
        <v>51266.245200520483</v>
      </c>
      <c r="AA80" s="69">
        <f t="shared" si="163"/>
        <v>51266.245200520483</v>
      </c>
      <c r="AB80" s="69">
        <f t="shared" si="163"/>
        <v>51266.245200520483</v>
      </c>
    </row>
    <row r="81" spans="2:29">
      <c r="B81" s="554" t="s">
        <v>2907</v>
      </c>
      <c r="E81" s="458">
        <f>Vykony_Data!E12</f>
        <v>269632.47941319313</v>
      </c>
      <c r="F81" s="458">
        <f>Vykony_Data!F12</f>
        <v>260976.59687266551</v>
      </c>
      <c r="G81" s="607">
        <f>Vykony_Data!G12</f>
        <v>212777.30540898757</v>
      </c>
      <c r="H81" s="69">
        <f>H80*H77+H78*H69</f>
        <v>272325.80384395929</v>
      </c>
      <c r="I81" s="69">
        <f t="shared" ref="I81:U81" si="164">I80*I77+I78*I69</f>
        <v>271958.11099742656</v>
      </c>
      <c r="J81" s="69">
        <f t="shared" si="164"/>
        <v>282315.98546538618</v>
      </c>
      <c r="K81" s="69">
        <f t="shared" si="164"/>
        <v>300736.77109479083</v>
      </c>
      <c r="L81" s="69">
        <f t="shared" si="164"/>
        <v>314778.95489694743</v>
      </c>
      <c r="M81" s="69">
        <f t="shared" si="164"/>
        <v>318284.79585498129</v>
      </c>
      <c r="N81" s="69">
        <f t="shared" si="164"/>
        <v>328955.29260065203</v>
      </c>
      <c r="O81" s="69">
        <f t="shared" si="164"/>
        <v>344578.60623546405</v>
      </c>
      <c r="P81" s="69">
        <f t="shared" si="164"/>
        <v>347530.16352665372</v>
      </c>
      <c r="Q81" s="69">
        <f t="shared" si="164"/>
        <v>350264.7510478305</v>
      </c>
      <c r="R81" s="69">
        <f t="shared" si="164"/>
        <v>353077.31382145197</v>
      </c>
      <c r="S81" s="69">
        <f t="shared" si="164"/>
        <v>355763.46932796761</v>
      </c>
      <c r="T81" s="69">
        <f t="shared" si="164"/>
        <v>358198.23470927204</v>
      </c>
      <c r="U81" s="69">
        <f t="shared" si="164"/>
        <v>360435.00631367066</v>
      </c>
      <c r="V81" s="69">
        <f t="shared" ref="V81" si="165">V80*V77+V78*V69</f>
        <v>360435.00631367066</v>
      </c>
      <c r="W81" s="69">
        <f t="shared" ref="W81" si="166">W80*W77+W78*W69</f>
        <v>360435.00631367066</v>
      </c>
      <c r="X81" s="69">
        <f t="shared" ref="X81" si="167">X80*X77+X78*X69</f>
        <v>360435.00631367066</v>
      </c>
      <c r="Y81" s="69">
        <f t="shared" ref="Y81" si="168">Y80*Y77+Y78*Y69</f>
        <v>360435.00631367066</v>
      </c>
      <c r="Z81" s="69">
        <f t="shared" ref="Z81" si="169">Z80*Z77+Z78*Z69</f>
        <v>360435.00631367066</v>
      </c>
      <c r="AA81" s="69">
        <f t="shared" ref="AA81" si="170">AA80*AA77+AA78*AA69</f>
        <v>360435.00631367066</v>
      </c>
      <c r="AB81" s="69">
        <f t="shared" ref="AB81" si="171">AB80*AB77+AB78*AB69</f>
        <v>360435.00631367066</v>
      </c>
    </row>
    <row r="82" spans="2:29" s="332" customFormat="1">
      <c r="B82" s="619" t="s">
        <v>2908</v>
      </c>
      <c r="C82" s="471"/>
      <c r="D82" s="471"/>
      <c r="E82" s="471">
        <f>Vykony_Data!E15</f>
        <v>0.54573519530188541</v>
      </c>
      <c r="F82" s="471">
        <f>Vykony_Data!F15</f>
        <v>0.52728936208967858</v>
      </c>
      <c r="G82" s="617">
        <f>Vykony_Data!G15</f>
        <v>0.46654783646935499</v>
      </c>
      <c r="H82" s="332">
        <f t="shared" ref="H82:AB82" si="172">H81/(H55*365)</f>
        <v>0.59711732110698368</v>
      </c>
      <c r="I82" s="332">
        <f t="shared" si="172"/>
        <v>0.59631109648774916</v>
      </c>
      <c r="J82" s="332">
        <f t="shared" si="172"/>
        <v>0.61902237161250517</v>
      </c>
      <c r="K82" s="332">
        <f t="shared" si="172"/>
        <v>0.65941285247203718</v>
      </c>
      <c r="L82" s="332">
        <f t="shared" si="172"/>
        <v>0.69020255750946391</v>
      </c>
      <c r="M82" s="332">
        <f t="shared" si="172"/>
        <v>0.69788966732990465</v>
      </c>
      <c r="N82" s="332">
        <f t="shared" si="172"/>
        <v>0.72128641615693301</v>
      </c>
      <c r="O82" s="332">
        <f t="shared" si="172"/>
        <v>0.79149107188226597</v>
      </c>
      <c r="P82" s="332">
        <f t="shared" si="172"/>
        <v>0.83814914992922462</v>
      </c>
      <c r="Q82" s="332">
        <f t="shared" si="172"/>
        <v>0.84474423849081248</v>
      </c>
      <c r="R82" s="332">
        <f t="shared" si="172"/>
        <v>0.85152738235928027</v>
      </c>
      <c r="S82" s="332">
        <f t="shared" si="172"/>
        <v>0.85800566594628502</v>
      </c>
      <c r="T82" s="332">
        <f t="shared" si="172"/>
        <v>0.86387766426121948</v>
      </c>
      <c r="U82" s="332">
        <f t="shared" si="172"/>
        <v>0.86927215491431276</v>
      </c>
      <c r="V82" s="332">
        <f t="shared" si="172"/>
        <v>0.86927215491431276</v>
      </c>
      <c r="W82" s="332">
        <f t="shared" si="172"/>
        <v>0.86927215491431276</v>
      </c>
      <c r="X82" s="332">
        <f t="shared" si="172"/>
        <v>0.86927215491431276</v>
      </c>
      <c r="Y82" s="332">
        <f t="shared" si="172"/>
        <v>0.86927215491431276</v>
      </c>
      <c r="Z82" s="332">
        <f t="shared" si="172"/>
        <v>0.86927215491431276</v>
      </c>
      <c r="AA82" s="332">
        <f t="shared" si="172"/>
        <v>0.86927215491431276</v>
      </c>
      <c r="AB82" s="332">
        <f t="shared" si="172"/>
        <v>0.86927215491431276</v>
      </c>
      <c r="AC82" s="69"/>
    </row>
    <row r="83" spans="2:29">
      <c r="B83" s="554" t="s">
        <v>2909</v>
      </c>
      <c r="D83" s="623"/>
      <c r="E83" s="623">
        <f>E74/E70</f>
        <v>11.9942002541517</v>
      </c>
      <c r="F83" s="623">
        <f t="shared" ref="F83:G83" si="173">F74/F70</f>
        <v>12.700437131559049</v>
      </c>
      <c r="G83" s="624">
        <f t="shared" si="173"/>
        <v>12.696705958034988</v>
      </c>
      <c r="H83" s="626">
        <f>G83</f>
        <v>12.696705958034988</v>
      </c>
      <c r="I83" s="625">
        <f t="shared" ref="I83:T83" si="174">H83+($U$83-$H$83)/COUNT($I$55:$U$55)</f>
        <v>12.696705958034988</v>
      </c>
      <c r="J83" s="625">
        <f t="shared" si="174"/>
        <v>12.696705958034988</v>
      </c>
      <c r="K83" s="625">
        <f t="shared" si="174"/>
        <v>12.696705958034988</v>
      </c>
      <c r="L83" s="625">
        <f t="shared" si="174"/>
        <v>12.696705958034988</v>
      </c>
      <c r="M83" s="625">
        <f t="shared" si="174"/>
        <v>12.696705958034988</v>
      </c>
      <c r="N83" s="625">
        <f t="shared" si="174"/>
        <v>12.696705958034988</v>
      </c>
      <c r="O83" s="625">
        <f t="shared" si="174"/>
        <v>12.696705958034988</v>
      </c>
      <c r="P83" s="625">
        <f t="shared" si="174"/>
        <v>12.696705958034988</v>
      </c>
      <c r="Q83" s="625">
        <f t="shared" si="174"/>
        <v>12.696705958034988</v>
      </c>
      <c r="R83" s="625">
        <f t="shared" si="174"/>
        <v>12.696705958034988</v>
      </c>
      <c r="S83" s="625">
        <f t="shared" si="174"/>
        <v>12.696705958034988</v>
      </c>
      <c r="T83" s="625">
        <f t="shared" si="174"/>
        <v>12.696705958034988</v>
      </c>
      <c r="U83" s="626">
        <f>H83</f>
        <v>12.696705958034988</v>
      </c>
      <c r="V83" s="661">
        <f t="shared" ref="V83:V84" si="175">I83*(1+AD83)</f>
        <v>12.696705958034988</v>
      </c>
      <c r="W83" s="661">
        <f t="shared" ref="W83:W84" si="176">J83*(1+AE83)</f>
        <v>12.696705958034988</v>
      </c>
      <c r="X83" s="661">
        <f t="shared" ref="X83:X84" si="177">K83*(1+AF83)</f>
        <v>12.696705958034988</v>
      </c>
      <c r="Y83" s="661">
        <f t="shared" ref="Y83:Y84" si="178">L83*(1+AG83)</f>
        <v>12.696705958034988</v>
      </c>
      <c r="Z83" s="661">
        <f t="shared" ref="Z83:Z84" si="179">M83*(1+AH83)</f>
        <v>12.696705958034988</v>
      </c>
      <c r="AA83" s="661">
        <f t="shared" ref="AA83:AA84" si="180">N83*(1+AI83)</f>
        <v>12.696705958034988</v>
      </c>
      <c r="AB83" s="661">
        <f t="shared" ref="AB83:AB84" si="181">O83*(1+AJ83)</f>
        <v>12.696705958034988</v>
      </c>
    </row>
    <row r="84" spans="2:29">
      <c r="B84" s="554" t="s">
        <v>2914</v>
      </c>
      <c r="D84" s="623"/>
      <c r="E84" s="623">
        <f>E75/E70</f>
        <v>9.8700515488357716</v>
      </c>
      <c r="F84" s="623">
        <f t="shared" ref="F84:G84" si="182">F75/F70</f>
        <v>8.8089500586149185</v>
      </c>
      <c r="G84" s="624">
        <f t="shared" si="182"/>
        <v>10.573453602163536</v>
      </c>
      <c r="H84" s="627">
        <f>G84</f>
        <v>10.573453602163536</v>
      </c>
      <c r="I84" s="625">
        <f t="shared" ref="I84:T84" si="183">H84+($U$84-$H$84)/COUNT($I$55:$U$55)</f>
        <v>10.573453602163536</v>
      </c>
      <c r="J84" s="625">
        <f t="shared" si="183"/>
        <v>10.573453602163536</v>
      </c>
      <c r="K84" s="625">
        <f t="shared" si="183"/>
        <v>10.573453602163536</v>
      </c>
      <c r="L84" s="625">
        <f t="shared" si="183"/>
        <v>10.573453602163536</v>
      </c>
      <c r="M84" s="625">
        <f t="shared" si="183"/>
        <v>10.573453602163536</v>
      </c>
      <c r="N84" s="625">
        <f t="shared" si="183"/>
        <v>10.573453602163536</v>
      </c>
      <c r="O84" s="625">
        <f t="shared" si="183"/>
        <v>10.573453602163536</v>
      </c>
      <c r="P84" s="625">
        <f t="shared" si="183"/>
        <v>10.573453602163536</v>
      </c>
      <c r="Q84" s="625">
        <f t="shared" si="183"/>
        <v>10.573453602163536</v>
      </c>
      <c r="R84" s="625">
        <f t="shared" si="183"/>
        <v>10.573453602163536</v>
      </c>
      <c r="S84" s="625">
        <f t="shared" si="183"/>
        <v>10.573453602163536</v>
      </c>
      <c r="T84" s="625">
        <f t="shared" si="183"/>
        <v>10.573453602163536</v>
      </c>
      <c r="U84" s="626">
        <f>H84</f>
        <v>10.573453602163536</v>
      </c>
      <c r="V84" s="661">
        <f t="shared" si="175"/>
        <v>10.573453602163536</v>
      </c>
      <c r="W84" s="661">
        <f t="shared" si="176"/>
        <v>10.573453602163536</v>
      </c>
      <c r="X84" s="661">
        <f t="shared" si="177"/>
        <v>10.573453602163536</v>
      </c>
      <c r="Y84" s="661">
        <f t="shared" si="178"/>
        <v>10.573453602163536</v>
      </c>
      <c r="Z84" s="661">
        <f t="shared" si="179"/>
        <v>10.573453602163536</v>
      </c>
      <c r="AA84" s="661">
        <f t="shared" si="180"/>
        <v>10.573453602163536</v>
      </c>
      <c r="AB84" s="661">
        <f t="shared" si="181"/>
        <v>10.573453602163536</v>
      </c>
    </row>
    <row r="85" spans="2:29">
      <c r="B85" s="554"/>
      <c r="G85" s="607"/>
    </row>
    <row r="86" spans="2:29">
      <c r="B86" s="603"/>
      <c r="C86" s="614"/>
      <c r="D86" s="614"/>
      <c r="E86" s="614"/>
      <c r="F86" s="614"/>
      <c r="G86" s="615"/>
      <c r="H86" s="604"/>
      <c r="I86" s="604"/>
      <c r="J86" s="604"/>
      <c r="K86" s="604"/>
      <c r="L86" s="604"/>
      <c r="M86" s="604"/>
      <c r="N86" s="604"/>
      <c r="O86" s="604"/>
      <c r="P86" s="604"/>
      <c r="Q86" s="604"/>
      <c r="R86" s="604"/>
      <c r="S86" s="604"/>
      <c r="T86" s="604"/>
      <c r="U86" s="604"/>
      <c r="V86" s="604"/>
      <c r="W86" s="604"/>
      <c r="X86" s="604"/>
      <c r="Y86" s="604"/>
      <c r="Z86" s="604"/>
      <c r="AA86" s="604"/>
      <c r="AB86" s="604"/>
    </row>
    <row r="87" spans="2:29">
      <c r="B87" s="598" t="s">
        <v>2923</v>
      </c>
      <c r="C87" s="608"/>
      <c r="D87" s="608"/>
      <c r="E87" s="608"/>
      <c r="F87" s="608"/>
      <c r="G87" s="609"/>
      <c r="H87" s="598"/>
      <c r="I87" s="598"/>
      <c r="J87" s="598"/>
      <c r="K87" s="598"/>
      <c r="L87" s="598"/>
      <c r="M87" s="598"/>
      <c r="N87" s="598"/>
      <c r="O87" s="598"/>
      <c r="P87" s="598"/>
      <c r="Q87" s="598"/>
      <c r="R87" s="598"/>
      <c r="S87" s="598"/>
      <c r="T87" s="598"/>
      <c r="U87" s="598"/>
      <c r="V87" s="598"/>
      <c r="W87" s="598"/>
      <c r="X87" s="598"/>
      <c r="Y87" s="598"/>
      <c r="Z87" s="598"/>
      <c r="AA87" s="598"/>
      <c r="AB87" s="598"/>
    </row>
    <row r="88" spans="2:29">
      <c r="B88" s="554" t="s">
        <v>2920</v>
      </c>
      <c r="E88" s="620">
        <f>E5/E56</f>
        <v>1082.8461112315429</v>
      </c>
      <c r="F88" s="632">
        <f>F5/F56</f>
        <v>1467.7055537158944</v>
      </c>
      <c r="G88" s="621">
        <f>G5/G56</f>
        <v>1421.3721164209073</v>
      </c>
      <c r="H88" s="622">
        <f t="shared" ref="H88:T91" si="184">G88*(1+H93)</f>
        <v>1421.3721164209073</v>
      </c>
      <c r="I88" s="622">
        <f t="shared" si="184"/>
        <v>1421.3721164209073</v>
      </c>
      <c r="J88" s="622">
        <f t="shared" si="184"/>
        <v>1421.3721164209073</v>
      </c>
      <c r="K88" s="622">
        <f t="shared" si="184"/>
        <v>1421.3721164209073</v>
      </c>
      <c r="L88" s="622">
        <f t="shared" si="184"/>
        <v>1421.3721164209073</v>
      </c>
      <c r="M88" s="622">
        <f t="shared" si="184"/>
        <v>1421.3721164209073</v>
      </c>
      <c r="N88" s="622">
        <f t="shared" si="184"/>
        <v>1421.3721164209073</v>
      </c>
      <c r="O88" s="622">
        <f t="shared" si="184"/>
        <v>1421.3721164209073</v>
      </c>
      <c r="P88" s="622">
        <f t="shared" si="184"/>
        <v>1421.3721164209073</v>
      </c>
      <c r="Q88" s="622">
        <f t="shared" si="184"/>
        <v>1421.3721164209073</v>
      </c>
      <c r="R88" s="622">
        <f t="shared" si="184"/>
        <v>1421.3721164209073</v>
      </c>
      <c r="S88" s="622">
        <f t="shared" ref="S88" si="185">R88*(1+S93)</f>
        <v>1421.3721164209073</v>
      </c>
      <c r="T88" s="622">
        <f t="shared" ref="T88" si="186">S88*(1+T93)</f>
        <v>1421.3721164209073</v>
      </c>
      <c r="U88" s="622">
        <f t="shared" ref="U88" si="187">T88*(1+U93)</f>
        <v>1421.3721164209073</v>
      </c>
      <c r="V88" s="622">
        <f t="shared" ref="V88" si="188">U88*(1+V93)</f>
        <v>1421.3721164209073</v>
      </c>
      <c r="W88" s="622">
        <f t="shared" ref="W88" si="189">V88*(1+W93)</f>
        <v>1421.3721164209073</v>
      </c>
      <c r="X88" s="622">
        <f t="shared" ref="X88" si="190">W88*(1+X93)</f>
        <v>1421.3721164209073</v>
      </c>
      <c r="Y88" s="622">
        <f t="shared" ref="Y88" si="191">X88*(1+Y93)</f>
        <v>1421.3721164209073</v>
      </c>
      <c r="Z88" s="622">
        <f t="shared" ref="Z88" si="192">Y88*(1+Z93)</f>
        <v>1421.3721164209073</v>
      </c>
      <c r="AA88" s="622">
        <f t="shared" ref="AA88" si="193">Z88*(1+AA93)</f>
        <v>1421.3721164209073</v>
      </c>
      <c r="AB88" s="622">
        <f t="shared" ref="AB88" si="194">AA88*(1+AB93)</f>
        <v>1421.3721164209073</v>
      </c>
    </row>
    <row r="89" spans="2:29">
      <c r="B89" s="554" t="s">
        <v>2915</v>
      </c>
      <c r="E89" s="620">
        <f>E6/E69</f>
        <v>300.89667454590699</v>
      </c>
      <c r="F89" s="632">
        <f>F6/F69</f>
        <v>399.49392394483908</v>
      </c>
      <c r="G89" s="621">
        <f>G6/G69</f>
        <v>355.41667613541426</v>
      </c>
      <c r="H89" s="622">
        <f t="shared" si="184"/>
        <v>355.41667613541426</v>
      </c>
      <c r="I89" s="622">
        <f t="shared" si="184"/>
        <v>355.41667613541426</v>
      </c>
      <c r="J89" s="622">
        <f t="shared" si="184"/>
        <v>355.41667613541426</v>
      </c>
      <c r="K89" s="622">
        <f t="shared" si="184"/>
        <v>355.41667613541426</v>
      </c>
      <c r="L89" s="622">
        <f t="shared" si="184"/>
        <v>355.41667613541426</v>
      </c>
      <c r="M89" s="622">
        <f t="shared" si="184"/>
        <v>355.41667613541426</v>
      </c>
      <c r="N89" s="622">
        <f t="shared" si="184"/>
        <v>355.41667613541426</v>
      </c>
      <c r="O89" s="622">
        <f t="shared" si="184"/>
        <v>355.41667613541426</v>
      </c>
      <c r="P89" s="622">
        <f t="shared" si="184"/>
        <v>355.41667613541426</v>
      </c>
      <c r="Q89" s="622">
        <f t="shared" si="184"/>
        <v>355.41667613541426</v>
      </c>
      <c r="R89" s="622">
        <f t="shared" si="184"/>
        <v>355.41667613541426</v>
      </c>
      <c r="S89" s="622">
        <f t="shared" si="184"/>
        <v>355.41667613541426</v>
      </c>
      <c r="T89" s="622">
        <f t="shared" si="184"/>
        <v>355.41667613541426</v>
      </c>
      <c r="U89" s="622">
        <f>T89*(1+U94)</f>
        <v>355.41667613541426</v>
      </c>
      <c r="V89" s="622">
        <f t="shared" ref="V89:AB89" si="195">U89*(1+V94)</f>
        <v>355.41667613541426</v>
      </c>
      <c r="W89" s="622">
        <f t="shared" si="195"/>
        <v>355.41667613541426</v>
      </c>
      <c r="X89" s="622">
        <f t="shared" si="195"/>
        <v>355.41667613541426</v>
      </c>
      <c r="Y89" s="622">
        <f t="shared" si="195"/>
        <v>355.41667613541426</v>
      </c>
      <c r="Z89" s="622">
        <f t="shared" si="195"/>
        <v>355.41667613541426</v>
      </c>
      <c r="AA89" s="622">
        <f t="shared" si="195"/>
        <v>355.41667613541426</v>
      </c>
      <c r="AB89" s="622">
        <f t="shared" si="195"/>
        <v>355.41667613541426</v>
      </c>
    </row>
    <row r="90" spans="2:29">
      <c r="B90" s="554" t="s">
        <v>2921</v>
      </c>
      <c r="E90" s="620">
        <f>E10/E75</f>
        <v>20.126287370573355</v>
      </c>
      <c r="F90" s="632">
        <f>F10/F75</f>
        <v>26.929514939655135</v>
      </c>
      <c r="G90" s="621">
        <f>G10/G75</f>
        <v>24.079815075676294</v>
      </c>
      <c r="H90" s="622">
        <f t="shared" si="184"/>
        <v>24.079815075676294</v>
      </c>
      <c r="I90" s="622">
        <f t="shared" si="184"/>
        <v>24.079815075676294</v>
      </c>
      <c r="J90" s="622">
        <f t="shared" si="184"/>
        <v>24.079815075676294</v>
      </c>
      <c r="K90" s="622">
        <f t="shared" si="184"/>
        <v>24.079815075676294</v>
      </c>
      <c r="L90" s="622">
        <f t="shared" si="184"/>
        <v>24.079815075676294</v>
      </c>
      <c r="M90" s="622">
        <f t="shared" si="184"/>
        <v>24.079815075676294</v>
      </c>
      <c r="N90" s="622">
        <f t="shared" si="184"/>
        <v>24.079815075676294</v>
      </c>
      <c r="O90" s="622">
        <f t="shared" si="184"/>
        <v>24.079815075676294</v>
      </c>
      <c r="P90" s="622">
        <f t="shared" si="184"/>
        <v>24.079815075676294</v>
      </c>
      <c r="Q90" s="622">
        <f t="shared" si="184"/>
        <v>24.079815075676294</v>
      </c>
      <c r="R90" s="622">
        <f t="shared" si="184"/>
        <v>24.079815075676294</v>
      </c>
      <c r="S90" s="622">
        <f t="shared" si="184"/>
        <v>24.079815075676294</v>
      </c>
      <c r="T90" s="622">
        <f t="shared" si="184"/>
        <v>24.079815075676294</v>
      </c>
      <c r="U90" s="622">
        <f>T90*(1+U95)</f>
        <v>24.079815075676294</v>
      </c>
      <c r="V90" s="622">
        <f t="shared" ref="V90:AB90" si="196">U90*(1+V95)</f>
        <v>24.079815075676294</v>
      </c>
      <c r="W90" s="622">
        <f t="shared" si="196"/>
        <v>24.079815075676294</v>
      </c>
      <c r="X90" s="622">
        <f t="shared" si="196"/>
        <v>24.079815075676294</v>
      </c>
      <c r="Y90" s="622">
        <f t="shared" si="196"/>
        <v>24.079815075676294</v>
      </c>
      <c r="Z90" s="622">
        <f t="shared" si="196"/>
        <v>24.079815075676294</v>
      </c>
      <c r="AA90" s="622">
        <f t="shared" si="196"/>
        <v>24.079815075676294</v>
      </c>
      <c r="AB90" s="622">
        <f t="shared" si="196"/>
        <v>24.079815075676294</v>
      </c>
    </row>
    <row r="91" spans="2:29">
      <c r="B91" s="554" t="s">
        <v>2922</v>
      </c>
      <c r="E91" s="620">
        <f>E7/E74</f>
        <v>8.8316770866647598</v>
      </c>
      <c r="F91" s="632">
        <f>F7/F74</f>
        <v>13.970700426109634</v>
      </c>
      <c r="G91" s="621">
        <f>G7/G74</f>
        <v>12.57961174888824</v>
      </c>
      <c r="H91" s="622">
        <f t="shared" si="184"/>
        <v>12.57961174888824</v>
      </c>
      <c r="I91" s="622">
        <f t="shared" si="184"/>
        <v>12.57961174888824</v>
      </c>
      <c r="J91" s="622">
        <f t="shared" si="184"/>
        <v>12.57961174888824</v>
      </c>
      <c r="K91" s="622">
        <f t="shared" si="184"/>
        <v>12.57961174888824</v>
      </c>
      <c r="L91" s="622">
        <f t="shared" si="184"/>
        <v>12.57961174888824</v>
      </c>
      <c r="M91" s="622">
        <f t="shared" si="184"/>
        <v>12.57961174888824</v>
      </c>
      <c r="N91" s="622">
        <f t="shared" si="184"/>
        <v>12.57961174888824</v>
      </c>
      <c r="O91" s="622">
        <f t="shared" si="184"/>
        <v>12.57961174888824</v>
      </c>
      <c r="P91" s="622">
        <f t="shared" si="184"/>
        <v>12.57961174888824</v>
      </c>
      <c r="Q91" s="622">
        <f t="shared" si="184"/>
        <v>12.57961174888824</v>
      </c>
      <c r="R91" s="622">
        <f t="shared" si="184"/>
        <v>12.57961174888824</v>
      </c>
      <c r="S91" s="622">
        <f t="shared" si="184"/>
        <v>12.57961174888824</v>
      </c>
      <c r="T91" s="622">
        <f t="shared" si="184"/>
        <v>12.57961174888824</v>
      </c>
      <c r="U91" s="622">
        <f>T91*(1+U96)</f>
        <v>12.57961174888824</v>
      </c>
      <c r="V91" s="622">
        <f t="shared" ref="V91:AB91" si="197">U91*(1+V96)</f>
        <v>12.57961174888824</v>
      </c>
      <c r="W91" s="622">
        <f t="shared" si="197"/>
        <v>12.57961174888824</v>
      </c>
      <c r="X91" s="622">
        <f t="shared" si="197"/>
        <v>12.57961174888824</v>
      </c>
      <c r="Y91" s="622">
        <f t="shared" si="197"/>
        <v>12.57961174888824</v>
      </c>
      <c r="Z91" s="622">
        <f t="shared" si="197"/>
        <v>12.57961174888824</v>
      </c>
      <c r="AA91" s="622">
        <f t="shared" si="197"/>
        <v>12.57961174888824</v>
      </c>
      <c r="AB91" s="622">
        <f t="shared" si="197"/>
        <v>12.57961174888824</v>
      </c>
    </row>
    <row r="93" spans="2:29" s="332" customFormat="1">
      <c r="B93" s="616" t="s">
        <v>2916</v>
      </c>
      <c r="C93" s="471"/>
      <c r="D93" s="471"/>
      <c r="E93" s="471"/>
      <c r="F93" s="471">
        <f t="shared" ref="F93:G96" si="198">F88/E88-1</f>
        <v>0.35541471543601255</v>
      </c>
      <c r="G93" s="617">
        <f t="shared" si="198"/>
        <v>-3.1568618908391688E-2</v>
      </c>
      <c r="H93" s="618">
        <v>0</v>
      </c>
      <c r="I93" s="332">
        <f>I$117</f>
        <v>0</v>
      </c>
      <c r="J93" s="332">
        <f t="shared" ref="J93:Y99" si="199">J$117</f>
        <v>0</v>
      </c>
      <c r="K93" s="332">
        <f t="shared" si="199"/>
        <v>0</v>
      </c>
      <c r="L93" s="332">
        <f t="shared" si="199"/>
        <v>0</v>
      </c>
      <c r="M93" s="332">
        <f t="shared" si="199"/>
        <v>0</v>
      </c>
      <c r="N93" s="332">
        <f t="shared" si="199"/>
        <v>0</v>
      </c>
      <c r="O93" s="332">
        <f t="shared" si="199"/>
        <v>0</v>
      </c>
      <c r="P93" s="332">
        <f t="shared" si="199"/>
        <v>0</v>
      </c>
      <c r="Q93" s="332">
        <f t="shared" si="199"/>
        <v>0</v>
      </c>
      <c r="R93" s="332">
        <f t="shared" si="199"/>
        <v>0</v>
      </c>
      <c r="S93" s="332">
        <f t="shared" si="199"/>
        <v>0</v>
      </c>
      <c r="T93" s="332">
        <f t="shared" si="199"/>
        <v>0</v>
      </c>
      <c r="U93" s="332">
        <f t="shared" si="199"/>
        <v>0</v>
      </c>
      <c r="V93" s="332">
        <f t="shared" si="199"/>
        <v>0</v>
      </c>
      <c r="W93" s="332">
        <f t="shared" si="199"/>
        <v>0</v>
      </c>
      <c r="X93" s="332">
        <f t="shared" si="199"/>
        <v>0</v>
      </c>
      <c r="Y93" s="332">
        <f t="shared" si="199"/>
        <v>0</v>
      </c>
      <c r="Z93" s="332">
        <f t="shared" ref="V93:AB99" si="200">Z$117</f>
        <v>0</v>
      </c>
      <c r="AA93" s="332">
        <f t="shared" si="200"/>
        <v>0</v>
      </c>
      <c r="AB93" s="332">
        <f t="shared" si="200"/>
        <v>0</v>
      </c>
    </row>
    <row r="94" spans="2:29" s="332" customFormat="1">
      <c r="B94" s="616" t="s">
        <v>2917</v>
      </c>
      <c r="C94" s="471"/>
      <c r="D94" s="471"/>
      <c r="E94" s="471"/>
      <c r="F94" s="471">
        <f t="shared" si="198"/>
        <v>0.32767809597008157</v>
      </c>
      <c r="G94" s="617">
        <f t="shared" si="198"/>
        <v>-0.11033271138189038</v>
      </c>
      <c r="H94" s="618">
        <v>0</v>
      </c>
      <c r="I94" s="332">
        <f t="shared" ref="I94:I99" si="201">I$117</f>
        <v>0</v>
      </c>
      <c r="J94" s="332">
        <f t="shared" si="199"/>
        <v>0</v>
      </c>
      <c r="K94" s="332">
        <f t="shared" si="199"/>
        <v>0</v>
      </c>
      <c r="L94" s="332">
        <f t="shared" si="199"/>
        <v>0</v>
      </c>
      <c r="M94" s="332">
        <f t="shared" si="199"/>
        <v>0</v>
      </c>
      <c r="N94" s="332">
        <f t="shared" si="199"/>
        <v>0</v>
      </c>
      <c r="O94" s="332">
        <f t="shared" si="199"/>
        <v>0</v>
      </c>
      <c r="P94" s="332">
        <f t="shared" si="199"/>
        <v>0</v>
      </c>
      <c r="Q94" s="332">
        <f t="shared" si="199"/>
        <v>0</v>
      </c>
      <c r="R94" s="332">
        <f t="shared" si="199"/>
        <v>0</v>
      </c>
      <c r="S94" s="332">
        <f t="shared" si="199"/>
        <v>0</v>
      </c>
      <c r="T94" s="332">
        <f t="shared" si="199"/>
        <v>0</v>
      </c>
      <c r="U94" s="332">
        <f t="shared" si="199"/>
        <v>0</v>
      </c>
      <c r="V94" s="332">
        <f t="shared" si="200"/>
        <v>0</v>
      </c>
      <c r="W94" s="332">
        <f t="shared" si="200"/>
        <v>0</v>
      </c>
      <c r="X94" s="332">
        <f t="shared" si="200"/>
        <v>0</v>
      </c>
      <c r="Y94" s="332">
        <f t="shared" si="200"/>
        <v>0</v>
      </c>
      <c r="Z94" s="332">
        <f t="shared" si="200"/>
        <v>0</v>
      </c>
      <c r="AA94" s="332">
        <f t="shared" si="200"/>
        <v>0</v>
      </c>
      <c r="AB94" s="332">
        <f t="shared" si="200"/>
        <v>0</v>
      </c>
    </row>
    <row r="95" spans="2:29" s="332" customFormat="1">
      <c r="B95" s="616" t="s">
        <v>2918</v>
      </c>
      <c r="C95" s="471"/>
      <c r="D95" s="471"/>
      <c r="E95" s="471"/>
      <c r="F95" s="471">
        <f t="shared" si="198"/>
        <v>0.33802695170838004</v>
      </c>
      <c r="G95" s="617">
        <f t="shared" si="198"/>
        <v>-0.10582069043443887</v>
      </c>
      <c r="H95" s="618">
        <v>0</v>
      </c>
      <c r="I95" s="332">
        <f t="shared" si="201"/>
        <v>0</v>
      </c>
      <c r="J95" s="332">
        <f t="shared" si="199"/>
        <v>0</v>
      </c>
      <c r="K95" s="332">
        <f t="shared" si="199"/>
        <v>0</v>
      </c>
      <c r="L95" s="332">
        <f t="shared" si="199"/>
        <v>0</v>
      </c>
      <c r="M95" s="332">
        <f t="shared" si="199"/>
        <v>0</v>
      </c>
      <c r="N95" s="332">
        <f t="shared" si="199"/>
        <v>0</v>
      </c>
      <c r="O95" s="332">
        <f t="shared" si="199"/>
        <v>0</v>
      </c>
      <c r="P95" s="332">
        <f t="shared" si="199"/>
        <v>0</v>
      </c>
      <c r="Q95" s="332">
        <f t="shared" si="199"/>
        <v>0</v>
      </c>
      <c r="R95" s="332">
        <f t="shared" si="199"/>
        <v>0</v>
      </c>
      <c r="S95" s="332">
        <f t="shared" si="199"/>
        <v>0</v>
      </c>
      <c r="T95" s="332">
        <f t="shared" si="199"/>
        <v>0</v>
      </c>
      <c r="U95" s="332">
        <f t="shared" si="199"/>
        <v>0</v>
      </c>
      <c r="V95" s="332">
        <f t="shared" si="200"/>
        <v>0</v>
      </c>
      <c r="W95" s="332">
        <f t="shared" si="200"/>
        <v>0</v>
      </c>
      <c r="X95" s="332">
        <f t="shared" si="200"/>
        <v>0</v>
      </c>
      <c r="Y95" s="332">
        <f t="shared" si="200"/>
        <v>0</v>
      </c>
      <c r="Z95" s="332">
        <f t="shared" si="200"/>
        <v>0</v>
      </c>
      <c r="AA95" s="332">
        <f t="shared" si="200"/>
        <v>0</v>
      </c>
      <c r="AB95" s="332">
        <f t="shared" si="200"/>
        <v>0</v>
      </c>
    </row>
    <row r="96" spans="2:29" s="332" customFormat="1">
      <c r="B96" s="616" t="s">
        <v>2919</v>
      </c>
      <c r="C96" s="471"/>
      <c r="D96" s="471"/>
      <c r="E96" s="471"/>
      <c r="F96" s="471">
        <f t="shared" si="198"/>
        <v>0.58188533038696066</v>
      </c>
      <c r="G96" s="617">
        <f t="shared" si="198"/>
        <v>-9.9571863599738242E-2</v>
      </c>
      <c r="H96" s="618">
        <v>0</v>
      </c>
      <c r="I96" s="332">
        <f t="shared" si="201"/>
        <v>0</v>
      </c>
      <c r="J96" s="332">
        <f t="shared" si="199"/>
        <v>0</v>
      </c>
      <c r="K96" s="332">
        <f t="shared" si="199"/>
        <v>0</v>
      </c>
      <c r="L96" s="332">
        <f t="shared" si="199"/>
        <v>0</v>
      </c>
      <c r="M96" s="332">
        <f t="shared" si="199"/>
        <v>0</v>
      </c>
      <c r="N96" s="332">
        <f t="shared" si="199"/>
        <v>0</v>
      </c>
      <c r="O96" s="332">
        <f t="shared" si="199"/>
        <v>0</v>
      </c>
      <c r="P96" s="332">
        <f t="shared" si="199"/>
        <v>0</v>
      </c>
      <c r="Q96" s="332">
        <f t="shared" si="199"/>
        <v>0</v>
      </c>
      <c r="R96" s="332">
        <f t="shared" si="199"/>
        <v>0</v>
      </c>
      <c r="S96" s="332">
        <f t="shared" si="199"/>
        <v>0</v>
      </c>
      <c r="T96" s="332">
        <f t="shared" si="199"/>
        <v>0</v>
      </c>
      <c r="U96" s="332">
        <f t="shared" si="199"/>
        <v>0</v>
      </c>
      <c r="V96" s="332">
        <f t="shared" si="200"/>
        <v>0</v>
      </c>
      <c r="W96" s="332">
        <f t="shared" si="200"/>
        <v>0</v>
      </c>
      <c r="X96" s="332">
        <f t="shared" si="200"/>
        <v>0</v>
      </c>
      <c r="Y96" s="332">
        <f t="shared" si="200"/>
        <v>0</v>
      </c>
      <c r="Z96" s="332">
        <f t="shared" si="200"/>
        <v>0</v>
      </c>
      <c r="AA96" s="332">
        <f t="shared" si="200"/>
        <v>0</v>
      </c>
      <c r="AB96" s="332">
        <f t="shared" si="200"/>
        <v>0</v>
      </c>
    </row>
    <row r="97" spans="2:28" s="332" customFormat="1">
      <c r="B97" s="628" t="s">
        <v>2926</v>
      </c>
      <c r="C97" s="471"/>
      <c r="D97" s="471">
        <f>D9/C9-1</f>
        <v>6.4428684139134385E-2</v>
      </c>
      <c r="E97" s="471">
        <f>E9/D9-1</f>
        <v>2.6179651394939718E-3</v>
      </c>
      <c r="F97" s="631">
        <f>F9/E9-1</f>
        <v>-0.13309188217109713</v>
      </c>
      <c r="G97" s="617">
        <f>G9/F9-1</f>
        <v>4.8159507453177763E-2</v>
      </c>
      <c r="H97" s="618">
        <v>0</v>
      </c>
      <c r="I97" s="332">
        <f t="shared" si="201"/>
        <v>0</v>
      </c>
      <c r="J97" s="332">
        <f t="shared" si="199"/>
        <v>0</v>
      </c>
      <c r="K97" s="332">
        <f t="shared" si="199"/>
        <v>0</v>
      </c>
      <c r="L97" s="332">
        <f t="shared" si="199"/>
        <v>0</v>
      </c>
      <c r="M97" s="332">
        <f t="shared" si="199"/>
        <v>0</v>
      </c>
      <c r="N97" s="332">
        <f t="shared" si="199"/>
        <v>0</v>
      </c>
      <c r="O97" s="332">
        <f t="shared" si="199"/>
        <v>0</v>
      </c>
      <c r="P97" s="332">
        <f t="shared" si="199"/>
        <v>0</v>
      </c>
      <c r="Q97" s="332">
        <f t="shared" si="199"/>
        <v>0</v>
      </c>
      <c r="R97" s="332">
        <f t="shared" si="199"/>
        <v>0</v>
      </c>
      <c r="S97" s="332">
        <f t="shared" si="199"/>
        <v>0</v>
      </c>
      <c r="T97" s="332">
        <f t="shared" si="199"/>
        <v>0</v>
      </c>
      <c r="U97" s="332">
        <f t="shared" si="199"/>
        <v>0</v>
      </c>
      <c r="V97" s="332">
        <f t="shared" si="200"/>
        <v>0</v>
      </c>
      <c r="W97" s="332">
        <f t="shared" si="200"/>
        <v>0</v>
      </c>
      <c r="X97" s="332">
        <f t="shared" si="200"/>
        <v>0</v>
      </c>
      <c r="Y97" s="332">
        <f t="shared" si="200"/>
        <v>0</v>
      </c>
      <c r="Z97" s="332">
        <f t="shared" si="200"/>
        <v>0</v>
      </c>
      <c r="AA97" s="332">
        <f t="shared" si="200"/>
        <v>0</v>
      </c>
      <c r="AB97" s="332">
        <f t="shared" si="200"/>
        <v>0</v>
      </c>
    </row>
    <row r="98" spans="2:28" s="332" customFormat="1">
      <c r="B98" s="628" t="s">
        <v>2927</v>
      </c>
      <c r="C98" s="471"/>
      <c r="D98" s="471">
        <f>D8/C8-1</f>
        <v>-0.27225820115329746</v>
      </c>
      <c r="E98" s="471">
        <f>E8/D8-1</f>
        <v>-0.26871816133415705</v>
      </c>
      <c r="F98" s="631">
        <f>F8/E8-1</f>
        <v>-7.104766864460188E-2</v>
      </c>
      <c r="G98" s="617">
        <f>G8/F8-1</f>
        <v>1.6469283516389766E-2</v>
      </c>
      <c r="H98" s="618">
        <v>0</v>
      </c>
      <c r="I98" s="332">
        <f t="shared" si="201"/>
        <v>0</v>
      </c>
      <c r="J98" s="332">
        <f t="shared" si="199"/>
        <v>0</v>
      </c>
      <c r="K98" s="332">
        <f t="shared" si="199"/>
        <v>0</v>
      </c>
      <c r="L98" s="332">
        <f t="shared" si="199"/>
        <v>0</v>
      </c>
      <c r="M98" s="332">
        <f t="shared" si="199"/>
        <v>0</v>
      </c>
      <c r="N98" s="332">
        <f t="shared" si="199"/>
        <v>0</v>
      </c>
      <c r="O98" s="332">
        <f t="shared" si="199"/>
        <v>0</v>
      </c>
      <c r="P98" s="332">
        <f t="shared" si="199"/>
        <v>0</v>
      </c>
      <c r="Q98" s="332">
        <f t="shared" si="199"/>
        <v>0</v>
      </c>
      <c r="R98" s="332">
        <f t="shared" si="199"/>
        <v>0</v>
      </c>
      <c r="S98" s="332">
        <f t="shared" si="199"/>
        <v>0</v>
      </c>
      <c r="T98" s="332">
        <f t="shared" si="199"/>
        <v>0</v>
      </c>
      <c r="U98" s="332">
        <f t="shared" si="199"/>
        <v>0</v>
      </c>
      <c r="V98" s="332">
        <f t="shared" si="200"/>
        <v>0</v>
      </c>
      <c r="W98" s="332">
        <f t="shared" si="200"/>
        <v>0</v>
      </c>
      <c r="X98" s="332">
        <f t="shared" si="200"/>
        <v>0</v>
      </c>
      <c r="Y98" s="332">
        <f t="shared" si="200"/>
        <v>0</v>
      </c>
      <c r="Z98" s="332">
        <f t="shared" si="200"/>
        <v>0</v>
      </c>
      <c r="AA98" s="332">
        <f t="shared" si="200"/>
        <v>0</v>
      </c>
      <c r="AB98" s="332">
        <f t="shared" si="200"/>
        <v>0</v>
      </c>
    </row>
    <row r="99" spans="2:28" s="332" customFormat="1">
      <c r="B99" s="628" t="s">
        <v>2924</v>
      </c>
      <c r="C99" s="471"/>
      <c r="D99" s="471">
        <f>D16/C16-1</f>
        <v>5.7258500630075648E-2</v>
      </c>
      <c r="E99" s="471">
        <f>E16/D16-1</f>
        <v>5.1508379662194903E-2</v>
      </c>
      <c r="F99" s="631">
        <f>F16/E16-1</f>
        <v>-0.19558240360299628</v>
      </c>
      <c r="G99" s="617">
        <f>G16/F16-1</f>
        <v>0.14649609468724401</v>
      </c>
      <c r="H99" s="618">
        <v>0</v>
      </c>
      <c r="I99" s="332">
        <f t="shared" si="201"/>
        <v>0</v>
      </c>
      <c r="J99" s="332">
        <f t="shared" si="199"/>
        <v>0</v>
      </c>
      <c r="K99" s="332">
        <f t="shared" si="199"/>
        <v>0</v>
      </c>
      <c r="L99" s="332">
        <f t="shared" si="199"/>
        <v>0</v>
      </c>
      <c r="M99" s="332">
        <f t="shared" si="199"/>
        <v>0</v>
      </c>
      <c r="N99" s="332">
        <f t="shared" si="199"/>
        <v>0</v>
      </c>
      <c r="O99" s="332">
        <f t="shared" si="199"/>
        <v>0</v>
      </c>
      <c r="P99" s="332">
        <f t="shared" si="199"/>
        <v>0</v>
      </c>
      <c r="Q99" s="332">
        <f t="shared" si="199"/>
        <v>0</v>
      </c>
      <c r="R99" s="332">
        <f t="shared" si="199"/>
        <v>0</v>
      </c>
      <c r="S99" s="332">
        <f t="shared" si="199"/>
        <v>0</v>
      </c>
      <c r="T99" s="332">
        <f t="shared" si="199"/>
        <v>0</v>
      </c>
      <c r="U99" s="332">
        <f t="shared" si="199"/>
        <v>0</v>
      </c>
      <c r="V99" s="332">
        <f t="shared" si="200"/>
        <v>0</v>
      </c>
      <c r="W99" s="332">
        <f t="shared" si="200"/>
        <v>0</v>
      </c>
      <c r="X99" s="332">
        <f t="shared" si="200"/>
        <v>0</v>
      </c>
      <c r="Y99" s="332">
        <f t="shared" si="200"/>
        <v>0</v>
      </c>
      <c r="Z99" s="332">
        <f t="shared" si="200"/>
        <v>0</v>
      </c>
      <c r="AA99" s="332">
        <f t="shared" si="200"/>
        <v>0</v>
      </c>
      <c r="AB99" s="332">
        <f t="shared" si="200"/>
        <v>0</v>
      </c>
    </row>
    <row r="100" spans="2:28" s="332" customFormat="1">
      <c r="B100" s="628" t="s">
        <v>2925</v>
      </c>
      <c r="C100" s="629">
        <f>C17/C4</f>
        <v>7.9750803865779665E-3</v>
      </c>
      <c r="D100" s="629">
        <f>D17/D4</f>
        <v>7.513382781733002E-3</v>
      </c>
      <c r="E100" s="629">
        <f>E17/E4</f>
        <v>6.6621875168118502E-3</v>
      </c>
      <c r="F100" s="633">
        <f>F17/F4</f>
        <v>4.7615719097540863E-3</v>
      </c>
      <c r="G100" s="630">
        <f>G17/G4</f>
        <v>5.7832043028539781E-3</v>
      </c>
      <c r="H100" s="332">
        <f>E100</f>
        <v>6.6621875168118502E-3</v>
      </c>
      <c r="I100" s="332">
        <f t="shared" ref="I100:T100" si="202">H100+($U$100-$H$100)/COUNT($I$55:$U$55)</f>
        <v>8.3544952091195428E-3</v>
      </c>
      <c r="J100" s="332">
        <f t="shared" si="202"/>
        <v>1.0046802901427235E-2</v>
      </c>
      <c r="K100" s="332">
        <f t="shared" si="202"/>
        <v>1.1739110593734928E-2</v>
      </c>
      <c r="L100" s="332">
        <f t="shared" si="202"/>
        <v>1.3431418286042621E-2</v>
      </c>
      <c r="M100" s="332">
        <f t="shared" si="202"/>
        <v>1.5123725978350313E-2</v>
      </c>
      <c r="N100" s="332">
        <f t="shared" si="202"/>
        <v>1.6816033670658006E-2</v>
      </c>
      <c r="O100" s="332">
        <f t="shared" si="202"/>
        <v>1.8508341362965697E-2</v>
      </c>
      <c r="P100" s="332">
        <f t="shared" si="202"/>
        <v>2.0200649055273388E-2</v>
      </c>
      <c r="Q100" s="332">
        <f t="shared" si="202"/>
        <v>2.1892956747581079E-2</v>
      </c>
      <c r="R100" s="332">
        <f t="shared" si="202"/>
        <v>2.3585264439888769E-2</v>
      </c>
      <c r="S100" s="332">
        <f t="shared" si="202"/>
        <v>2.527757213219646E-2</v>
      </c>
      <c r="T100" s="332">
        <f t="shared" si="202"/>
        <v>2.6969879824504151E-2</v>
      </c>
      <c r="U100" s="803">
        <f>H100+Scenarios_Summary!C35</f>
        <v>2.8662187516811849E-2</v>
      </c>
      <c r="V100" s="618">
        <v>1.4999999999999999E-2</v>
      </c>
      <c r="W100" s="618">
        <v>1.4999999999999999E-2</v>
      </c>
      <c r="X100" s="618">
        <v>1.4999999999999999E-2</v>
      </c>
      <c r="Y100" s="618">
        <v>1.4999999999999999E-2</v>
      </c>
      <c r="Z100" s="618">
        <v>1.4999999999999999E-2</v>
      </c>
      <c r="AA100" s="618">
        <v>1.4999999999999999E-2</v>
      </c>
      <c r="AB100" s="618">
        <v>1.4999999999999999E-2</v>
      </c>
    </row>
    <row r="101" spans="2:28" s="332" customFormat="1">
      <c r="B101" s="628" t="s">
        <v>2928</v>
      </c>
      <c r="C101" s="629">
        <f>C17/SUM(C5:C6)</f>
        <v>1.2689078961533829E-2</v>
      </c>
      <c r="D101" s="629">
        <f>D17/SUM(D5:D6)</f>
        <v>1.204731562865511E-2</v>
      </c>
      <c r="E101" s="629">
        <f>E17/SUM(E5:E6)</f>
        <v>1.1644243563326408E-2</v>
      </c>
      <c r="F101" s="633">
        <f>F17/SUM(F5:F6)</f>
        <v>7.9803481911568264E-3</v>
      </c>
      <c r="G101" s="630">
        <f>G17/SUM(G5:G6)</f>
        <v>9.5269278947855279E-3</v>
      </c>
      <c r="H101" s="332">
        <f>G101</f>
        <v>9.5269278947855279E-3</v>
      </c>
      <c r="I101" s="332">
        <f t="shared" ref="I101:T101" si="203">H101+($U$101-$H$101)/COUNT($I$55:$U$55)</f>
        <v>9.5269278947855279E-3</v>
      </c>
      <c r="J101" s="332">
        <f t="shared" si="203"/>
        <v>9.5269278947855279E-3</v>
      </c>
      <c r="K101" s="332">
        <f t="shared" si="203"/>
        <v>9.5269278947855279E-3</v>
      </c>
      <c r="L101" s="332">
        <f t="shared" si="203"/>
        <v>9.5269278947855279E-3</v>
      </c>
      <c r="M101" s="332">
        <f t="shared" si="203"/>
        <v>9.5269278947855279E-3</v>
      </c>
      <c r="N101" s="332">
        <f t="shared" si="203"/>
        <v>9.5269278947855279E-3</v>
      </c>
      <c r="O101" s="332">
        <f t="shared" si="203"/>
        <v>9.5269278947855279E-3</v>
      </c>
      <c r="P101" s="332">
        <f t="shared" si="203"/>
        <v>9.5269278947855279E-3</v>
      </c>
      <c r="Q101" s="332">
        <f t="shared" si="203"/>
        <v>9.5269278947855279E-3</v>
      </c>
      <c r="R101" s="332">
        <f t="shared" si="203"/>
        <v>9.5269278947855279E-3</v>
      </c>
      <c r="S101" s="332">
        <f t="shared" si="203"/>
        <v>9.5269278947855279E-3</v>
      </c>
      <c r="T101" s="332">
        <f t="shared" si="203"/>
        <v>9.5269278947855279E-3</v>
      </c>
      <c r="U101" s="618">
        <f>G101</f>
        <v>9.5269278947855279E-3</v>
      </c>
      <c r="V101" s="618">
        <f t="shared" ref="V101:AB101" si="204">H101</f>
        <v>9.5269278947855279E-3</v>
      </c>
      <c r="W101" s="618">
        <f t="shared" si="204"/>
        <v>9.5269278947855279E-3</v>
      </c>
      <c r="X101" s="618">
        <f t="shared" si="204"/>
        <v>9.5269278947855279E-3</v>
      </c>
      <c r="Y101" s="618">
        <f t="shared" si="204"/>
        <v>9.5269278947855279E-3</v>
      </c>
      <c r="Z101" s="618">
        <f t="shared" si="204"/>
        <v>9.5269278947855279E-3</v>
      </c>
      <c r="AA101" s="618">
        <f t="shared" si="204"/>
        <v>9.5269278947855279E-3</v>
      </c>
      <c r="AB101" s="618">
        <f t="shared" si="204"/>
        <v>9.5269278947855279E-3</v>
      </c>
    </row>
    <row r="102" spans="2:28" s="332" customFormat="1">
      <c r="B102" s="628" t="s">
        <v>2835</v>
      </c>
      <c r="C102" s="471"/>
      <c r="D102" s="471">
        <f>D19/C19-1</f>
        <v>-5.0233354006366526E-2</v>
      </c>
      <c r="E102" s="471">
        <f>E19/D19-1</f>
        <v>-9.3742479033412263E-2</v>
      </c>
      <c r="F102" s="631">
        <f>F19/E19-1</f>
        <v>-8.3175646947028725E-2</v>
      </c>
      <c r="G102" s="617">
        <f>G19/F19-1</f>
        <v>0.34898423449138138</v>
      </c>
      <c r="H102" s="618">
        <v>0</v>
      </c>
      <c r="I102" s="332">
        <f>I$117</f>
        <v>0</v>
      </c>
      <c r="J102" s="332">
        <f t="shared" ref="J102:AB102" si="205">J$117</f>
        <v>0</v>
      </c>
      <c r="K102" s="332">
        <f t="shared" si="205"/>
        <v>0</v>
      </c>
      <c r="L102" s="332">
        <f t="shared" si="205"/>
        <v>0</v>
      </c>
      <c r="M102" s="332">
        <f t="shared" si="205"/>
        <v>0</v>
      </c>
      <c r="N102" s="332">
        <f t="shared" si="205"/>
        <v>0</v>
      </c>
      <c r="O102" s="332">
        <f t="shared" si="205"/>
        <v>0</v>
      </c>
      <c r="P102" s="332">
        <f t="shared" si="205"/>
        <v>0</v>
      </c>
      <c r="Q102" s="332">
        <f t="shared" si="205"/>
        <v>0</v>
      </c>
      <c r="R102" s="332">
        <f t="shared" si="205"/>
        <v>0</v>
      </c>
      <c r="S102" s="332">
        <f t="shared" si="205"/>
        <v>0</v>
      </c>
      <c r="T102" s="332">
        <f t="shared" si="205"/>
        <v>0</v>
      </c>
      <c r="U102" s="332">
        <f t="shared" si="205"/>
        <v>0</v>
      </c>
      <c r="V102" s="332">
        <f t="shared" si="205"/>
        <v>0</v>
      </c>
      <c r="W102" s="332">
        <f t="shared" si="205"/>
        <v>0</v>
      </c>
      <c r="X102" s="332">
        <f t="shared" si="205"/>
        <v>0</v>
      </c>
      <c r="Y102" s="332">
        <f t="shared" si="205"/>
        <v>0</v>
      </c>
      <c r="Z102" s="332">
        <f t="shared" si="205"/>
        <v>0</v>
      </c>
      <c r="AA102" s="332">
        <f t="shared" si="205"/>
        <v>0</v>
      </c>
      <c r="AB102" s="332">
        <f t="shared" si="205"/>
        <v>0</v>
      </c>
    </row>
    <row r="103" spans="2:28" s="332" customFormat="1">
      <c r="B103" s="628" t="s">
        <v>2929</v>
      </c>
      <c r="C103" s="629">
        <f>C20/'PL"A"'!D17</f>
        <v>7.3381605699538799E-3</v>
      </c>
      <c r="D103" s="629">
        <f>D20/'PL"A"'!E17</f>
        <v>7.2344896968351644E-3</v>
      </c>
      <c r="E103" s="629">
        <f>E20/'PL"A"'!F17</f>
        <v>6.764940154808911E-3</v>
      </c>
      <c r="F103" s="633">
        <f>F20/'PL"A"'!G17</f>
        <v>4.3219116925118971E-3</v>
      </c>
      <c r="G103" s="630">
        <f>G20/'PL"A"'!H17</f>
        <v>5.0179326453226166E-3</v>
      </c>
      <c r="H103" s="332">
        <f>E103</f>
        <v>6.764940154808911E-3</v>
      </c>
      <c r="I103" s="332">
        <f t="shared" ref="I103:T103" si="206">H103+($U$103-$H$103)/COUNT($I$55:$U$55)</f>
        <v>6.764940154808911E-3</v>
      </c>
      <c r="J103" s="332">
        <f t="shared" si="206"/>
        <v>6.764940154808911E-3</v>
      </c>
      <c r="K103" s="332">
        <f t="shared" si="206"/>
        <v>6.764940154808911E-3</v>
      </c>
      <c r="L103" s="332">
        <f t="shared" si="206"/>
        <v>6.764940154808911E-3</v>
      </c>
      <c r="M103" s="332">
        <f t="shared" si="206"/>
        <v>6.764940154808911E-3</v>
      </c>
      <c r="N103" s="332">
        <f t="shared" si="206"/>
        <v>6.764940154808911E-3</v>
      </c>
      <c r="O103" s="332">
        <f t="shared" si="206"/>
        <v>6.764940154808911E-3</v>
      </c>
      <c r="P103" s="332">
        <f t="shared" si="206"/>
        <v>6.764940154808911E-3</v>
      </c>
      <c r="Q103" s="332">
        <f t="shared" si="206"/>
        <v>6.764940154808911E-3</v>
      </c>
      <c r="R103" s="332">
        <f t="shared" si="206"/>
        <v>6.764940154808911E-3</v>
      </c>
      <c r="S103" s="332">
        <f t="shared" si="206"/>
        <v>6.764940154808911E-3</v>
      </c>
      <c r="T103" s="332">
        <f t="shared" si="206"/>
        <v>6.764940154808911E-3</v>
      </c>
      <c r="U103" s="618">
        <f>H103</f>
        <v>6.764940154808911E-3</v>
      </c>
      <c r="V103" s="618">
        <f t="shared" ref="V103:AB103" si="207">I103</f>
        <v>6.764940154808911E-3</v>
      </c>
      <c r="W103" s="618">
        <f t="shared" si="207"/>
        <v>6.764940154808911E-3</v>
      </c>
      <c r="X103" s="618">
        <f t="shared" si="207"/>
        <v>6.764940154808911E-3</v>
      </c>
      <c r="Y103" s="618">
        <f t="shared" si="207"/>
        <v>6.764940154808911E-3</v>
      </c>
      <c r="Z103" s="618">
        <f t="shared" si="207"/>
        <v>6.764940154808911E-3</v>
      </c>
      <c r="AA103" s="618">
        <f t="shared" si="207"/>
        <v>6.764940154808911E-3</v>
      </c>
      <c r="AB103" s="618">
        <f t="shared" si="207"/>
        <v>6.764940154808911E-3</v>
      </c>
    </row>
    <row r="104" spans="2:28" s="332" customFormat="1">
      <c r="B104" s="628" t="s">
        <v>2930</v>
      </c>
      <c r="C104" s="471"/>
      <c r="D104" s="471">
        <f t="shared" ref="D104:G107" si="208">D23/C23-1</f>
        <v>3.4389232970257755E-2</v>
      </c>
      <c r="E104" s="471">
        <f t="shared" si="208"/>
        <v>5.1084730051250471E-2</v>
      </c>
      <c r="F104" s="631">
        <f t="shared" si="208"/>
        <v>-7.2140680905680044E-2</v>
      </c>
      <c r="G104" s="617">
        <f t="shared" si="208"/>
        <v>-9.4177788912731653E-2</v>
      </c>
      <c r="H104" s="618">
        <v>0</v>
      </c>
      <c r="I104" s="332">
        <f t="shared" ref="I104:X107" si="209">I$117</f>
        <v>0</v>
      </c>
      <c r="J104" s="332">
        <f t="shared" si="209"/>
        <v>0</v>
      </c>
      <c r="K104" s="332">
        <f t="shared" si="209"/>
        <v>0</v>
      </c>
      <c r="L104" s="332">
        <f t="shared" si="209"/>
        <v>0</v>
      </c>
      <c r="M104" s="332">
        <f t="shared" si="209"/>
        <v>0</v>
      </c>
      <c r="N104" s="332">
        <f t="shared" si="209"/>
        <v>0</v>
      </c>
      <c r="O104" s="332">
        <f t="shared" si="209"/>
        <v>0</v>
      </c>
      <c r="P104" s="332">
        <f t="shared" si="209"/>
        <v>0</v>
      </c>
      <c r="Q104" s="332">
        <f t="shared" si="209"/>
        <v>0</v>
      </c>
      <c r="R104" s="332">
        <f t="shared" si="209"/>
        <v>0</v>
      </c>
      <c r="S104" s="332">
        <f t="shared" si="209"/>
        <v>0</v>
      </c>
      <c r="T104" s="332">
        <f t="shared" si="209"/>
        <v>0</v>
      </c>
      <c r="U104" s="332">
        <f t="shared" si="209"/>
        <v>0</v>
      </c>
      <c r="V104" s="332">
        <f t="shared" si="209"/>
        <v>0</v>
      </c>
      <c r="W104" s="332">
        <f t="shared" si="209"/>
        <v>0</v>
      </c>
      <c r="X104" s="332">
        <f t="shared" si="209"/>
        <v>0</v>
      </c>
      <c r="Y104" s="332">
        <f t="shared" ref="V104:AB107" si="210">Y$117</f>
        <v>0</v>
      </c>
      <c r="Z104" s="332">
        <f t="shared" si="210"/>
        <v>0</v>
      </c>
      <c r="AA104" s="332">
        <f t="shared" si="210"/>
        <v>0</v>
      </c>
      <c r="AB104" s="332">
        <f t="shared" si="210"/>
        <v>0</v>
      </c>
    </row>
    <row r="105" spans="2:28" s="332" customFormat="1">
      <c r="B105" s="628" t="s">
        <v>2931</v>
      </c>
      <c r="C105" s="471"/>
      <c r="D105" s="471">
        <f t="shared" si="208"/>
        <v>-0.75738918739731331</v>
      </c>
      <c r="E105" s="471">
        <f t="shared" si="208"/>
        <v>7.2523610692702745E-2</v>
      </c>
      <c r="F105" s="631">
        <f t="shared" si="208"/>
        <v>-0.15039853667055325</v>
      </c>
      <c r="G105" s="617">
        <f t="shared" si="208"/>
        <v>0.39378919520057654</v>
      </c>
      <c r="H105" s="618">
        <v>0</v>
      </c>
      <c r="I105" s="332">
        <f t="shared" si="209"/>
        <v>0</v>
      </c>
      <c r="J105" s="332">
        <f t="shared" si="209"/>
        <v>0</v>
      </c>
      <c r="K105" s="332">
        <f t="shared" si="209"/>
        <v>0</v>
      </c>
      <c r="L105" s="332">
        <f t="shared" si="209"/>
        <v>0</v>
      </c>
      <c r="M105" s="332">
        <f t="shared" si="209"/>
        <v>0</v>
      </c>
      <c r="N105" s="332">
        <f t="shared" si="209"/>
        <v>0</v>
      </c>
      <c r="O105" s="332">
        <f t="shared" si="209"/>
        <v>0</v>
      </c>
      <c r="P105" s="332">
        <f t="shared" si="209"/>
        <v>0</v>
      </c>
      <c r="Q105" s="332">
        <f t="shared" si="209"/>
        <v>0</v>
      </c>
      <c r="R105" s="332">
        <f t="shared" si="209"/>
        <v>0</v>
      </c>
      <c r="S105" s="332">
        <f t="shared" si="209"/>
        <v>0</v>
      </c>
      <c r="T105" s="332">
        <f t="shared" si="209"/>
        <v>0</v>
      </c>
      <c r="U105" s="332">
        <f t="shared" si="209"/>
        <v>0</v>
      </c>
      <c r="V105" s="332">
        <f t="shared" si="210"/>
        <v>0</v>
      </c>
      <c r="W105" s="332">
        <f t="shared" si="210"/>
        <v>0</v>
      </c>
      <c r="X105" s="332">
        <f t="shared" si="210"/>
        <v>0</v>
      </c>
      <c r="Y105" s="332">
        <f t="shared" si="210"/>
        <v>0</v>
      </c>
      <c r="Z105" s="332">
        <f t="shared" si="210"/>
        <v>0</v>
      </c>
      <c r="AA105" s="332">
        <f t="shared" si="210"/>
        <v>0</v>
      </c>
      <c r="AB105" s="332">
        <f t="shared" si="210"/>
        <v>0</v>
      </c>
    </row>
    <row r="106" spans="2:28" s="332" customFormat="1">
      <c r="B106" s="628" t="s">
        <v>2932</v>
      </c>
      <c r="C106" s="471"/>
      <c r="D106" s="471">
        <f t="shared" si="208"/>
        <v>1.5656474496431594E-2</v>
      </c>
      <c r="E106" s="471">
        <f t="shared" si="208"/>
        <v>7.3159518666818357E-2</v>
      </c>
      <c r="F106" s="631">
        <f t="shared" si="208"/>
        <v>-0.65676829319473917</v>
      </c>
      <c r="G106" s="617">
        <f t="shared" si="208"/>
        <v>0.25493677315595553</v>
      </c>
      <c r="H106" s="618">
        <v>0</v>
      </c>
      <c r="I106" s="332">
        <f t="shared" si="209"/>
        <v>0</v>
      </c>
      <c r="J106" s="332">
        <f t="shared" si="209"/>
        <v>0</v>
      </c>
      <c r="K106" s="332">
        <f t="shared" si="209"/>
        <v>0</v>
      </c>
      <c r="L106" s="332">
        <f t="shared" si="209"/>
        <v>0</v>
      </c>
      <c r="M106" s="332">
        <f t="shared" si="209"/>
        <v>0</v>
      </c>
      <c r="N106" s="332">
        <f t="shared" si="209"/>
        <v>0</v>
      </c>
      <c r="O106" s="332">
        <f t="shared" si="209"/>
        <v>0</v>
      </c>
      <c r="P106" s="332">
        <f t="shared" si="209"/>
        <v>0</v>
      </c>
      <c r="Q106" s="332">
        <f t="shared" si="209"/>
        <v>0</v>
      </c>
      <c r="R106" s="332">
        <f t="shared" si="209"/>
        <v>0</v>
      </c>
      <c r="S106" s="332">
        <f t="shared" si="209"/>
        <v>0</v>
      </c>
      <c r="T106" s="332">
        <f t="shared" si="209"/>
        <v>0</v>
      </c>
      <c r="U106" s="332">
        <f t="shared" si="209"/>
        <v>0</v>
      </c>
      <c r="V106" s="332">
        <f t="shared" si="210"/>
        <v>0</v>
      </c>
      <c r="W106" s="332">
        <f t="shared" si="210"/>
        <v>0</v>
      </c>
      <c r="X106" s="332">
        <f t="shared" si="210"/>
        <v>0</v>
      </c>
      <c r="Y106" s="332">
        <f t="shared" si="210"/>
        <v>0</v>
      </c>
      <c r="Z106" s="332">
        <f t="shared" si="210"/>
        <v>0</v>
      </c>
      <c r="AA106" s="332">
        <f t="shared" si="210"/>
        <v>0</v>
      </c>
      <c r="AB106" s="332">
        <f t="shared" si="210"/>
        <v>0</v>
      </c>
    </row>
    <row r="107" spans="2:28" s="332" customFormat="1">
      <c r="B107" s="628" t="s">
        <v>2933</v>
      </c>
      <c r="C107" s="471"/>
      <c r="D107" s="471">
        <f t="shared" si="208"/>
        <v>-4.5795958500314149E-2</v>
      </c>
      <c r="E107" s="471">
        <f t="shared" si="208"/>
        <v>-3.8179936345915766E-2</v>
      </c>
      <c r="F107" s="631">
        <f t="shared" si="208"/>
        <v>-0.21195163799139627</v>
      </c>
      <c r="G107" s="617">
        <f t="shared" si="208"/>
        <v>-5.6660451128684564E-2</v>
      </c>
      <c r="H107" s="618">
        <v>0</v>
      </c>
      <c r="I107" s="332">
        <f t="shared" si="209"/>
        <v>0</v>
      </c>
      <c r="J107" s="332">
        <f t="shared" si="209"/>
        <v>0</v>
      </c>
      <c r="K107" s="332">
        <f t="shared" si="209"/>
        <v>0</v>
      </c>
      <c r="L107" s="332">
        <f t="shared" si="209"/>
        <v>0</v>
      </c>
      <c r="M107" s="332">
        <f t="shared" si="209"/>
        <v>0</v>
      </c>
      <c r="N107" s="332">
        <f t="shared" si="209"/>
        <v>0</v>
      </c>
      <c r="O107" s="332">
        <f t="shared" si="209"/>
        <v>0</v>
      </c>
      <c r="P107" s="332">
        <f t="shared" si="209"/>
        <v>0</v>
      </c>
      <c r="Q107" s="332">
        <f t="shared" si="209"/>
        <v>0</v>
      </c>
      <c r="R107" s="332">
        <f t="shared" si="209"/>
        <v>0</v>
      </c>
      <c r="S107" s="332">
        <f t="shared" si="209"/>
        <v>0</v>
      </c>
      <c r="T107" s="332">
        <f t="shared" si="209"/>
        <v>0</v>
      </c>
      <c r="U107" s="332">
        <f t="shared" si="209"/>
        <v>0</v>
      </c>
      <c r="V107" s="332">
        <f t="shared" si="210"/>
        <v>0</v>
      </c>
      <c r="W107" s="332">
        <f t="shared" si="210"/>
        <v>0</v>
      </c>
      <c r="X107" s="332">
        <f t="shared" si="210"/>
        <v>0</v>
      </c>
      <c r="Y107" s="332">
        <f t="shared" si="210"/>
        <v>0</v>
      </c>
      <c r="Z107" s="332">
        <f t="shared" si="210"/>
        <v>0</v>
      </c>
      <c r="AA107" s="332">
        <f t="shared" si="210"/>
        <v>0</v>
      </c>
      <c r="AB107" s="332">
        <f t="shared" si="210"/>
        <v>0</v>
      </c>
    </row>
    <row r="108" spans="2:28" s="332" customFormat="1">
      <c r="B108" s="628" t="s">
        <v>2934</v>
      </c>
      <c r="C108" s="471"/>
      <c r="D108" s="471"/>
      <c r="E108" s="471"/>
      <c r="F108" s="631"/>
      <c r="G108" s="617">
        <f>G27/F27-1</f>
        <v>0.31255931433583495</v>
      </c>
      <c r="H108" s="618">
        <v>0</v>
      </c>
      <c r="I108" s="332">
        <f t="shared" ref="I108:AB108" si="211">I6/H6-1</f>
        <v>3.1060726183808729E-2</v>
      </c>
      <c r="J108" s="332">
        <f t="shared" si="211"/>
        <v>7.0591410720531655E-2</v>
      </c>
      <c r="K108" s="332">
        <f t="shared" si="211"/>
        <v>9.7474701790267293E-2</v>
      </c>
      <c r="L108" s="332">
        <f t="shared" si="211"/>
        <v>7.732411831223418E-2</v>
      </c>
      <c r="M108" s="332">
        <f t="shared" si="211"/>
        <v>3.9797962396281417E-2</v>
      </c>
      <c r="N108" s="332">
        <f t="shared" si="211"/>
        <v>6.1931548468509456E-2</v>
      </c>
      <c r="O108" s="332">
        <f t="shared" si="211"/>
        <v>7.5441472587971514E-2</v>
      </c>
      <c r="P108" s="332">
        <f t="shared" si="211"/>
        <v>3.4714215764898748E-2</v>
      </c>
      <c r="Q108" s="332">
        <f t="shared" si="211"/>
        <v>3.328550221088733E-2</v>
      </c>
      <c r="R108" s="332">
        <f t="shared" si="211"/>
        <v>3.2779769774216483E-2</v>
      </c>
      <c r="S108" s="332">
        <f t="shared" si="211"/>
        <v>3.1716009171641524E-2</v>
      </c>
      <c r="T108" s="332">
        <f t="shared" si="211"/>
        <v>3.0338927115206138E-2</v>
      </c>
      <c r="U108" s="332">
        <f t="shared" si="211"/>
        <v>2.9164733426300993E-2</v>
      </c>
      <c r="V108" s="332">
        <f t="shared" si="211"/>
        <v>0</v>
      </c>
      <c r="W108" s="332">
        <f t="shared" si="211"/>
        <v>0</v>
      </c>
      <c r="X108" s="332">
        <f t="shared" si="211"/>
        <v>0</v>
      </c>
      <c r="Y108" s="332">
        <f t="shared" si="211"/>
        <v>0</v>
      </c>
      <c r="Z108" s="332">
        <f t="shared" si="211"/>
        <v>0</v>
      </c>
      <c r="AA108" s="332">
        <f t="shared" si="211"/>
        <v>0</v>
      </c>
      <c r="AB108" s="332">
        <f t="shared" si="211"/>
        <v>0</v>
      </c>
    </row>
    <row r="110" spans="2:28" s="332" customFormat="1">
      <c r="B110" s="628" t="s">
        <v>2935</v>
      </c>
      <c r="C110" s="629">
        <f t="shared" ref="C110:G112" si="212">C11/SUM(C$5:C$6)</f>
        <v>7.0031805273553349E-2</v>
      </c>
      <c r="D110" s="629">
        <f t="shared" si="212"/>
        <v>9.2829012210899703E-2</v>
      </c>
      <c r="E110" s="629">
        <f t="shared" si="212"/>
        <v>0.13477713310659301</v>
      </c>
      <c r="F110" s="633">
        <f t="shared" si="212"/>
        <v>9.1802710485630878E-2</v>
      </c>
      <c r="G110" s="630">
        <f t="shared" si="212"/>
        <v>8.5436957005046194E-2</v>
      </c>
      <c r="H110" s="332">
        <f>AVERAGE(F110:G110)</f>
        <v>8.8619833745338536E-2</v>
      </c>
      <c r="I110" s="332">
        <f t="shared" ref="I110:T110" si="213">H110+($U$110-$H$110)/COUNT($I$55:$U$55)</f>
        <v>8.8619833745338536E-2</v>
      </c>
      <c r="J110" s="332">
        <f t="shared" si="213"/>
        <v>8.8619833745338536E-2</v>
      </c>
      <c r="K110" s="332">
        <f t="shared" si="213"/>
        <v>8.8619833745338536E-2</v>
      </c>
      <c r="L110" s="332">
        <f t="shared" si="213"/>
        <v>8.8619833745338536E-2</v>
      </c>
      <c r="M110" s="332">
        <f t="shared" si="213"/>
        <v>8.8619833745338536E-2</v>
      </c>
      <c r="N110" s="332">
        <f t="shared" si="213"/>
        <v>8.8619833745338536E-2</v>
      </c>
      <c r="O110" s="332">
        <f t="shared" si="213"/>
        <v>8.8619833745338536E-2</v>
      </c>
      <c r="P110" s="332">
        <f t="shared" si="213"/>
        <v>8.8619833745338536E-2</v>
      </c>
      <c r="Q110" s="332">
        <f t="shared" si="213"/>
        <v>8.8619833745338536E-2</v>
      </c>
      <c r="R110" s="332">
        <f t="shared" si="213"/>
        <v>8.8619833745338536E-2</v>
      </c>
      <c r="S110" s="332">
        <f t="shared" si="213"/>
        <v>8.8619833745338536E-2</v>
      </c>
      <c r="T110" s="332">
        <f t="shared" si="213"/>
        <v>8.8619833745338536E-2</v>
      </c>
      <c r="U110" s="618">
        <f>H110</f>
        <v>8.8619833745338536E-2</v>
      </c>
      <c r="V110" s="618">
        <f t="shared" ref="V110:AB113" si="214">I110</f>
        <v>8.8619833745338536E-2</v>
      </c>
      <c r="W110" s="618">
        <f t="shared" si="214"/>
        <v>8.8619833745338536E-2</v>
      </c>
      <c r="X110" s="618">
        <f t="shared" si="214"/>
        <v>8.8619833745338536E-2</v>
      </c>
      <c r="Y110" s="618">
        <f t="shared" si="214"/>
        <v>8.8619833745338536E-2</v>
      </c>
      <c r="Z110" s="618">
        <f t="shared" si="214"/>
        <v>8.8619833745338536E-2</v>
      </c>
      <c r="AA110" s="618">
        <f t="shared" si="214"/>
        <v>8.8619833745338536E-2</v>
      </c>
      <c r="AB110" s="618">
        <f t="shared" si="214"/>
        <v>8.8619833745338536E-2</v>
      </c>
    </row>
    <row r="111" spans="2:28" s="332" customFormat="1">
      <c r="B111" s="628" t="s">
        <v>2936</v>
      </c>
      <c r="C111" s="629">
        <f t="shared" si="212"/>
        <v>3.4993086921701569E-2</v>
      </c>
      <c r="D111" s="629">
        <f t="shared" si="212"/>
        <v>3.5322042408815535E-2</v>
      </c>
      <c r="E111" s="629">
        <f t="shared" si="212"/>
        <v>3.7255222745068366E-2</v>
      </c>
      <c r="F111" s="633">
        <f t="shared" si="212"/>
        <v>2.6128168703468329E-2</v>
      </c>
      <c r="G111" s="630">
        <f t="shared" si="212"/>
        <v>2.3405208440662559E-2</v>
      </c>
      <c r="H111" s="332">
        <f>AVERAGE(F111:G111)</f>
        <v>2.4766688572065446E-2</v>
      </c>
      <c r="I111" s="332">
        <f t="shared" ref="I111:T111" si="215">H111+($U$111-$H$111)/COUNT($I$55:$U$55)</f>
        <v>2.4766688572065446E-2</v>
      </c>
      <c r="J111" s="332">
        <f t="shared" si="215"/>
        <v>2.4766688572065446E-2</v>
      </c>
      <c r="K111" s="332">
        <f t="shared" si="215"/>
        <v>2.4766688572065446E-2</v>
      </c>
      <c r="L111" s="332">
        <f t="shared" si="215"/>
        <v>2.4766688572065446E-2</v>
      </c>
      <c r="M111" s="332">
        <f t="shared" si="215"/>
        <v>2.4766688572065446E-2</v>
      </c>
      <c r="N111" s="332">
        <f t="shared" si="215"/>
        <v>2.4766688572065446E-2</v>
      </c>
      <c r="O111" s="332">
        <f t="shared" si="215"/>
        <v>2.4766688572065446E-2</v>
      </c>
      <c r="P111" s="332">
        <f t="shared" si="215"/>
        <v>2.4766688572065446E-2</v>
      </c>
      <c r="Q111" s="332">
        <f t="shared" si="215"/>
        <v>2.4766688572065446E-2</v>
      </c>
      <c r="R111" s="332">
        <f t="shared" si="215"/>
        <v>2.4766688572065446E-2</v>
      </c>
      <c r="S111" s="332">
        <f t="shared" si="215"/>
        <v>2.4766688572065446E-2</v>
      </c>
      <c r="T111" s="332">
        <f t="shared" si="215"/>
        <v>2.4766688572065446E-2</v>
      </c>
      <c r="U111" s="618">
        <f t="shared" ref="U111:U113" si="216">H111</f>
        <v>2.4766688572065446E-2</v>
      </c>
      <c r="V111" s="618">
        <f t="shared" si="214"/>
        <v>2.4766688572065446E-2</v>
      </c>
      <c r="W111" s="618">
        <f t="shared" si="214"/>
        <v>2.4766688572065446E-2</v>
      </c>
      <c r="X111" s="618">
        <f t="shared" si="214"/>
        <v>2.4766688572065446E-2</v>
      </c>
      <c r="Y111" s="618">
        <f t="shared" si="214"/>
        <v>2.4766688572065446E-2</v>
      </c>
      <c r="Z111" s="618">
        <f t="shared" si="214"/>
        <v>2.4766688572065446E-2</v>
      </c>
      <c r="AA111" s="618">
        <f t="shared" si="214"/>
        <v>2.4766688572065446E-2</v>
      </c>
      <c r="AB111" s="618">
        <f t="shared" si="214"/>
        <v>2.4766688572065446E-2</v>
      </c>
    </row>
    <row r="112" spans="2:28" s="332" customFormat="1">
      <c r="B112" s="628" t="s">
        <v>2937</v>
      </c>
      <c r="C112" s="629">
        <f t="shared" si="212"/>
        <v>0.12469679166602279</v>
      </c>
      <c r="D112" s="629">
        <f t="shared" si="212"/>
        <v>0.11495437152551555</v>
      </c>
      <c r="E112" s="629">
        <f t="shared" si="212"/>
        <v>0.11435001666337874</v>
      </c>
      <c r="F112" s="633">
        <f t="shared" si="212"/>
        <v>8.3763150781275664E-2</v>
      </c>
      <c r="G112" s="630">
        <f t="shared" si="212"/>
        <v>7.2613530149782737E-2</v>
      </c>
      <c r="H112" s="332">
        <f>AVERAGE(D112:E112)</f>
        <v>0.11465219409444714</v>
      </c>
      <c r="I112" s="332">
        <f t="shared" ref="I112:T112" si="217">H112+($U$112-$H$112)/COUNT($I$55:$U$55)</f>
        <v>0.11465219409444714</v>
      </c>
      <c r="J112" s="332">
        <f t="shared" si="217"/>
        <v>0.11465219409444714</v>
      </c>
      <c r="K112" s="332">
        <f t="shared" si="217"/>
        <v>0.11465219409444714</v>
      </c>
      <c r="L112" s="332">
        <f t="shared" si="217"/>
        <v>0.11465219409444714</v>
      </c>
      <c r="M112" s="332">
        <f t="shared" si="217"/>
        <v>0.11465219409444714</v>
      </c>
      <c r="N112" s="332">
        <f t="shared" si="217"/>
        <v>0.11465219409444714</v>
      </c>
      <c r="O112" s="332">
        <f t="shared" si="217"/>
        <v>0.11465219409444714</v>
      </c>
      <c r="P112" s="332">
        <f t="shared" si="217"/>
        <v>0.11465219409444714</v>
      </c>
      <c r="Q112" s="332">
        <f t="shared" si="217"/>
        <v>0.11465219409444714</v>
      </c>
      <c r="R112" s="332">
        <f t="shared" si="217"/>
        <v>0.11465219409444714</v>
      </c>
      <c r="S112" s="332">
        <f t="shared" si="217"/>
        <v>0.11465219409444714</v>
      </c>
      <c r="T112" s="332">
        <f t="shared" si="217"/>
        <v>0.11465219409444714</v>
      </c>
      <c r="U112" s="618">
        <f t="shared" si="216"/>
        <v>0.11465219409444714</v>
      </c>
      <c r="V112" s="618">
        <f t="shared" si="214"/>
        <v>0.11465219409444714</v>
      </c>
      <c r="W112" s="618">
        <f t="shared" si="214"/>
        <v>0.11465219409444714</v>
      </c>
      <c r="X112" s="618">
        <f t="shared" si="214"/>
        <v>0.11465219409444714</v>
      </c>
      <c r="Y112" s="618">
        <f t="shared" si="214"/>
        <v>0.11465219409444714</v>
      </c>
      <c r="Z112" s="618">
        <f t="shared" si="214"/>
        <v>0.11465219409444714</v>
      </c>
      <c r="AA112" s="618">
        <f t="shared" si="214"/>
        <v>0.11465219409444714</v>
      </c>
      <c r="AB112" s="618">
        <f t="shared" si="214"/>
        <v>0.11465219409444714</v>
      </c>
    </row>
    <row r="113" spans="2:28" s="332" customFormat="1">
      <c r="B113" s="628" t="s">
        <v>2938</v>
      </c>
      <c r="C113" s="629">
        <f>C14/C10</f>
        <v>0.17126783370658738</v>
      </c>
      <c r="D113" s="629">
        <f>D14/D10</f>
        <v>0.11844759381166188</v>
      </c>
      <c r="E113" s="629">
        <f>E14/E10</f>
        <v>0.65532089860674292</v>
      </c>
      <c r="F113" s="633">
        <f>F14/F10</f>
        <v>0.88497971111844642</v>
      </c>
      <c r="G113" s="630">
        <f>G14/G10</f>
        <v>0.74178513712927163</v>
      </c>
      <c r="H113" s="332">
        <f t="shared" ref="H113" si="218">E113</f>
        <v>0.65532089860674292</v>
      </c>
      <c r="I113" s="332">
        <f t="shared" ref="I113:T113" si="219">H113+($U$113-$H$113)/COUNT($I$55:$U$55)</f>
        <v>0.65532089860674292</v>
      </c>
      <c r="J113" s="332">
        <f t="shared" si="219"/>
        <v>0.65532089860674292</v>
      </c>
      <c r="K113" s="332">
        <f t="shared" si="219"/>
        <v>0.65532089860674292</v>
      </c>
      <c r="L113" s="332">
        <f t="shared" si="219"/>
        <v>0.65532089860674292</v>
      </c>
      <c r="M113" s="332">
        <f t="shared" si="219"/>
        <v>0.65532089860674292</v>
      </c>
      <c r="N113" s="332">
        <f t="shared" si="219"/>
        <v>0.65532089860674292</v>
      </c>
      <c r="O113" s="332">
        <f t="shared" si="219"/>
        <v>0.65532089860674292</v>
      </c>
      <c r="P113" s="332">
        <f t="shared" si="219"/>
        <v>0.65532089860674292</v>
      </c>
      <c r="Q113" s="332">
        <f t="shared" si="219"/>
        <v>0.65532089860674292</v>
      </c>
      <c r="R113" s="332">
        <f t="shared" si="219"/>
        <v>0.65532089860674292</v>
      </c>
      <c r="S113" s="332">
        <f t="shared" si="219"/>
        <v>0.65532089860674292</v>
      </c>
      <c r="T113" s="332">
        <f t="shared" si="219"/>
        <v>0.65532089860674292</v>
      </c>
      <c r="U113" s="618">
        <f t="shared" si="216"/>
        <v>0.65532089860674292</v>
      </c>
      <c r="V113" s="618">
        <f t="shared" si="214"/>
        <v>0.65532089860674292</v>
      </c>
      <c r="W113" s="618">
        <f t="shared" si="214"/>
        <v>0.65532089860674292</v>
      </c>
      <c r="X113" s="618">
        <f t="shared" si="214"/>
        <v>0.65532089860674292</v>
      </c>
      <c r="Y113" s="618">
        <f t="shared" si="214"/>
        <v>0.65532089860674292</v>
      </c>
      <c r="Z113" s="618">
        <f t="shared" si="214"/>
        <v>0.65532089860674292</v>
      </c>
      <c r="AA113" s="618">
        <f t="shared" si="214"/>
        <v>0.65532089860674292</v>
      </c>
      <c r="AB113" s="618">
        <f t="shared" si="214"/>
        <v>0.65532089860674292</v>
      </c>
    </row>
    <row r="117" spans="2:28" s="332" customFormat="1">
      <c r="B117" s="663" t="s">
        <v>3033</v>
      </c>
      <c r="C117" s="664"/>
      <c r="D117" s="664"/>
      <c r="E117" s="664"/>
      <c r="F117" s="665"/>
      <c r="G117" s="666"/>
      <c r="H117" s="667">
        <v>0</v>
      </c>
      <c r="I117" s="667">
        <f>H117</f>
        <v>0</v>
      </c>
      <c r="J117" s="667">
        <f t="shared" ref="J117:AB117" si="220">I117</f>
        <v>0</v>
      </c>
      <c r="K117" s="667">
        <f t="shared" si="220"/>
        <v>0</v>
      </c>
      <c r="L117" s="667">
        <f t="shared" si="220"/>
        <v>0</v>
      </c>
      <c r="M117" s="667">
        <f t="shared" si="220"/>
        <v>0</v>
      </c>
      <c r="N117" s="667">
        <f t="shared" si="220"/>
        <v>0</v>
      </c>
      <c r="O117" s="667">
        <f t="shared" si="220"/>
        <v>0</v>
      </c>
      <c r="P117" s="667">
        <f t="shared" si="220"/>
        <v>0</v>
      </c>
      <c r="Q117" s="667">
        <f t="shared" si="220"/>
        <v>0</v>
      </c>
      <c r="R117" s="667">
        <f t="shared" si="220"/>
        <v>0</v>
      </c>
      <c r="S117" s="667">
        <f t="shared" si="220"/>
        <v>0</v>
      </c>
      <c r="T117" s="667">
        <f t="shared" si="220"/>
        <v>0</v>
      </c>
      <c r="U117" s="667">
        <f t="shared" si="220"/>
        <v>0</v>
      </c>
      <c r="V117" s="667">
        <f t="shared" si="220"/>
        <v>0</v>
      </c>
      <c r="W117" s="667">
        <f t="shared" si="220"/>
        <v>0</v>
      </c>
      <c r="X117" s="667">
        <f t="shared" si="220"/>
        <v>0</v>
      </c>
      <c r="Y117" s="667">
        <f t="shared" si="220"/>
        <v>0</v>
      </c>
      <c r="Z117" s="667">
        <f t="shared" si="220"/>
        <v>0</v>
      </c>
      <c r="AA117" s="667">
        <f t="shared" si="220"/>
        <v>0</v>
      </c>
      <c r="AB117" s="667">
        <f t="shared" si="220"/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7C690-F7A0-4E6F-9657-1550B0F03EE9}">
  <sheetPr>
    <tabColor theme="6" tint="0.79998168889431442"/>
  </sheetPr>
  <dimension ref="A1:CQ172"/>
  <sheetViews>
    <sheetView workbookViewId="0"/>
  </sheetViews>
  <sheetFormatPr baseColWidth="10" defaultColWidth="8.5" defaultRowHeight="15"/>
  <cols>
    <col min="1" max="1" width="4.83203125" style="770" customWidth="1"/>
    <col min="2" max="2" width="7.33203125" style="770" customWidth="1"/>
    <col min="3" max="3" width="4.1640625" style="770" customWidth="1"/>
    <col min="4" max="4" width="6.1640625" style="770" customWidth="1"/>
    <col min="5" max="5" width="55.5" style="770" bestFit="1" customWidth="1"/>
    <col min="6" max="6" width="14.1640625" style="770" customWidth="1"/>
    <col min="7" max="9" width="8.5" style="770"/>
    <col min="10" max="10" width="11.1640625" style="770" hidden="1" customWidth="1"/>
    <col min="11" max="12" width="11.1640625" style="967" hidden="1" customWidth="1"/>
    <col min="13" max="13" width="15" style="971" customWidth="1"/>
    <col min="14" max="14" width="11.5" style="1069" customWidth="1"/>
    <col min="15" max="15" width="11.5" style="971" customWidth="1"/>
    <col min="16" max="16" width="11.83203125" style="770" customWidth="1"/>
    <col min="17" max="17" width="11.5" style="770" customWidth="1"/>
    <col min="18" max="18" width="12.83203125" style="980" customWidth="1"/>
    <col min="19" max="20" width="11.5" style="770" customWidth="1"/>
    <col min="21" max="21" width="11.5" style="971" customWidth="1"/>
    <col min="22" max="22" width="11.5" style="770" customWidth="1"/>
    <col min="23" max="16384" width="8.5" style="770"/>
  </cols>
  <sheetData>
    <row r="1" spans="1:95">
      <c r="M1" s="968"/>
      <c r="N1" s="968"/>
      <c r="O1" s="968"/>
      <c r="P1" s="968"/>
      <c r="Q1" s="968"/>
      <c r="R1" s="771"/>
      <c r="S1" s="968"/>
      <c r="T1" s="968"/>
      <c r="U1" s="968"/>
    </row>
    <row r="2" spans="1:95" ht="57">
      <c r="B2" s="1552" t="str">
        <f>capex_final!A6</f>
        <v>Fin.Etapa</v>
      </c>
      <c r="C2" s="1229" t="str">
        <f>capex_final!B6</f>
        <v>P.č.</v>
      </c>
      <c r="D2" s="1230" t="str">
        <f>capex_final!C6</f>
        <v>Areál</v>
      </c>
      <c r="E2" s="1230" t="str">
        <f>capex_final!D6</f>
        <v>Objekt</v>
      </c>
      <c r="F2" s="1230" t="str">
        <f>capex_final!E6</f>
        <v>Popis investície</v>
      </c>
      <c r="G2" s="1228" t="str">
        <f>capex_final!F6</f>
        <v>Etapa</v>
      </c>
      <c r="H2" s="1229" t="str">
        <f>capex_final!G6</f>
        <v>Od</v>
      </c>
      <c r="I2" s="1228" t="str">
        <f>capex_final!H6</f>
        <v>Do</v>
      </c>
      <c r="J2" s="1229" t="str">
        <f>capex_final!I6</f>
        <v>Úžitková plocha podlaží</v>
      </c>
      <c r="K2" s="1231" t="str">
        <f>capex_final!J6</f>
        <v>Plocha fasád</v>
      </c>
      <c r="L2" s="1232" t="str">
        <f>capex_final!K6</f>
        <v>Obost. priestor</v>
      </c>
      <c r="M2" s="1233" t="str">
        <f>capex_final!O6</f>
        <v>Naklady bez infrastruktury</v>
      </c>
      <c r="N2" s="1234" t="str">
        <f>capex_final!P6</f>
        <v>Dopravná infarštruktúra</v>
      </c>
      <c r="O2" s="1235" t="str">
        <f>capex_final!Q6</f>
        <v>Hrube stavebne naklady (HRN)</v>
      </c>
      <c r="P2" s="1550" t="str">
        <f>capex_final!S6</f>
        <v>Projektova priprava  - naklady</v>
      </c>
      <c r="Q2" s="1550" t="str">
        <f>capex_final!U6</f>
        <v>Zriadenie staveniska  - naklady</v>
      </c>
      <c r="R2" s="1551" t="str">
        <f>capex_final!V6</f>
        <v>Stavebny Capx CELKOM</v>
      </c>
      <c r="S2" s="1550" t="str">
        <f>capex_final!X6</f>
        <v>Mobiliar naklady</v>
      </c>
      <c r="T2" s="1551" t="str">
        <f>capex_final!Z6</f>
        <v>Med. Technologia</v>
      </c>
      <c r="U2" s="1238" t="str">
        <f>capex_final!AA6</f>
        <v>Naklady celkom</v>
      </c>
      <c r="V2" s="1237" t="str">
        <f>capex_final!AB6</f>
        <v>Počet lôžok</v>
      </c>
    </row>
    <row r="3" spans="1:95" s="1325" customFormat="1" ht="16">
      <c r="A3" s="1510"/>
      <c r="B3" s="1553">
        <f>capex_final!A7</f>
        <v>1</v>
      </c>
      <c r="C3" s="1323" t="str">
        <f>capex_final!B7</f>
        <v>1.</v>
      </c>
      <c r="D3" s="1324" t="str">
        <f>capex_final!C7</f>
        <v>SNP</v>
      </c>
      <c r="E3" s="1325" t="str">
        <f>capex_final!D7</f>
        <v>Podzemné parkovisko</v>
      </c>
      <c r="F3" s="1324" t="str">
        <f>capex_final!E7</f>
        <v>Demolácia</v>
      </c>
      <c r="G3" s="1322" t="str">
        <f>capex_final!F7</f>
        <v>Etapa 1</v>
      </c>
      <c r="H3" s="1323">
        <f>capex_final!G7</f>
        <v>2022</v>
      </c>
      <c r="I3" s="1326">
        <f>capex_final!H7</f>
        <v>2025</v>
      </c>
      <c r="J3" s="1513"/>
      <c r="K3" s="1514"/>
      <c r="L3" s="1515">
        <f>capex_final!K7</f>
        <v>19116</v>
      </c>
      <c r="M3" s="1333">
        <f>capex_final!O7</f>
        <v>2389500</v>
      </c>
      <c r="N3" s="1334"/>
      <c r="O3" s="1335">
        <f>capex_final!Q7</f>
        <v>2389500</v>
      </c>
      <c r="P3" s="1341">
        <f>capex_final!S7</f>
        <v>138591</v>
      </c>
      <c r="Q3" s="1341">
        <f>capex_final!U7</f>
        <v>119475</v>
      </c>
      <c r="R3" s="1337">
        <f>capex_final!V7</f>
        <v>2647566</v>
      </c>
      <c r="S3" s="1341"/>
      <c r="T3" s="1337"/>
      <c r="U3" s="1339">
        <f>capex_final!AA7</f>
        <v>2647566</v>
      </c>
      <c r="V3" s="1340"/>
      <c r="W3" s="1510"/>
      <c r="X3" s="1510"/>
      <c r="Y3" s="1510"/>
      <c r="Z3" s="1510"/>
      <c r="AA3" s="1510"/>
      <c r="AB3" s="1510"/>
      <c r="AC3" s="1510"/>
      <c r="AD3" s="1510"/>
      <c r="AE3" s="1510"/>
      <c r="AF3" s="1510"/>
      <c r="AG3" s="1510"/>
      <c r="AH3" s="1510"/>
      <c r="AI3" s="1510"/>
      <c r="AJ3" s="1510"/>
      <c r="AK3" s="1510"/>
      <c r="AL3" s="1510"/>
      <c r="AM3" s="1510"/>
      <c r="AN3" s="1510"/>
      <c r="AO3" s="1510"/>
      <c r="AP3" s="1510"/>
      <c r="AQ3" s="1510"/>
      <c r="AR3" s="1510"/>
      <c r="AS3" s="1510"/>
      <c r="AT3" s="1510"/>
      <c r="AU3" s="1510"/>
      <c r="AV3" s="1510"/>
      <c r="AW3" s="1510"/>
      <c r="AX3" s="1510"/>
      <c r="AY3" s="1510"/>
      <c r="AZ3" s="1510"/>
      <c r="BA3" s="1510"/>
      <c r="BB3" s="1510"/>
      <c r="BC3" s="1510"/>
      <c r="BD3" s="1510"/>
      <c r="BE3" s="1510"/>
      <c r="BF3" s="1510"/>
      <c r="BG3" s="1510"/>
      <c r="BH3" s="1510"/>
      <c r="BI3" s="1510"/>
      <c r="BJ3" s="1510"/>
      <c r="BK3" s="1510"/>
      <c r="BL3" s="1510"/>
      <c r="BM3" s="1510"/>
      <c r="BN3" s="1510"/>
      <c r="BO3" s="1510"/>
      <c r="BP3" s="1510"/>
      <c r="BQ3" s="1510"/>
      <c r="BR3" s="1510"/>
      <c r="BS3" s="1510"/>
      <c r="BT3" s="1510"/>
      <c r="BU3" s="1510"/>
      <c r="BV3" s="1510"/>
      <c r="BW3" s="1510"/>
      <c r="BX3" s="1510"/>
      <c r="BY3" s="1510"/>
      <c r="BZ3" s="1510"/>
      <c r="CA3" s="1510"/>
      <c r="CB3" s="1510"/>
      <c r="CC3" s="1510"/>
      <c r="CD3" s="1510"/>
      <c r="CE3" s="1510"/>
      <c r="CF3" s="1510"/>
      <c r="CG3" s="1510"/>
      <c r="CH3" s="1510"/>
      <c r="CI3" s="1510"/>
      <c r="CJ3" s="1510"/>
      <c r="CK3" s="1510"/>
      <c r="CL3" s="1510"/>
      <c r="CM3" s="1510"/>
      <c r="CN3" s="1510"/>
      <c r="CO3" s="1510"/>
      <c r="CP3" s="1510"/>
      <c r="CQ3" s="1510"/>
    </row>
    <row r="4" spans="1:95" s="1325" customFormat="1" ht="16">
      <c r="A4" s="1510"/>
      <c r="B4" s="1553">
        <f>capex_final!A8</f>
        <v>1</v>
      </c>
      <c r="C4" s="1323" t="str">
        <f>capex_final!B8</f>
        <v>2.</v>
      </c>
      <c r="D4" s="1324" t="str">
        <f>capex_final!C8</f>
        <v>SNP</v>
      </c>
      <c r="E4" s="1325" t="str">
        <f>capex_final!D8</f>
        <v>Rondel</v>
      </c>
      <c r="F4" s="1324" t="str">
        <f>capex_final!E8</f>
        <v>Demolácia</v>
      </c>
      <c r="G4" s="1322" t="str">
        <f>capex_final!F8</f>
        <v>Etapa 1</v>
      </c>
      <c r="H4" s="1323">
        <f>capex_final!G8</f>
        <v>2022</v>
      </c>
      <c r="I4" s="1326">
        <f>capex_final!H8</f>
        <v>2025</v>
      </c>
      <c r="J4" s="1513"/>
      <c r="K4" s="1514"/>
      <c r="L4" s="1515">
        <f>capex_final!K8</f>
        <v>8200</v>
      </c>
      <c r="M4" s="1333">
        <f>capex_final!O8</f>
        <v>820000</v>
      </c>
      <c r="N4" s="1334"/>
      <c r="O4" s="1335">
        <f>capex_final!Q8</f>
        <v>820000</v>
      </c>
      <c r="P4" s="1341">
        <f>capex_final!S8</f>
        <v>47560</v>
      </c>
      <c r="Q4" s="1341">
        <f>capex_final!U8</f>
        <v>41000</v>
      </c>
      <c r="R4" s="1337">
        <f>capex_final!V8</f>
        <v>908560</v>
      </c>
      <c r="S4" s="1341"/>
      <c r="T4" s="1337"/>
      <c r="U4" s="1339">
        <f>capex_final!AA8</f>
        <v>908560</v>
      </c>
      <c r="V4" s="1340"/>
      <c r="W4" s="1510"/>
      <c r="X4" s="1510"/>
      <c r="Y4" s="1510"/>
      <c r="Z4" s="1510"/>
      <c r="AA4" s="1510"/>
      <c r="AB4" s="1510"/>
      <c r="AC4" s="1510"/>
      <c r="AD4" s="1510"/>
      <c r="AE4" s="1510"/>
      <c r="AF4" s="1510"/>
      <c r="AG4" s="1510"/>
      <c r="AH4" s="1510"/>
      <c r="AI4" s="1510"/>
      <c r="AJ4" s="1510"/>
      <c r="AK4" s="1510"/>
      <c r="AL4" s="1510"/>
      <c r="AM4" s="1510"/>
      <c r="AN4" s="1510"/>
      <c r="AO4" s="1510"/>
      <c r="AP4" s="1510"/>
      <c r="AQ4" s="1510"/>
      <c r="AR4" s="1510"/>
      <c r="AS4" s="1510"/>
      <c r="AT4" s="1510"/>
      <c r="AU4" s="1510"/>
      <c r="AV4" s="1510"/>
      <c r="AW4" s="1510"/>
      <c r="AX4" s="1510"/>
      <c r="AY4" s="1510"/>
      <c r="AZ4" s="1510"/>
      <c r="BA4" s="1510"/>
      <c r="BB4" s="1510"/>
      <c r="BC4" s="1510"/>
      <c r="BD4" s="1510"/>
      <c r="BE4" s="1510"/>
      <c r="BF4" s="1510"/>
      <c r="BG4" s="1510"/>
      <c r="BH4" s="1510"/>
      <c r="BI4" s="1510"/>
      <c r="BJ4" s="1510"/>
      <c r="BK4" s="1510"/>
      <c r="BL4" s="1510"/>
      <c r="BM4" s="1510"/>
      <c r="BN4" s="1510"/>
      <c r="BO4" s="1510"/>
      <c r="BP4" s="1510"/>
      <c r="BQ4" s="1510"/>
      <c r="BR4" s="1510"/>
      <c r="BS4" s="1510"/>
      <c r="BT4" s="1510"/>
      <c r="BU4" s="1510"/>
      <c r="BV4" s="1510"/>
      <c r="BW4" s="1510"/>
      <c r="BX4" s="1510"/>
      <c r="BY4" s="1510"/>
      <c r="BZ4" s="1510"/>
      <c r="CA4" s="1510"/>
      <c r="CB4" s="1510"/>
      <c r="CC4" s="1510"/>
      <c r="CD4" s="1510"/>
      <c r="CE4" s="1510"/>
      <c r="CF4" s="1510"/>
      <c r="CG4" s="1510"/>
      <c r="CH4" s="1510"/>
      <c r="CI4" s="1510"/>
      <c r="CJ4" s="1510"/>
      <c r="CK4" s="1510"/>
      <c r="CL4" s="1510"/>
      <c r="CM4" s="1510"/>
      <c r="CN4" s="1510"/>
      <c r="CO4" s="1510"/>
      <c r="CP4" s="1510"/>
      <c r="CQ4" s="1510"/>
    </row>
    <row r="5" spans="1:95" s="1349" customFormat="1" ht="16">
      <c r="A5" s="1510"/>
      <c r="B5" s="1554">
        <f>capex_final!A9</f>
        <v>1</v>
      </c>
      <c r="C5" s="1347" t="str">
        <f>capex_final!B9</f>
        <v>5.</v>
      </c>
      <c r="D5" s="1348" t="str">
        <f>capex_final!C9</f>
        <v>SNP</v>
      </c>
      <c r="E5" s="1349" t="str">
        <f>capex_final!D9</f>
        <v>Objekt "Hot Floor"</v>
      </c>
      <c r="F5" s="1348" t="str">
        <f>capex_final!E9</f>
        <v>Výstavba</v>
      </c>
      <c r="G5" s="1346" t="str">
        <f>capex_final!F9</f>
        <v>Etapa 1</v>
      </c>
      <c r="H5" s="1347">
        <f>capex_final!G9</f>
        <v>2022</v>
      </c>
      <c r="I5" s="1350">
        <f>capex_final!H9</f>
        <v>2025</v>
      </c>
      <c r="J5" s="1516">
        <f>capex_final!I9</f>
        <v>46489</v>
      </c>
      <c r="K5" s="1517"/>
      <c r="L5" s="1518"/>
      <c r="M5" s="1357">
        <f>capex_final!O9</f>
        <v>111573600</v>
      </c>
      <c r="N5" s="1358">
        <f>capex_final!P9</f>
        <v>16575699</v>
      </c>
      <c r="O5" s="1359">
        <f>capex_final!Q9</f>
        <v>128149299</v>
      </c>
      <c r="P5" s="1365">
        <f>capex_final!S9</f>
        <v>7432659.3420000002</v>
      </c>
      <c r="Q5" s="1365">
        <f>capex_final!U9</f>
        <v>6407464.9500000002</v>
      </c>
      <c r="R5" s="1361">
        <f>capex_final!V9</f>
        <v>141989423.292</v>
      </c>
      <c r="S5" s="1365">
        <f>capex_final!X9</f>
        <v>11359153.863360001</v>
      </c>
      <c r="T5" s="1361">
        <f>capex_final!Z9</f>
        <v>31237673.12424</v>
      </c>
      <c r="U5" s="1363">
        <f>capex_final!AA9</f>
        <v>184586250.27959999</v>
      </c>
      <c r="V5" s="1364">
        <f>capex_final!AB9</f>
        <v>115</v>
      </c>
      <c r="W5" s="1510"/>
      <c r="X5" s="1510"/>
      <c r="Y5" s="1510"/>
      <c r="Z5" s="1510"/>
      <c r="AA5" s="1510"/>
      <c r="AB5" s="1510"/>
      <c r="AC5" s="1510"/>
      <c r="AD5" s="1510"/>
      <c r="AE5" s="1510"/>
      <c r="AF5" s="1510"/>
      <c r="AG5" s="1510"/>
      <c r="AH5" s="1510"/>
      <c r="AI5" s="1510"/>
      <c r="AJ5" s="1510"/>
      <c r="AK5" s="1510"/>
      <c r="AL5" s="1510"/>
      <c r="AM5" s="1510"/>
      <c r="AN5" s="1510"/>
      <c r="AO5" s="1510"/>
      <c r="AP5" s="1510"/>
      <c r="AQ5" s="1510"/>
      <c r="AR5" s="1510"/>
      <c r="AS5" s="1510"/>
      <c r="AT5" s="1510"/>
      <c r="AU5" s="1510"/>
      <c r="AV5" s="1510"/>
      <c r="AW5" s="1510"/>
      <c r="AX5" s="1510"/>
      <c r="AY5" s="1510"/>
      <c r="AZ5" s="1510"/>
      <c r="BA5" s="1510"/>
      <c r="BB5" s="1510"/>
      <c r="BC5" s="1510"/>
      <c r="BD5" s="1510"/>
      <c r="BE5" s="1510"/>
      <c r="BF5" s="1510"/>
      <c r="BG5" s="1510"/>
      <c r="BH5" s="1510"/>
      <c r="BI5" s="1510"/>
      <c r="BJ5" s="1510"/>
      <c r="BK5" s="1510"/>
      <c r="BL5" s="1510"/>
      <c r="BM5" s="1510"/>
      <c r="BN5" s="1510"/>
      <c r="BO5" s="1510"/>
      <c r="BP5" s="1510"/>
      <c r="BQ5" s="1510"/>
      <c r="BR5" s="1510"/>
      <c r="BS5" s="1510"/>
      <c r="BT5" s="1510"/>
      <c r="BU5" s="1510"/>
      <c r="BV5" s="1510"/>
      <c r="BW5" s="1510"/>
      <c r="BX5" s="1510"/>
      <c r="BY5" s="1510"/>
      <c r="BZ5" s="1510"/>
      <c r="CA5" s="1510"/>
      <c r="CB5" s="1510"/>
      <c r="CC5" s="1510"/>
      <c r="CD5" s="1510"/>
      <c r="CE5" s="1510"/>
      <c r="CF5" s="1510"/>
      <c r="CG5" s="1510"/>
      <c r="CH5" s="1510"/>
      <c r="CI5" s="1510"/>
      <c r="CJ5" s="1510"/>
      <c r="CK5" s="1510"/>
      <c r="CL5" s="1510"/>
      <c r="CM5" s="1510"/>
      <c r="CN5" s="1510"/>
      <c r="CO5" s="1510"/>
      <c r="CP5" s="1510"/>
      <c r="CQ5" s="1510"/>
    </row>
    <row r="6" spans="1:95" s="1394" customFormat="1">
      <c r="A6" s="1510"/>
      <c r="B6" s="1555">
        <f>capex_final!A10</f>
        <v>1</v>
      </c>
      <c r="C6" s="1371"/>
      <c r="D6" s="1372" t="str">
        <f>capex_final!C10</f>
        <v>SNP</v>
      </c>
      <c r="E6" s="1373" t="str">
        <f>capex_final!D10</f>
        <v xml:space="preserve"> - zabezpečenie stavebnej jamy (paženie-m2 )+ výkopy (m3)</v>
      </c>
      <c r="F6" s="1372"/>
      <c r="G6" s="1370"/>
      <c r="H6" s="1371"/>
      <c r="I6" s="1374"/>
      <c r="J6" s="1519">
        <f>capex_final!I10</f>
        <v>2260</v>
      </c>
      <c r="K6" s="1520"/>
      <c r="L6" s="1521">
        <f>capex_final!K10</f>
        <v>61000</v>
      </c>
      <c r="M6" s="1381">
        <f>capex_final!O10</f>
        <v>2498800</v>
      </c>
      <c r="N6" s="1382">
        <f>capex_final!P10</f>
        <v>0</v>
      </c>
      <c r="O6" s="1383">
        <f>capex_final!Q10</f>
        <v>2498800</v>
      </c>
      <c r="P6" s="1389">
        <f>capex_final!S10</f>
        <v>144930.4</v>
      </c>
      <c r="Q6" s="1389">
        <f>capex_final!U10</f>
        <v>124940</v>
      </c>
      <c r="R6" s="1385">
        <f>capex_final!V10</f>
        <v>2768670.4</v>
      </c>
      <c r="S6" s="1389"/>
      <c r="T6" s="1385"/>
      <c r="U6" s="1387">
        <f>capex_final!AA10</f>
        <v>2768670.4</v>
      </c>
      <c r="V6" s="1388"/>
      <c r="W6" s="1510"/>
      <c r="X6" s="1510"/>
      <c r="Y6" s="1510"/>
      <c r="Z6" s="1510"/>
      <c r="AA6" s="1510"/>
      <c r="AB6" s="1510"/>
      <c r="AC6" s="1510"/>
      <c r="AD6" s="1510"/>
      <c r="AE6" s="1510"/>
      <c r="AF6" s="1510"/>
      <c r="AG6" s="1510"/>
      <c r="AH6" s="1510"/>
      <c r="AI6" s="1510"/>
      <c r="AJ6" s="1510"/>
      <c r="AK6" s="1510"/>
      <c r="AL6" s="1510"/>
      <c r="AM6" s="1510"/>
      <c r="AN6" s="1510"/>
      <c r="AO6" s="1510"/>
      <c r="AP6" s="1510"/>
      <c r="AQ6" s="1510"/>
      <c r="AR6" s="1510"/>
      <c r="AS6" s="1510"/>
      <c r="AT6" s="1510"/>
      <c r="AU6" s="1510"/>
      <c r="AV6" s="1510"/>
      <c r="AW6" s="1510"/>
      <c r="AX6" s="1510"/>
      <c r="AY6" s="1510"/>
      <c r="AZ6" s="1510"/>
      <c r="BA6" s="1510"/>
      <c r="BB6" s="1510"/>
      <c r="BC6" s="1510"/>
      <c r="BD6" s="1510"/>
      <c r="BE6" s="1510"/>
      <c r="BF6" s="1510"/>
      <c r="BG6" s="1510"/>
      <c r="BH6" s="1510"/>
      <c r="BI6" s="1510"/>
      <c r="BJ6" s="1510"/>
      <c r="BK6" s="1510"/>
      <c r="BL6" s="1510"/>
      <c r="BM6" s="1510"/>
      <c r="BN6" s="1510"/>
      <c r="BO6" s="1510"/>
      <c r="BP6" s="1510"/>
      <c r="BQ6" s="1510"/>
      <c r="BR6" s="1510"/>
      <c r="BS6" s="1510"/>
      <c r="BT6" s="1510"/>
      <c r="BU6" s="1510"/>
      <c r="BV6" s="1510"/>
      <c r="BW6" s="1510"/>
      <c r="BX6" s="1510"/>
      <c r="BY6" s="1510"/>
      <c r="BZ6" s="1510"/>
      <c r="CA6" s="1510"/>
      <c r="CB6" s="1510"/>
      <c r="CC6" s="1510"/>
      <c r="CD6" s="1510"/>
      <c r="CE6" s="1510"/>
      <c r="CF6" s="1510"/>
      <c r="CG6" s="1510"/>
      <c r="CH6" s="1510"/>
      <c r="CI6" s="1510"/>
      <c r="CJ6" s="1510"/>
      <c r="CK6" s="1510"/>
      <c r="CL6" s="1510"/>
      <c r="CM6" s="1510"/>
      <c r="CN6" s="1510"/>
      <c r="CO6" s="1510"/>
      <c r="CP6" s="1510"/>
      <c r="CQ6" s="1510"/>
    </row>
    <row r="7" spans="1:95" s="1394" customFormat="1">
      <c r="A7" s="1510"/>
      <c r="B7" s="1555">
        <f>capex_final!A11</f>
        <v>1</v>
      </c>
      <c r="C7" s="1371"/>
      <c r="D7" s="1372" t="str">
        <f>capex_final!C11</f>
        <v>SNP</v>
      </c>
      <c r="E7" s="1373" t="str">
        <f>capex_final!D11</f>
        <v xml:space="preserve"> - heliport</v>
      </c>
      <c r="F7" s="1372"/>
      <c r="G7" s="1370"/>
      <c r="H7" s="1371"/>
      <c r="I7" s="1374"/>
      <c r="J7" s="1519"/>
      <c r="K7" s="1520"/>
      <c r="L7" s="1521"/>
      <c r="M7" s="1381">
        <f>capex_final!O11</f>
        <v>350000</v>
      </c>
      <c r="N7" s="1382">
        <f>capex_final!P11</f>
        <v>0</v>
      </c>
      <c r="O7" s="1383">
        <f>capex_final!Q11</f>
        <v>350000</v>
      </c>
      <c r="P7" s="1389">
        <f>capex_final!S11</f>
        <v>20300</v>
      </c>
      <c r="Q7" s="1389">
        <f>capex_final!U11</f>
        <v>17500</v>
      </c>
      <c r="R7" s="1385">
        <f>capex_final!V11</f>
        <v>387800</v>
      </c>
      <c r="S7" s="1389"/>
      <c r="T7" s="1385"/>
      <c r="U7" s="1387">
        <f>capex_final!AA11</f>
        <v>387800</v>
      </c>
      <c r="V7" s="1388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510"/>
      <c r="AO7" s="1510"/>
      <c r="AP7" s="1510"/>
      <c r="AQ7" s="1510"/>
      <c r="AR7" s="1510"/>
      <c r="AS7" s="1510"/>
      <c r="AT7" s="1510"/>
      <c r="AU7" s="1510"/>
      <c r="AV7" s="1510"/>
      <c r="AW7" s="1510"/>
      <c r="AX7" s="1510"/>
      <c r="AY7" s="1510"/>
      <c r="AZ7" s="1510"/>
      <c r="BA7" s="1510"/>
      <c r="BB7" s="1510"/>
      <c r="BC7" s="1510"/>
      <c r="BD7" s="1510"/>
      <c r="BE7" s="1510"/>
      <c r="BF7" s="1510"/>
      <c r="BG7" s="1510"/>
      <c r="BH7" s="1510"/>
      <c r="BI7" s="1510"/>
      <c r="BJ7" s="1510"/>
      <c r="BK7" s="1510"/>
      <c r="BL7" s="1510"/>
      <c r="BM7" s="1510"/>
      <c r="BN7" s="1510"/>
      <c r="BO7" s="1510"/>
      <c r="BP7" s="1510"/>
      <c r="BQ7" s="1510"/>
      <c r="BR7" s="1510"/>
      <c r="BS7" s="1510"/>
      <c r="BT7" s="1510"/>
      <c r="BU7" s="1510"/>
      <c r="BV7" s="1510"/>
      <c r="BW7" s="1510"/>
      <c r="BX7" s="1510"/>
      <c r="BY7" s="1510"/>
      <c r="BZ7" s="1510"/>
      <c r="CA7" s="1510"/>
      <c r="CB7" s="1510"/>
      <c r="CC7" s="1510"/>
      <c r="CD7" s="1510"/>
      <c r="CE7" s="1510"/>
      <c r="CF7" s="1510"/>
      <c r="CG7" s="1510"/>
      <c r="CH7" s="1510"/>
      <c r="CI7" s="1510"/>
      <c r="CJ7" s="1510"/>
      <c r="CK7" s="1510"/>
      <c r="CL7" s="1510"/>
      <c r="CM7" s="1510"/>
      <c r="CN7" s="1510"/>
      <c r="CO7" s="1510"/>
      <c r="CP7" s="1510"/>
      <c r="CQ7" s="1510"/>
    </row>
    <row r="8" spans="1:95" s="1394" customFormat="1">
      <c r="A8" s="1510"/>
      <c r="B8" s="1555">
        <f>capex_final!A12</f>
        <v>1</v>
      </c>
      <c r="C8" s="1371"/>
      <c r="D8" s="1372" t="str">
        <f>capex_final!C12</f>
        <v>SNP</v>
      </c>
      <c r="E8" s="1373" t="str">
        <f>capex_final!D12</f>
        <v xml:space="preserve"> - stav.úpravy pre "napojenie" obj."Hot Floor" (PO fasáda A-F/1.PP-2NP +NK)</v>
      </c>
      <c r="F8" s="1372"/>
      <c r="G8" s="1370"/>
      <c r="H8" s="1371"/>
      <c r="I8" s="1374"/>
      <c r="J8" s="1519">
        <f>capex_final!I12</f>
        <v>630</v>
      </c>
      <c r="K8" s="1520"/>
      <c r="L8" s="1521"/>
      <c r="M8" s="1381">
        <f>capex_final!O12</f>
        <v>472500</v>
      </c>
      <c r="N8" s="1382">
        <f>capex_final!P12</f>
        <v>0</v>
      </c>
      <c r="O8" s="1383">
        <f>capex_final!Q12</f>
        <v>472500</v>
      </c>
      <c r="P8" s="1389">
        <f>capex_final!S12</f>
        <v>27405</v>
      </c>
      <c r="Q8" s="1389">
        <f>capex_final!U12</f>
        <v>23625</v>
      </c>
      <c r="R8" s="1385">
        <f>capex_final!V12</f>
        <v>523530</v>
      </c>
      <c r="S8" s="1389"/>
      <c r="T8" s="1385"/>
      <c r="U8" s="1387">
        <f>capex_final!AA12</f>
        <v>523530</v>
      </c>
      <c r="V8" s="1388"/>
      <c r="W8" s="1510"/>
      <c r="X8" s="1510"/>
      <c r="Y8" s="1510"/>
      <c r="Z8" s="1510"/>
      <c r="AA8" s="1510"/>
      <c r="AB8" s="1510"/>
      <c r="AC8" s="1510"/>
      <c r="AD8" s="1510"/>
      <c r="AE8" s="1510"/>
      <c r="AF8" s="1510"/>
      <c r="AG8" s="1510"/>
      <c r="AH8" s="1510"/>
      <c r="AI8" s="1510"/>
      <c r="AJ8" s="1510"/>
      <c r="AK8" s="1510"/>
      <c r="AL8" s="1510"/>
      <c r="AM8" s="1510"/>
      <c r="AN8" s="1510"/>
      <c r="AO8" s="1510"/>
      <c r="AP8" s="1510"/>
      <c r="AQ8" s="1510"/>
      <c r="AR8" s="1510"/>
      <c r="AS8" s="1510"/>
      <c r="AT8" s="1510"/>
      <c r="AU8" s="1510"/>
      <c r="AV8" s="1510"/>
      <c r="AW8" s="1510"/>
      <c r="AX8" s="1510"/>
      <c r="AY8" s="1510"/>
      <c r="AZ8" s="1510"/>
      <c r="BA8" s="1510"/>
      <c r="BB8" s="1510"/>
      <c r="BC8" s="1510"/>
      <c r="BD8" s="1510"/>
      <c r="BE8" s="1510"/>
      <c r="BF8" s="1510"/>
      <c r="BG8" s="1510"/>
      <c r="BH8" s="1510"/>
      <c r="BI8" s="1510"/>
      <c r="BJ8" s="1510"/>
      <c r="BK8" s="1510"/>
      <c r="BL8" s="1510"/>
      <c r="BM8" s="1510"/>
      <c r="BN8" s="1510"/>
      <c r="BO8" s="1510"/>
      <c r="BP8" s="1510"/>
      <c r="BQ8" s="1510"/>
      <c r="BR8" s="1510"/>
      <c r="BS8" s="1510"/>
      <c r="BT8" s="1510"/>
      <c r="BU8" s="1510"/>
      <c r="BV8" s="1510"/>
      <c r="BW8" s="1510"/>
      <c r="BX8" s="1510"/>
      <c r="BY8" s="1510"/>
      <c r="BZ8" s="1510"/>
      <c r="CA8" s="1510"/>
      <c r="CB8" s="1510"/>
      <c r="CC8" s="1510"/>
      <c r="CD8" s="1510"/>
      <c r="CE8" s="1510"/>
      <c r="CF8" s="1510"/>
      <c r="CG8" s="1510"/>
      <c r="CH8" s="1510"/>
      <c r="CI8" s="1510"/>
      <c r="CJ8" s="1510"/>
      <c r="CK8" s="1510"/>
      <c r="CL8" s="1510"/>
      <c r="CM8" s="1510"/>
      <c r="CN8" s="1510"/>
      <c r="CO8" s="1510"/>
      <c r="CP8" s="1510"/>
      <c r="CQ8" s="1510"/>
    </row>
    <row r="9" spans="1:95" s="1416" customFormat="1">
      <c r="A9" s="1510"/>
      <c r="B9" s="1556">
        <f>capex_final!A13</f>
        <v>1</v>
      </c>
      <c r="C9" s="1396"/>
      <c r="D9" s="1397" t="str">
        <f>capex_final!C13</f>
        <v>SNP</v>
      </c>
      <c r="E9" s="1398" t="str">
        <f>capex_final!D13</f>
        <v xml:space="preserve"> - stav.úpravy vnútri Polikliniky na komunikačnej trase ( úpravy na 3 podlažiach )</v>
      </c>
      <c r="F9" s="1397"/>
      <c r="G9" s="1395"/>
      <c r="H9" s="1396"/>
      <c r="I9" s="1399"/>
      <c r="J9" s="1522">
        <f>capex_final!I13</f>
        <v>720</v>
      </c>
      <c r="K9" s="1420"/>
      <c r="L9" s="1421"/>
      <c r="M9" s="1403">
        <f>capex_final!O13</f>
        <v>900000</v>
      </c>
      <c r="N9" s="1404">
        <f>capex_final!P13</f>
        <v>222792</v>
      </c>
      <c r="O9" s="1405">
        <f>capex_final!Q13</f>
        <v>1122792</v>
      </c>
      <c r="P9" s="1411">
        <f>capex_final!S13</f>
        <v>65121.936000000002</v>
      </c>
      <c r="Q9" s="1411">
        <f>capex_final!U13</f>
        <v>56139.600000000006</v>
      </c>
      <c r="R9" s="1407">
        <f>capex_final!V13</f>
        <v>1244053.5360000001</v>
      </c>
      <c r="S9" s="1411"/>
      <c r="T9" s="1407"/>
      <c r="U9" s="1409">
        <f>capex_final!AA13</f>
        <v>1244053.5360000001</v>
      </c>
      <c r="V9" s="1410"/>
      <c r="W9" s="1510"/>
      <c r="X9" s="1510"/>
      <c r="Y9" s="1510"/>
      <c r="Z9" s="1510"/>
      <c r="AA9" s="1510"/>
      <c r="AB9" s="1510"/>
      <c r="AC9" s="1510"/>
      <c r="AD9" s="1510"/>
      <c r="AE9" s="1510"/>
      <c r="AF9" s="1510"/>
      <c r="AG9" s="1510"/>
      <c r="AH9" s="1510"/>
      <c r="AI9" s="1510"/>
      <c r="AJ9" s="1510"/>
      <c r="AK9" s="1510"/>
      <c r="AL9" s="1510"/>
      <c r="AM9" s="1510"/>
      <c r="AN9" s="1510"/>
      <c r="AO9" s="1510"/>
      <c r="AP9" s="1510"/>
      <c r="AQ9" s="1510"/>
      <c r="AR9" s="1510"/>
      <c r="AS9" s="1510"/>
      <c r="AT9" s="1510"/>
      <c r="AU9" s="1510"/>
      <c r="AV9" s="1510"/>
      <c r="AW9" s="1510"/>
      <c r="AX9" s="1510"/>
      <c r="AY9" s="1510"/>
      <c r="AZ9" s="1510"/>
      <c r="BA9" s="1510"/>
      <c r="BB9" s="1510"/>
      <c r="BC9" s="1510"/>
      <c r="BD9" s="1510"/>
      <c r="BE9" s="1510"/>
      <c r="BF9" s="1510"/>
      <c r="BG9" s="1510"/>
      <c r="BH9" s="1510"/>
      <c r="BI9" s="1510"/>
      <c r="BJ9" s="1510"/>
      <c r="BK9" s="1510"/>
      <c r="BL9" s="1510"/>
      <c r="BM9" s="1510"/>
      <c r="BN9" s="1510"/>
      <c r="BO9" s="1510"/>
      <c r="BP9" s="1510"/>
      <c r="BQ9" s="1510"/>
      <c r="BR9" s="1510"/>
      <c r="BS9" s="1510"/>
      <c r="BT9" s="1510"/>
      <c r="BU9" s="1510"/>
      <c r="BV9" s="1510"/>
      <c r="BW9" s="1510"/>
      <c r="BX9" s="1510"/>
      <c r="BY9" s="1510"/>
      <c r="BZ9" s="1510"/>
      <c r="CA9" s="1510"/>
      <c r="CB9" s="1510"/>
      <c r="CC9" s="1510"/>
      <c r="CD9" s="1510"/>
      <c r="CE9" s="1510"/>
      <c r="CF9" s="1510"/>
      <c r="CG9" s="1510"/>
      <c r="CH9" s="1510"/>
      <c r="CI9" s="1510"/>
      <c r="CJ9" s="1510"/>
      <c r="CK9" s="1510"/>
      <c r="CL9" s="1510"/>
      <c r="CM9" s="1510"/>
      <c r="CN9" s="1510"/>
      <c r="CO9" s="1510"/>
      <c r="CP9" s="1510"/>
      <c r="CQ9" s="1510"/>
    </row>
    <row r="10" spans="1:95" s="1349" customFormat="1" ht="16">
      <c r="A10" s="1510"/>
      <c r="B10" s="1554">
        <f>capex_final!A14</f>
        <v>1</v>
      </c>
      <c r="C10" s="1347" t="str">
        <f>capex_final!B14</f>
        <v>12.</v>
      </c>
      <c r="D10" s="1348" t="str">
        <f>capex_final!C14</f>
        <v>RA</v>
      </c>
      <c r="E10" s="1349" t="str">
        <f>capex_final!D14</f>
        <v xml:space="preserve">Centrum duševného zdravia, </v>
      </c>
      <c r="F10" s="1348" t="str">
        <f>capex_final!E14</f>
        <v>Výstavba</v>
      </c>
      <c r="G10" s="1346" t="str">
        <f>capex_final!F14</f>
        <v>Etapa 2</v>
      </c>
      <c r="H10" s="1347">
        <f>capex_final!G14</f>
        <v>2022</v>
      </c>
      <c r="I10" s="1350">
        <f>capex_final!H14</f>
        <v>2025</v>
      </c>
      <c r="J10" s="1516">
        <f>capex_final!I14</f>
        <v>11400</v>
      </c>
      <c r="K10" s="1517"/>
      <c r="L10" s="1518"/>
      <c r="M10" s="1357">
        <f>capex_final!O14</f>
        <v>22800000</v>
      </c>
      <c r="N10" s="1358">
        <f>capex_final!P14</f>
        <v>5902138</v>
      </c>
      <c r="O10" s="1359">
        <f>capex_final!Q14</f>
        <v>28702138</v>
      </c>
      <c r="P10" s="1365">
        <f>capex_final!S14</f>
        <v>1664724.0040000002</v>
      </c>
      <c r="Q10" s="1365">
        <f>capex_final!U14</f>
        <v>1435106.9000000001</v>
      </c>
      <c r="R10" s="1361">
        <f>capex_final!V14</f>
        <v>31801968.903999999</v>
      </c>
      <c r="S10" s="1365">
        <f>capex_final!X14</f>
        <v>2544157.5123200002</v>
      </c>
      <c r="T10" s="1361">
        <f>capex_final!Z14</f>
        <v>6996433.15888</v>
      </c>
      <c r="U10" s="1363">
        <f>capex_final!AA14</f>
        <v>41342559.575199999</v>
      </c>
      <c r="V10" s="1364">
        <f>capex_final!AB14</f>
        <v>180</v>
      </c>
      <c r="W10" s="1510"/>
      <c r="X10" s="1510"/>
      <c r="Y10" s="1510"/>
      <c r="Z10" s="1510"/>
      <c r="AA10" s="1510"/>
      <c r="AB10" s="1510"/>
      <c r="AC10" s="1510"/>
      <c r="AD10" s="1510"/>
      <c r="AE10" s="1510"/>
      <c r="AF10" s="1510"/>
      <c r="AG10" s="1510"/>
      <c r="AH10" s="1510"/>
      <c r="AI10" s="1510"/>
      <c r="AJ10" s="1510"/>
      <c r="AK10" s="1510"/>
      <c r="AL10" s="1510"/>
      <c r="AM10" s="1510"/>
      <c r="AN10" s="1510"/>
      <c r="AO10" s="1510"/>
      <c r="AP10" s="1510"/>
      <c r="AQ10" s="1510"/>
      <c r="AR10" s="1510"/>
      <c r="AS10" s="1510"/>
      <c r="AT10" s="1510"/>
      <c r="AU10" s="1510"/>
      <c r="AV10" s="1510"/>
      <c r="AW10" s="1510"/>
      <c r="AX10" s="1510"/>
      <c r="AY10" s="1510"/>
      <c r="AZ10" s="1510"/>
      <c r="BA10" s="1510"/>
      <c r="BB10" s="1510"/>
      <c r="BC10" s="1510"/>
      <c r="BD10" s="1510"/>
      <c r="BE10" s="1510"/>
      <c r="BF10" s="1510"/>
      <c r="BG10" s="1510"/>
      <c r="BH10" s="1510"/>
      <c r="BI10" s="1510"/>
      <c r="BJ10" s="1510"/>
      <c r="BK10" s="1510"/>
      <c r="BL10" s="1510"/>
      <c r="BM10" s="1510"/>
      <c r="BN10" s="1510"/>
      <c r="BO10" s="1510"/>
      <c r="BP10" s="1510"/>
      <c r="BQ10" s="1510"/>
      <c r="BR10" s="1510"/>
      <c r="BS10" s="1510"/>
      <c r="BT10" s="1510"/>
      <c r="BU10" s="1510"/>
      <c r="BV10" s="1510"/>
      <c r="BW10" s="1510"/>
      <c r="BX10" s="1510"/>
      <c r="BY10" s="1510"/>
      <c r="BZ10" s="1510"/>
      <c r="CA10" s="1510"/>
      <c r="CB10" s="1510"/>
      <c r="CC10" s="1510"/>
      <c r="CD10" s="1510"/>
      <c r="CE10" s="1510"/>
      <c r="CF10" s="1510"/>
      <c r="CG10" s="1510"/>
      <c r="CH10" s="1510"/>
      <c r="CI10" s="1510"/>
      <c r="CJ10" s="1510"/>
      <c r="CK10" s="1510"/>
      <c r="CL10" s="1510"/>
      <c r="CM10" s="1510"/>
      <c r="CN10" s="1510"/>
      <c r="CO10" s="1510"/>
      <c r="CP10" s="1510"/>
      <c r="CQ10" s="1510"/>
    </row>
    <row r="11" spans="1:95" s="1394" customFormat="1">
      <c r="A11" s="1510"/>
      <c r="B11" s="1555">
        <f>capex_final!A15</f>
        <v>1</v>
      </c>
      <c r="C11" s="1371"/>
      <c r="D11" s="1372" t="str">
        <f>capex_final!C15</f>
        <v>RA</v>
      </c>
      <c r="E11" s="1373" t="str">
        <f>capex_final!D15</f>
        <v xml:space="preserve"> - podzemné parkovisko</v>
      </c>
      <c r="F11" s="1372"/>
      <c r="G11" s="1370"/>
      <c r="H11" s="1371"/>
      <c r="I11" s="1374"/>
      <c r="J11" s="1519">
        <f>capex_final!I15</f>
        <v>5700</v>
      </c>
      <c r="K11" s="1520"/>
      <c r="L11" s="1521"/>
      <c r="M11" s="1381">
        <f>capex_final!O15</f>
        <v>8550000</v>
      </c>
      <c r="N11" s="1382">
        <f>capex_final!P15</f>
        <v>0</v>
      </c>
      <c r="O11" s="1383">
        <f>capex_final!Q15</f>
        <v>8550000</v>
      </c>
      <c r="P11" s="1389">
        <f>capex_final!S15</f>
        <v>495900</v>
      </c>
      <c r="Q11" s="1389">
        <f>capex_final!U15</f>
        <v>427500</v>
      </c>
      <c r="R11" s="1385">
        <f>capex_final!V15</f>
        <v>9473400</v>
      </c>
      <c r="S11" s="1389"/>
      <c r="T11" s="1385"/>
      <c r="U11" s="1387">
        <f>capex_final!AA15</f>
        <v>9473400</v>
      </c>
      <c r="V11" s="1388"/>
      <c r="W11" s="1510"/>
      <c r="X11" s="1510"/>
      <c r="Y11" s="1510"/>
      <c r="Z11" s="1510"/>
      <c r="AA11" s="1510"/>
      <c r="AB11" s="1510"/>
      <c r="AC11" s="1510"/>
      <c r="AD11" s="1510"/>
      <c r="AE11" s="1510"/>
      <c r="AF11" s="1510"/>
      <c r="AG11" s="1510"/>
      <c r="AH11" s="1510"/>
      <c r="AI11" s="1510"/>
      <c r="AJ11" s="1510"/>
      <c r="AK11" s="1510"/>
      <c r="AL11" s="1510"/>
      <c r="AM11" s="1510"/>
      <c r="AN11" s="1510"/>
      <c r="AO11" s="1510"/>
      <c r="AP11" s="1510"/>
      <c r="AQ11" s="1510"/>
      <c r="AR11" s="1510"/>
      <c r="AS11" s="1510"/>
      <c r="AT11" s="1510"/>
      <c r="AU11" s="1510"/>
      <c r="AV11" s="1510"/>
      <c r="AW11" s="1510"/>
      <c r="AX11" s="1510"/>
      <c r="AY11" s="1510"/>
      <c r="AZ11" s="1510"/>
      <c r="BA11" s="1510"/>
      <c r="BB11" s="1510"/>
      <c r="BC11" s="1510"/>
      <c r="BD11" s="1510"/>
      <c r="BE11" s="1510"/>
      <c r="BF11" s="1510"/>
      <c r="BG11" s="1510"/>
      <c r="BH11" s="1510"/>
      <c r="BI11" s="1510"/>
      <c r="BJ11" s="1510"/>
      <c r="BK11" s="1510"/>
      <c r="BL11" s="1510"/>
      <c r="BM11" s="1510"/>
      <c r="BN11" s="1510"/>
      <c r="BO11" s="1510"/>
      <c r="BP11" s="1510"/>
      <c r="BQ11" s="1510"/>
      <c r="BR11" s="1510"/>
      <c r="BS11" s="1510"/>
      <c r="BT11" s="1510"/>
      <c r="BU11" s="1510"/>
      <c r="BV11" s="1510"/>
      <c r="BW11" s="1510"/>
      <c r="BX11" s="1510"/>
      <c r="BY11" s="1510"/>
      <c r="BZ11" s="1510"/>
      <c r="CA11" s="1510"/>
      <c r="CB11" s="1510"/>
      <c r="CC11" s="1510"/>
      <c r="CD11" s="1510"/>
      <c r="CE11" s="1510"/>
      <c r="CF11" s="1510"/>
      <c r="CG11" s="1510"/>
      <c r="CH11" s="1510"/>
      <c r="CI11" s="1510"/>
      <c r="CJ11" s="1510"/>
      <c r="CK11" s="1510"/>
      <c r="CL11" s="1510"/>
      <c r="CM11" s="1510"/>
      <c r="CN11" s="1510"/>
      <c r="CO11" s="1510"/>
      <c r="CP11" s="1510"/>
      <c r="CQ11" s="1510"/>
    </row>
    <row r="12" spans="1:95" s="1394" customFormat="1">
      <c r="A12" s="1510"/>
      <c r="B12" s="1555">
        <f>capex_final!A16</f>
        <v>1</v>
      </c>
      <c r="C12" s="1371"/>
      <c r="D12" s="1372" t="str">
        <f>capex_final!C16</f>
        <v>RA</v>
      </c>
      <c r="E12" s="1373" t="str">
        <f>capex_final!D16</f>
        <v xml:space="preserve"> - zemné práce (m3) + zabezp.stavebnej jamy (m2-najv.výška steny = 11 m )</v>
      </c>
      <c r="F12" s="1372"/>
      <c r="G12" s="1370"/>
      <c r="H12" s="1371"/>
      <c r="I12" s="1374"/>
      <c r="J12" s="1519">
        <f>capex_final!I16</f>
        <v>1800</v>
      </c>
      <c r="K12" s="1520"/>
      <c r="L12" s="1521">
        <f>capex_final!K16</f>
        <v>28500</v>
      </c>
      <c r="M12" s="1381">
        <f>capex_final!O16</f>
        <v>1227000</v>
      </c>
      <c r="N12" s="1382">
        <f>capex_final!P16</f>
        <v>0</v>
      </c>
      <c r="O12" s="1383">
        <f>capex_final!Q16</f>
        <v>1227000</v>
      </c>
      <c r="P12" s="1389">
        <f>capex_final!S16</f>
        <v>71166</v>
      </c>
      <c r="Q12" s="1389">
        <f>capex_final!U16</f>
        <v>61350</v>
      </c>
      <c r="R12" s="1385">
        <f>capex_final!V16</f>
        <v>1359516</v>
      </c>
      <c r="S12" s="1389"/>
      <c r="T12" s="1385"/>
      <c r="U12" s="1387">
        <f>capex_final!AA16</f>
        <v>1359516</v>
      </c>
      <c r="V12" s="1388"/>
      <c r="W12" s="1510"/>
      <c r="X12" s="1510"/>
      <c r="Y12" s="1510"/>
      <c r="Z12" s="1510"/>
      <c r="AA12" s="1510"/>
      <c r="AB12" s="1510"/>
      <c r="AC12" s="1510"/>
      <c r="AD12" s="1510"/>
      <c r="AE12" s="1510"/>
      <c r="AF12" s="1510"/>
      <c r="AG12" s="1510"/>
      <c r="AH12" s="1510"/>
      <c r="AI12" s="1510"/>
      <c r="AJ12" s="1510"/>
      <c r="AK12" s="1510"/>
      <c r="AL12" s="1510"/>
      <c r="AM12" s="1510"/>
      <c r="AN12" s="1510"/>
      <c r="AO12" s="1510"/>
      <c r="AP12" s="1510"/>
      <c r="AQ12" s="1510"/>
      <c r="AR12" s="1510"/>
      <c r="AS12" s="1510"/>
      <c r="AT12" s="1510"/>
      <c r="AU12" s="1510"/>
      <c r="AV12" s="1510"/>
      <c r="AW12" s="1510"/>
      <c r="AX12" s="1510"/>
      <c r="AY12" s="1510"/>
      <c r="AZ12" s="1510"/>
      <c r="BA12" s="1510"/>
      <c r="BB12" s="1510"/>
      <c r="BC12" s="1510"/>
      <c r="BD12" s="1510"/>
      <c r="BE12" s="1510"/>
      <c r="BF12" s="1510"/>
      <c r="BG12" s="1510"/>
      <c r="BH12" s="1510"/>
      <c r="BI12" s="1510"/>
      <c r="BJ12" s="1510"/>
      <c r="BK12" s="1510"/>
      <c r="BL12" s="1510"/>
      <c r="BM12" s="1510"/>
      <c r="BN12" s="1510"/>
      <c r="BO12" s="1510"/>
      <c r="BP12" s="1510"/>
      <c r="BQ12" s="1510"/>
      <c r="BR12" s="1510"/>
      <c r="BS12" s="1510"/>
      <c r="BT12" s="1510"/>
      <c r="BU12" s="1510"/>
      <c r="BV12" s="1510"/>
      <c r="BW12" s="1510"/>
      <c r="BX12" s="1510"/>
      <c r="BY12" s="1510"/>
      <c r="BZ12" s="1510"/>
      <c r="CA12" s="1510"/>
      <c r="CB12" s="1510"/>
      <c r="CC12" s="1510"/>
      <c r="CD12" s="1510"/>
      <c r="CE12" s="1510"/>
      <c r="CF12" s="1510"/>
      <c r="CG12" s="1510"/>
      <c r="CH12" s="1510"/>
      <c r="CI12" s="1510"/>
      <c r="CJ12" s="1510"/>
      <c r="CK12" s="1510"/>
      <c r="CL12" s="1510"/>
      <c r="CM12" s="1510"/>
      <c r="CN12" s="1510"/>
      <c r="CO12" s="1510"/>
      <c r="CP12" s="1510"/>
      <c r="CQ12" s="1510"/>
    </row>
    <row r="13" spans="1:95" s="1416" customFormat="1">
      <c r="A13" s="1510"/>
      <c r="B13" s="1556">
        <f>capex_final!A17</f>
        <v>1</v>
      </c>
      <c r="C13" s="1396" t="str">
        <f>capex_final!B17</f>
        <v>11.</v>
      </c>
      <c r="D13" s="1397" t="str">
        <f>capex_final!C17</f>
        <v>RA</v>
      </c>
      <c r="E13" s="1398" t="str">
        <f>capex_final!D17</f>
        <v>Pavilón XVIII. (neuro)</v>
      </c>
      <c r="F13" s="1397" t="str">
        <f>capex_final!E17</f>
        <v>Demolácia</v>
      </c>
      <c r="G13" s="1395" t="str">
        <f>capex_final!F17</f>
        <v>Etapa 2</v>
      </c>
      <c r="H13" s="1396">
        <f>capex_final!G17</f>
        <v>2022</v>
      </c>
      <c r="I13" s="1399">
        <f>capex_final!H17</f>
        <v>2025</v>
      </c>
      <c r="J13" s="1523"/>
      <c r="K13" s="1524"/>
      <c r="L13" s="1525">
        <f>capex_final!K17</f>
        <v>28688</v>
      </c>
      <c r="M13" s="1403">
        <f>capex_final!O17</f>
        <v>2295040</v>
      </c>
      <c r="N13" s="1404">
        <f>capex_final!P17</f>
        <v>0</v>
      </c>
      <c r="O13" s="1405">
        <f>capex_final!Q17</f>
        <v>2295040</v>
      </c>
      <c r="P13" s="1411">
        <f>capex_final!S17</f>
        <v>133112.32000000001</v>
      </c>
      <c r="Q13" s="1411">
        <f>capex_final!U17</f>
        <v>114752</v>
      </c>
      <c r="R13" s="1407">
        <f>capex_final!V17</f>
        <v>2542904.3199999998</v>
      </c>
      <c r="S13" s="1411"/>
      <c r="T13" s="1407"/>
      <c r="U13" s="1409">
        <f>capex_final!AA17</f>
        <v>2542904.3199999998</v>
      </c>
      <c r="V13" s="1410"/>
      <c r="W13" s="1510"/>
      <c r="X13" s="1510"/>
      <c r="Y13" s="1510"/>
      <c r="Z13" s="1510"/>
      <c r="AA13" s="1510"/>
      <c r="AB13" s="1510"/>
      <c r="AC13" s="1510"/>
      <c r="AD13" s="1510"/>
      <c r="AE13" s="1510"/>
      <c r="AF13" s="1510"/>
      <c r="AG13" s="1510"/>
      <c r="AH13" s="1510"/>
      <c r="AI13" s="1510"/>
      <c r="AJ13" s="1510"/>
      <c r="AK13" s="1510"/>
      <c r="AL13" s="1510"/>
      <c r="AM13" s="1510"/>
      <c r="AN13" s="1510"/>
      <c r="AO13" s="1510"/>
      <c r="AP13" s="1510"/>
      <c r="AQ13" s="1510"/>
      <c r="AR13" s="1510"/>
      <c r="AS13" s="1510"/>
      <c r="AT13" s="1510"/>
      <c r="AU13" s="1510"/>
      <c r="AV13" s="1510"/>
      <c r="AW13" s="1510"/>
      <c r="AX13" s="1510"/>
      <c r="AY13" s="1510"/>
      <c r="AZ13" s="1510"/>
      <c r="BA13" s="1510"/>
      <c r="BB13" s="1510"/>
      <c r="BC13" s="1510"/>
      <c r="BD13" s="1510"/>
      <c r="BE13" s="1510"/>
      <c r="BF13" s="1510"/>
      <c r="BG13" s="1510"/>
      <c r="BH13" s="1510"/>
      <c r="BI13" s="1510"/>
      <c r="BJ13" s="1510"/>
      <c r="BK13" s="1510"/>
      <c r="BL13" s="1510"/>
      <c r="BM13" s="1510"/>
      <c r="BN13" s="1510"/>
      <c r="BO13" s="1510"/>
      <c r="BP13" s="1510"/>
      <c r="BQ13" s="1510"/>
      <c r="BR13" s="1510"/>
      <c r="BS13" s="1510"/>
      <c r="BT13" s="1510"/>
      <c r="BU13" s="1510"/>
      <c r="BV13" s="1510"/>
      <c r="BW13" s="1510"/>
      <c r="BX13" s="1510"/>
      <c r="BY13" s="1510"/>
      <c r="BZ13" s="1510"/>
      <c r="CA13" s="1510"/>
      <c r="CB13" s="1510"/>
      <c r="CC13" s="1510"/>
      <c r="CD13" s="1510"/>
      <c r="CE13" s="1510"/>
      <c r="CF13" s="1510"/>
      <c r="CG13" s="1510"/>
      <c r="CH13" s="1510"/>
      <c r="CI13" s="1510"/>
      <c r="CJ13" s="1510"/>
      <c r="CK13" s="1510"/>
      <c r="CL13" s="1510"/>
      <c r="CM13" s="1510"/>
      <c r="CN13" s="1510"/>
      <c r="CO13" s="1510"/>
      <c r="CP13" s="1510"/>
      <c r="CQ13" s="1510"/>
    </row>
    <row r="14" spans="1:95">
      <c r="B14" s="1557"/>
      <c r="C14" s="1317"/>
      <c r="D14" s="970"/>
      <c r="F14" s="970"/>
      <c r="G14" s="970"/>
      <c r="H14" s="1317"/>
      <c r="I14" s="1317"/>
      <c r="J14" s="1526"/>
      <c r="K14" s="1526"/>
      <c r="L14" s="1526"/>
      <c r="M14" s="1064"/>
      <c r="N14" s="1070"/>
      <c r="O14" s="968"/>
      <c r="P14" s="967"/>
      <c r="Q14" s="967"/>
      <c r="R14" s="1032"/>
      <c r="S14" s="967"/>
      <c r="T14" s="967"/>
      <c r="U14" s="968"/>
      <c r="V14" s="1033"/>
    </row>
    <row r="15" spans="1:95" s="1245" customFormat="1" ht="16">
      <c r="A15" s="1038"/>
      <c r="B15" s="1558">
        <f>capex_final!A19</f>
        <v>2</v>
      </c>
      <c r="C15" s="1243" t="str">
        <f>capex_final!B19</f>
        <v>14.</v>
      </c>
      <c r="D15" s="1244" t="str">
        <f>capex_final!C19</f>
        <v>RA</v>
      </c>
      <c r="E15" s="1245" t="str">
        <f>capex_final!D19</f>
        <v>Blok interná a pneumológia,</v>
      </c>
      <c r="F15" s="1244" t="str">
        <f>capex_final!E19</f>
        <v>Výstavba</v>
      </c>
      <c r="G15" s="1242" t="str">
        <f>capex_final!F19</f>
        <v>Etapa 3</v>
      </c>
      <c r="H15" s="1243">
        <f>capex_final!G19</f>
        <v>2022</v>
      </c>
      <c r="I15" s="1246">
        <f>capex_final!H19</f>
        <v>2025</v>
      </c>
      <c r="J15" s="1527">
        <f>capex_final!I19</f>
        <v>12600</v>
      </c>
      <c r="K15" s="1528"/>
      <c r="L15" s="1529"/>
      <c r="M15" s="1253">
        <f>capex_final!O19</f>
        <v>27720000</v>
      </c>
      <c r="N15" s="1254">
        <f>capex_final!P19</f>
        <v>5686862</v>
      </c>
      <c r="O15" s="1255">
        <f>capex_final!Q19</f>
        <v>33406862</v>
      </c>
      <c r="P15" s="1261">
        <f>capex_final!S19</f>
        <v>1937597.996</v>
      </c>
      <c r="Q15" s="1261">
        <f>capex_final!U19</f>
        <v>1670343.1</v>
      </c>
      <c r="R15" s="1257">
        <f>capex_final!V19</f>
        <v>37014803.096000001</v>
      </c>
      <c r="S15" s="1261">
        <f>capex_final!X19</f>
        <v>2961184.24768</v>
      </c>
      <c r="T15" s="1257">
        <f>capex_final!Z19</f>
        <v>8143256.6811199998</v>
      </c>
      <c r="U15" s="1259">
        <f>capex_final!AA19</f>
        <v>48119244.024800003</v>
      </c>
      <c r="V15" s="1260">
        <f>capex_final!AB19</f>
        <v>120</v>
      </c>
      <c r="W15" s="1038"/>
      <c r="X15" s="1038"/>
      <c r="Y15" s="1038"/>
      <c r="Z15" s="1038"/>
      <c r="AA15" s="1038"/>
      <c r="AB15" s="1038"/>
      <c r="AC15" s="1038"/>
      <c r="AD15" s="1038"/>
      <c r="AE15" s="1038"/>
      <c r="AF15" s="1038"/>
      <c r="AG15" s="1038"/>
      <c r="AH15" s="1038"/>
      <c r="AI15" s="1038"/>
      <c r="AJ15" s="1038"/>
      <c r="AK15" s="1038"/>
      <c r="AL15" s="1038"/>
      <c r="AM15" s="1038"/>
      <c r="AN15" s="1038"/>
      <c r="AO15" s="1038"/>
      <c r="AP15" s="1038"/>
      <c r="AQ15" s="1038"/>
      <c r="AR15" s="1038"/>
      <c r="AS15" s="1038"/>
      <c r="AT15" s="1038"/>
      <c r="AU15" s="1038"/>
      <c r="AV15" s="1038"/>
      <c r="AW15" s="1038"/>
      <c r="AX15" s="1038"/>
      <c r="AY15" s="1038"/>
      <c r="AZ15" s="1038"/>
      <c r="BA15" s="1038"/>
      <c r="BB15" s="1038"/>
      <c r="BC15" s="1038"/>
      <c r="BD15" s="1038"/>
      <c r="BE15" s="1038"/>
      <c r="BF15" s="1038"/>
      <c r="BG15" s="1038"/>
      <c r="BH15" s="1038"/>
      <c r="BI15" s="1038"/>
      <c r="BJ15" s="1038"/>
      <c r="BK15" s="1038"/>
      <c r="BL15" s="1038"/>
      <c r="BM15" s="1038"/>
      <c r="BN15" s="1038"/>
      <c r="BO15" s="1038"/>
      <c r="BP15" s="1038"/>
      <c r="BQ15" s="1038"/>
      <c r="BR15" s="1038"/>
      <c r="BS15" s="1038"/>
      <c r="BT15" s="1038"/>
      <c r="BU15" s="1038"/>
      <c r="BV15" s="1038"/>
      <c r="BW15" s="1038"/>
      <c r="BX15" s="1038"/>
      <c r="BY15" s="1038"/>
      <c r="BZ15" s="1038"/>
      <c r="CA15" s="1038"/>
      <c r="CB15" s="1038"/>
      <c r="CC15" s="1038"/>
      <c r="CD15" s="1038"/>
      <c r="CE15" s="1038"/>
      <c r="CF15" s="1038"/>
      <c r="CG15" s="1038"/>
      <c r="CH15" s="1038"/>
      <c r="CI15" s="1038"/>
      <c r="CJ15" s="1038"/>
      <c r="CK15" s="1038"/>
      <c r="CL15" s="1038"/>
      <c r="CM15" s="1038"/>
      <c r="CN15" s="1038"/>
      <c r="CO15" s="1038"/>
      <c r="CP15" s="1038"/>
      <c r="CQ15" s="1038"/>
    </row>
    <row r="16" spans="1:95" s="1290" customFormat="1">
      <c r="A16" s="1038"/>
      <c r="B16" s="1559">
        <f>capex_final!A20</f>
        <v>2</v>
      </c>
      <c r="C16" s="1267"/>
      <c r="D16" s="1268" t="str">
        <f>capex_final!C20</f>
        <v>RA</v>
      </c>
      <c r="E16" s="1269" t="str">
        <f>capex_final!D20</f>
        <v xml:space="preserve"> - podzemné parkovisko</v>
      </c>
      <c r="F16" s="1268"/>
      <c r="G16" s="1266"/>
      <c r="H16" s="1267"/>
      <c r="I16" s="1270"/>
      <c r="J16" s="1530">
        <f>capex_final!I20</f>
        <v>2100</v>
      </c>
      <c r="K16" s="1531"/>
      <c r="L16" s="1532"/>
      <c r="M16" s="1277">
        <f>capex_final!O20</f>
        <v>3150000</v>
      </c>
      <c r="N16" s="1278">
        <f>capex_final!P20</f>
        <v>0</v>
      </c>
      <c r="O16" s="1279">
        <f>capex_final!Q20</f>
        <v>3150000</v>
      </c>
      <c r="P16" s="1285">
        <f>capex_final!S20</f>
        <v>182700</v>
      </c>
      <c r="Q16" s="1285">
        <f>capex_final!U20</f>
        <v>157500</v>
      </c>
      <c r="R16" s="1281">
        <f>capex_final!V20</f>
        <v>3490200</v>
      </c>
      <c r="S16" s="1285"/>
      <c r="T16" s="1281"/>
      <c r="U16" s="1283">
        <f>capex_final!AA20</f>
        <v>3490200</v>
      </c>
      <c r="V16" s="1284"/>
      <c r="W16" s="1038"/>
      <c r="X16" s="1038"/>
      <c r="Y16" s="1038"/>
      <c r="Z16" s="1038"/>
      <c r="AA16" s="1038"/>
      <c r="AB16" s="1038"/>
      <c r="AC16" s="1038"/>
      <c r="AD16" s="1038"/>
      <c r="AE16" s="1038"/>
      <c r="AF16" s="1038"/>
      <c r="AG16" s="1038"/>
      <c r="AH16" s="1038"/>
      <c r="AI16" s="1038"/>
      <c r="AJ16" s="1038"/>
      <c r="AK16" s="1038"/>
      <c r="AL16" s="1038"/>
      <c r="AM16" s="1038"/>
      <c r="AN16" s="1038"/>
      <c r="AO16" s="1038"/>
      <c r="AP16" s="1038"/>
      <c r="AQ16" s="1038"/>
      <c r="AR16" s="1038"/>
      <c r="AS16" s="1038"/>
      <c r="AT16" s="1038"/>
      <c r="AU16" s="1038"/>
      <c r="AV16" s="1038"/>
      <c r="AW16" s="1038"/>
      <c r="AX16" s="1038"/>
      <c r="AY16" s="1038"/>
      <c r="AZ16" s="1038"/>
      <c r="BA16" s="1038"/>
      <c r="BB16" s="1038"/>
      <c r="BC16" s="1038"/>
      <c r="BD16" s="1038"/>
      <c r="BE16" s="1038"/>
      <c r="BF16" s="1038"/>
      <c r="BG16" s="1038"/>
      <c r="BH16" s="1038"/>
      <c r="BI16" s="1038"/>
      <c r="BJ16" s="1038"/>
      <c r="BK16" s="1038"/>
      <c r="BL16" s="1038"/>
      <c r="BM16" s="1038"/>
      <c r="BN16" s="1038"/>
      <c r="BO16" s="1038"/>
      <c r="BP16" s="1038"/>
      <c r="BQ16" s="1038"/>
      <c r="BR16" s="1038"/>
      <c r="BS16" s="1038"/>
      <c r="BT16" s="1038"/>
      <c r="BU16" s="1038"/>
      <c r="BV16" s="1038"/>
      <c r="BW16" s="1038"/>
      <c r="BX16" s="1038"/>
      <c r="BY16" s="1038"/>
      <c r="BZ16" s="1038"/>
      <c r="CA16" s="1038"/>
      <c r="CB16" s="1038"/>
      <c r="CC16" s="1038"/>
      <c r="CD16" s="1038"/>
      <c r="CE16" s="1038"/>
      <c r="CF16" s="1038"/>
      <c r="CG16" s="1038"/>
      <c r="CH16" s="1038"/>
      <c r="CI16" s="1038"/>
      <c r="CJ16" s="1038"/>
      <c r="CK16" s="1038"/>
      <c r="CL16" s="1038"/>
      <c r="CM16" s="1038"/>
      <c r="CN16" s="1038"/>
      <c r="CO16" s="1038"/>
      <c r="CP16" s="1038"/>
      <c r="CQ16" s="1038"/>
    </row>
    <row r="17" spans="1:95" s="1310" customFormat="1">
      <c r="A17" s="1038"/>
      <c r="B17" s="1560">
        <f>capex_final!A21</f>
        <v>2</v>
      </c>
      <c r="C17" s="1292"/>
      <c r="D17" s="1293" t="str">
        <f>capex_final!C21</f>
        <v>RA</v>
      </c>
      <c r="E17" s="1294" t="str">
        <f>capex_final!D21</f>
        <v xml:space="preserve"> - zemné práce (m3) + zabezp.stavebnej jamy (m2-najv.výška steny = 11 m )</v>
      </c>
      <c r="F17" s="1293"/>
      <c r="G17" s="1291"/>
      <c r="H17" s="1292"/>
      <c r="I17" s="1295"/>
      <c r="J17" s="1533">
        <f>capex_final!I21</f>
        <v>1250</v>
      </c>
      <c r="K17" s="1534"/>
      <c r="L17" s="1535">
        <f>capex_final!K21</f>
        <v>10500</v>
      </c>
      <c r="M17" s="1297">
        <f>capex_final!O21</f>
        <v>499000</v>
      </c>
      <c r="N17" s="1298">
        <f>capex_final!P21</f>
        <v>0</v>
      </c>
      <c r="O17" s="1299">
        <f>capex_final!Q21</f>
        <v>499000</v>
      </c>
      <c r="P17" s="1305">
        <f>capex_final!S21</f>
        <v>28942</v>
      </c>
      <c r="Q17" s="1305">
        <f>capex_final!U21</f>
        <v>24950</v>
      </c>
      <c r="R17" s="1301">
        <f>capex_final!V21</f>
        <v>552892</v>
      </c>
      <c r="S17" s="1305"/>
      <c r="T17" s="1301"/>
      <c r="U17" s="1303">
        <f>capex_final!AA21</f>
        <v>552892</v>
      </c>
      <c r="V17" s="1304"/>
      <c r="W17" s="1038"/>
      <c r="X17" s="1038"/>
      <c r="Y17" s="1038"/>
      <c r="Z17" s="1038"/>
      <c r="AA17" s="1038"/>
      <c r="AB17" s="1038"/>
      <c r="AC17" s="1038"/>
      <c r="AD17" s="1038"/>
      <c r="AE17" s="1038"/>
      <c r="AF17" s="1038"/>
      <c r="AG17" s="1038"/>
      <c r="AH17" s="1038"/>
      <c r="AI17" s="1038"/>
      <c r="AJ17" s="1038"/>
      <c r="AK17" s="1038"/>
      <c r="AL17" s="1038"/>
      <c r="AM17" s="1038"/>
      <c r="AN17" s="1038"/>
      <c r="AO17" s="1038"/>
      <c r="AP17" s="1038"/>
      <c r="AQ17" s="1038"/>
      <c r="AR17" s="1038"/>
      <c r="AS17" s="1038"/>
      <c r="AT17" s="1038"/>
      <c r="AU17" s="1038"/>
      <c r="AV17" s="1038"/>
      <c r="AW17" s="1038"/>
      <c r="AX17" s="1038"/>
      <c r="AY17" s="1038"/>
      <c r="AZ17" s="1038"/>
      <c r="BA17" s="1038"/>
      <c r="BB17" s="1038"/>
      <c r="BC17" s="1038"/>
      <c r="BD17" s="1038"/>
      <c r="BE17" s="1038"/>
      <c r="BF17" s="1038"/>
      <c r="BG17" s="1038"/>
      <c r="BH17" s="1038"/>
      <c r="BI17" s="1038"/>
      <c r="BJ17" s="1038"/>
      <c r="BK17" s="1038"/>
      <c r="BL17" s="1038"/>
      <c r="BM17" s="1038"/>
      <c r="BN17" s="1038"/>
      <c r="BO17" s="1038"/>
      <c r="BP17" s="1038"/>
      <c r="BQ17" s="1038"/>
      <c r="BR17" s="1038"/>
      <c r="BS17" s="1038"/>
      <c r="BT17" s="1038"/>
      <c r="BU17" s="1038"/>
      <c r="BV17" s="1038"/>
      <c r="BW17" s="1038"/>
      <c r="BX17" s="1038"/>
      <c r="BY17" s="1038"/>
      <c r="BZ17" s="1038"/>
      <c r="CA17" s="1038"/>
      <c r="CB17" s="1038"/>
      <c r="CC17" s="1038"/>
      <c r="CD17" s="1038"/>
      <c r="CE17" s="1038"/>
      <c r="CF17" s="1038"/>
      <c r="CG17" s="1038"/>
      <c r="CH17" s="1038"/>
      <c r="CI17" s="1038"/>
      <c r="CJ17" s="1038"/>
      <c r="CK17" s="1038"/>
      <c r="CL17" s="1038"/>
      <c r="CM17" s="1038"/>
      <c r="CN17" s="1038"/>
      <c r="CO17" s="1038"/>
      <c r="CP17" s="1038"/>
      <c r="CQ17" s="1038"/>
    </row>
    <row r="18" spans="1:95" s="1245" customFormat="1" ht="16">
      <c r="A18" s="1038"/>
      <c r="B18" s="1558">
        <f>capex_final!A22</f>
        <v>2</v>
      </c>
      <c r="C18" s="1243" t="str">
        <f>capex_final!B22</f>
        <v>15.</v>
      </c>
      <c r="D18" s="1244" t="str">
        <f>capex_final!C22</f>
        <v>RA</v>
      </c>
      <c r="E18" s="1245" t="str">
        <f>capex_final!D22</f>
        <v>ODCH, OCHRIS, hyperbaroxia</v>
      </c>
      <c r="F18" s="1244" t="str">
        <f>capex_final!E22</f>
        <v>Výstavba</v>
      </c>
      <c r="G18" s="1242" t="str">
        <f>capex_final!F22</f>
        <v>Etapa 3</v>
      </c>
      <c r="H18" s="1243">
        <f>capex_final!G22</f>
        <v>2022</v>
      </c>
      <c r="I18" s="1246">
        <f>capex_final!H22</f>
        <v>2025</v>
      </c>
      <c r="J18" s="1527">
        <f>capex_final!I22</f>
        <v>5850</v>
      </c>
      <c r="K18" s="1528"/>
      <c r="L18" s="1529"/>
      <c r="M18" s="1253">
        <f>capex_final!O22</f>
        <v>12870000</v>
      </c>
      <c r="N18" s="1254">
        <f>capex_final!P22</f>
        <v>5274251</v>
      </c>
      <c r="O18" s="1255">
        <f>capex_final!Q22</f>
        <v>18144251</v>
      </c>
      <c r="P18" s="1261">
        <f>capex_final!S22</f>
        <v>1052366.558</v>
      </c>
      <c r="Q18" s="1261">
        <f>capex_final!U22</f>
        <v>907212.55</v>
      </c>
      <c r="R18" s="1257">
        <f>capex_final!V22</f>
        <v>20103830.107999999</v>
      </c>
      <c r="S18" s="1261">
        <f>capex_final!X22</f>
        <v>1608306.40864</v>
      </c>
      <c r="T18" s="1257">
        <f>capex_final!Z22</f>
        <v>4422842.6237599999</v>
      </c>
      <c r="U18" s="1259">
        <f>capex_final!AA22</f>
        <v>26134979.1404</v>
      </c>
      <c r="V18" s="1260">
        <f>capex_final!AB22</f>
        <v>70</v>
      </c>
      <c r="W18" s="1038"/>
      <c r="X18" s="1038"/>
      <c r="Y18" s="1038"/>
      <c r="Z18" s="1038"/>
      <c r="AA18" s="1038"/>
      <c r="AB18" s="1038"/>
      <c r="AC18" s="1038"/>
      <c r="AD18" s="1038"/>
      <c r="AE18" s="1038"/>
      <c r="AF18" s="1038"/>
      <c r="AG18" s="1038"/>
      <c r="AH18" s="1038"/>
      <c r="AI18" s="1038"/>
      <c r="AJ18" s="1038"/>
      <c r="AK18" s="1038"/>
      <c r="AL18" s="1038"/>
      <c r="AM18" s="1038"/>
      <c r="AN18" s="1038"/>
      <c r="AO18" s="1038"/>
      <c r="AP18" s="1038"/>
      <c r="AQ18" s="1038"/>
      <c r="AR18" s="1038"/>
      <c r="AS18" s="1038"/>
      <c r="AT18" s="1038"/>
      <c r="AU18" s="1038"/>
      <c r="AV18" s="1038"/>
      <c r="AW18" s="1038"/>
      <c r="AX18" s="1038"/>
      <c r="AY18" s="1038"/>
      <c r="AZ18" s="1038"/>
      <c r="BA18" s="1038"/>
      <c r="BB18" s="1038"/>
      <c r="BC18" s="1038"/>
      <c r="BD18" s="1038"/>
      <c r="BE18" s="1038"/>
      <c r="BF18" s="1038"/>
      <c r="BG18" s="1038"/>
      <c r="BH18" s="1038"/>
      <c r="BI18" s="1038"/>
      <c r="BJ18" s="1038"/>
      <c r="BK18" s="1038"/>
      <c r="BL18" s="1038"/>
      <c r="BM18" s="1038"/>
      <c r="BN18" s="1038"/>
      <c r="BO18" s="1038"/>
      <c r="BP18" s="1038"/>
      <c r="BQ18" s="1038"/>
      <c r="BR18" s="1038"/>
      <c r="BS18" s="1038"/>
      <c r="BT18" s="1038"/>
      <c r="BU18" s="1038"/>
      <c r="BV18" s="1038"/>
      <c r="BW18" s="1038"/>
      <c r="BX18" s="1038"/>
      <c r="BY18" s="1038"/>
      <c r="BZ18" s="1038"/>
      <c r="CA18" s="1038"/>
      <c r="CB18" s="1038"/>
      <c r="CC18" s="1038"/>
      <c r="CD18" s="1038"/>
      <c r="CE18" s="1038"/>
      <c r="CF18" s="1038"/>
      <c r="CG18" s="1038"/>
      <c r="CH18" s="1038"/>
      <c r="CI18" s="1038"/>
      <c r="CJ18" s="1038"/>
      <c r="CK18" s="1038"/>
      <c r="CL18" s="1038"/>
      <c r="CM18" s="1038"/>
      <c r="CN18" s="1038"/>
      <c r="CO18" s="1038"/>
      <c r="CP18" s="1038"/>
      <c r="CQ18" s="1038"/>
    </row>
    <row r="19" spans="1:95" s="1290" customFormat="1">
      <c r="A19" s="1038"/>
      <c r="B19" s="1559">
        <f>capex_final!A23</f>
        <v>2</v>
      </c>
      <c r="C19" s="1267"/>
      <c r="D19" s="1268" t="str">
        <f>capex_final!C23</f>
        <v>RA</v>
      </c>
      <c r="E19" s="1269" t="str">
        <f>capex_final!D23</f>
        <v xml:space="preserve"> - podzemné parkovisko</v>
      </c>
      <c r="F19" s="1268"/>
      <c r="G19" s="1266"/>
      <c r="H19" s="1267"/>
      <c r="I19" s="1270"/>
      <c r="J19" s="1530">
        <f>capex_final!I23</f>
        <v>1950</v>
      </c>
      <c r="K19" s="1531"/>
      <c r="L19" s="1532"/>
      <c r="M19" s="1277">
        <f>capex_final!O23</f>
        <v>2925000</v>
      </c>
      <c r="N19" s="1278"/>
      <c r="O19" s="1279">
        <f>capex_final!Q23</f>
        <v>2925000</v>
      </c>
      <c r="P19" s="1285">
        <f>capex_final!S23</f>
        <v>169650</v>
      </c>
      <c r="Q19" s="1285">
        <f>capex_final!U23</f>
        <v>146250</v>
      </c>
      <c r="R19" s="1281">
        <f>capex_final!V23</f>
        <v>3240900</v>
      </c>
      <c r="S19" s="1285"/>
      <c r="T19" s="1281"/>
      <c r="U19" s="1283">
        <f>capex_final!AA23</f>
        <v>3240900</v>
      </c>
      <c r="V19" s="1284"/>
      <c r="W19" s="1038"/>
      <c r="X19" s="1038"/>
      <c r="Y19" s="1038"/>
      <c r="Z19" s="1038"/>
      <c r="AA19" s="1038"/>
      <c r="AB19" s="1038"/>
      <c r="AC19" s="1038"/>
      <c r="AD19" s="1038"/>
      <c r="AE19" s="1038"/>
      <c r="AF19" s="1038"/>
      <c r="AG19" s="1038"/>
      <c r="AH19" s="1038"/>
      <c r="AI19" s="1038"/>
      <c r="AJ19" s="1038"/>
      <c r="AK19" s="1038"/>
      <c r="AL19" s="1038"/>
      <c r="AM19" s="1038"/>
      <c r="AN19" s="1038"/>
      <c r="AO19" s="1038"/>
      <c r="AP19" s="1038"/>
      <c r="AQ19" s="1038"/>
      <c r="AR19" s="1038"/>
      <c r="AS19" s="1038"/>
      <c r="AT19" s="1038"/>
      <c r="AU19" s="1038"/>
      <c r="AV19" s="1038"/>
      <c r="AW19" s="1038"/>
      <c r="AX19" s="1038"/>
      <c r="AY19" s="1038"/>
      <c r="AZ19" s="1038"/>
      <c r="BA19" s="1038"/>
      <c r="BB19" s="1038"/>
      <c r="BC19" s="1038"/>
      <c r="BD19" s="1038"/>
      <c r="BE19" s="1038"/>
      <c r="BF19" s="1038"/>
      <c r="BG19" s="1038"/>
      <c r="BH19" s="1038"/>
      <c r="BI19" s="1038"/>
      <c r="BJ19" s="1038"/>
      <c r="BK19" s="1038"/>
      <c r="BL19" s="1038"/>
      <c r="BM19" s="1038"/>
      <c r="BN19" s="1038"/>
      <c r="BO19" s="1038"/>
      <c r="BP19" s="1038"/>
      <c r="BQ19" s="1038"/>
      <c r="BR19" s="1038"/>
      <c r="BS19" s="1038"/>
      <c r="BT19" s="1038"/>
      <c r="BU19" s="1038"/>
      <c r="BV19" s="1038"/>
      <c r="BW19" s="1038"/>
      <c r="BX19" s="1038"/>
      <c r="BY19" s="1038"/>
      <c r="BZ19" s="1038"/>
      <c r="CA19" s="1038"/>
      <c r="CB19" s="1038"/>
      <c r="CC19" s="1038"/>
      <c r="CD19" s="1038"/>
      <c r="CE19" s="1038"/>
      <c r="CF19" s="1038"/>
      <c r="CG19" s="1038"/>
      <c r="CH19" s="1038"/>
      <c r="CI19" s="1038"/>
      <c r="CJ19" s="1038"/>
      <c r="CK19" s="1038"/>
      <c r="CL19" s="1038"/>
      <c r="CM19" s="1038"/>
      <c r="CN19" s="1038"/>
      <c r="CO19" s="1038"/>
      <c r="CP19" s="1038"/>
      <c r="CQ19" s="1038"/>
    </row>
    <row r="20" spans="1:95" s="1310" customFormat="1">
      <c r="A20" s="1038"/>
      <c r="B20" s="1560">
        <f>capex_final!A24</f>
        <v>2</v>
      </c>
      <c r="C20" s="1292"/>
      <c r="D20" s="1293" t="str">
        <f>capex_final!C24</f>
        <v>RA</v>
      </c>
      <c r="E20" s="1294" t="str">
        <f>capex_final!D24</f>
        <v xml:space="preserve"> - zemné práce (m3) + zabezp.stavebnej jamy (m2-najv.výška steny = 11 m )</v>
      </c>
      <c r="F20" s="1293"/>
      <c r="G20" s="1291"/>
      <c r="H20" s="1292"/>
      <c r="I20" s="1295"/>
      <c r="J20" s="1533">
        <f>capex_final!I24</f>
        <v>1050</v>
      </c>
      <c r="K20" s="1534"/>
      <c r="L20" s="1535">
        <f>capex_final!K24</f>
        <v>7800</v>
      </c>
      <c r="M20" s="1297">
        <f>capex_final!O24</f>
        <v>380400</v>
      </c>
      <c r="N20" s="1298"/>
      <c r="O20" s="1299">
        <f>capex_final!Q24</f>
        <v>380400</v>
      </c>
      <c r="P20" s="1305">
        <f>capex_final!S24</f>
        <v>22063.200000000001</v>
      </c>
      <c r="Q20" s="1305">
        <f>capex_final!U24</f>
        <v>19020</v>
      </c>
      <c r="R20" s="1301">
        <f>capex_final!V24</f>
        <v>421483.2</v>
      </c>
      <c r="S20" s="1305"/>
      <c r="T20" s="1301"/>
      <c r="U20" s="1303">
        <f>capex_final!AA24</f>
        <v>421483.2</v>
      </c>
      <c r="V20" s="1304"/>
      <c r="W20" s="1038"/>
      <c r="X20" s="1038"/>
      <c r="Y20" s="1038"/>
      <c r="Z20" s="1038"/>
      <c r="AA20" s="1038"/>
      <c r="AB20" s="1038"/>
      <c r="AC20" s="1038"/>
      <c r="AD20" s="1038"/>
      <c r="AE20" s="1038"/>
      <c r="AF20" s="1038"/>
      <c r="AG20" s="1038"/>
      <c r="AH20" s="1038"/>
      <c r="AI20" s="1038"/>
      <c r="AJ20" s="1038"/>
      <c r="AK20" s="1038"/>
      <c r="AL20" s="1038"/>
      <c r="AM20" s="1038"/>
      <c r="AN20" s="1038"/>
      <c r="AO20" s="1038"/>
      <c r="AP20" s="1038"/>
      <c r="AQ20" s="1038"/>
      <c r="AR20" s="1038"/>
      <c r="AS20" s="1038"/>
      <c r="AT20" s="1038"/>
      <c r="AU20" s="1038"/>
      <c r="AV20" s="1038"/>
      <c r="AW20" s="1038"/>
      <c r="AX20" s="1038"/>
      <c r="AY20" s="1038"/>
      <c r="AZ20" s="1038"/>
      <c r="BA20" s="1038"/>
      <c r="BB20" s="1038"/>
      <c r="BC20" s="1038"/>
      <c r="BD20" s="1038"/>
      <c r="BE20" s="1038"/>
      <c r="BF20" s="1038"/>
      <c r="BG20" s="1038"/>
      <c r="BH20" s="1038"/>
      <c r="BI20" s="1038"/>
      <c r="BJ20" s="1038"/>
      <c r="BK20" s="1038"/>
      <c r="BL20" s="1038"/>
      <c r="BM20" s="1038"/>
      <c r="BN20" s="1038"/>
      <c r="BO20" s="1038"/>
      <c r="BP20" s="1038"/>
      <c r="BQ20" s="1038"/>
      <c r="BR20" s="1038"/>
      <c r="BS20" s="1038"/>
      <c r="BT20" s="1038"/>
      <c r="BU20" s="1038"/>
      <c r="BV20" s="1038"/>
      <c r="BW20" s="1038"/>
      <c r="BX20" s="1038"/>
      <c r="BY20" s="1038"/>
      <c r="BZ20" s="1038"/>
      <c r="CA20" s="1038"/>
      <c r="CB20" s="1038"/>
      <c r="CC20" s="1038"/>
      <c r="CD20" s="1038"/>
      <c r="CE20" s="1038"/>
      <c r="CF20" s="1038"/>
      <c r="CG20" s="1038"/>
      <c r="CH20" s="1038"/>
      <c r="CI20" s="1038"/>
      <c r="CJ20" s="1038"/>
      <c r="CK20" s="1038"/>
      <c r="CL20" s="1038"/>
      <c r="CM20" s="1038"/>
      <c r="CN20" s="1038"/>
      <c r="CO20" s="1038"/>
      <c r="CP20" s="1038"/>
      <c r="CQ20" s="1038"/>
    </row>
    <row r="21" spans="1:95" ht="13.25" customHeight="1">
      <c r="B21" s="1557"/>
      <c r="C21" s="1317"/>
      <c r="D21" s="970"/>
      <c r="E21" s="1318"/>
      <c r="F21" s="970"/>
      <c r="G21" s="970"/>
      <c r="H21" s="1317"/>
      <c r="I21" s="1317"/>
      <c r="J21" s="1526"/>
      <c r="K21" s="1526"/>
      <c r="L21" s="1526"/>
      <c r="M21" s="1064"/>
      <c r="N21" s="1070"/>
      <c r="O21" s="968"/>
      <c r="P21" s="967"/>
      <c r="Q21" s="967"/>
      <c r="R21" s="1032"/>
      <c r="S21" s="967"/>
      <c r="T21" s="967"/>
      <c r="U21" s="968"/>
      <c r="V21" s="1033"/>
    </row>
    <row r="22" spans="1:95" s="1449" customFormat="1">
      <c r="A22" s="1511"/>
      <c r="B22" s="1561">
        <f>capex_final!A26</f>
        <v>3</v>
      </c>
      <c r="C22" s="1427" t="str">
        <f>capex_final!B26</f>
        <v>7.</v>
      </c>
      <c r="D22" s="1428" t="str">
        <f>capex_final!C26</f>
        <v>SNP</v>
      </c>
      <c r="E22" s="1429" t="str">
        <f>capex_final!D26</f>
        <v>Parkovací dom - zamestnanci</v>
      </c>
      <c r="F22" s="1428" t="str">
        <f>capex_final!E26</f>
        <v>Výstavba</v>
      </c>
      <c r="G22" s="1426" t="str">
        <f>capex_final!F26</f>
        <v>Etapa 1</v>
      </c>
      <c r="H22" s="1427">
        <f>capex_final!G26</f>
        <v>2022</v>
      </c>
      <c r="I22" s="1430">
        <f>capex_final!H26</f>
        <v>2025</v>
      </c>
      <c r="J22" s="1536">
        <f>capex_final!I26</f>
        <v>14000</v>
      </c>
      <c r="K22" s="1537"/>
      <c r="L22" s="1538"/>
      <c r="M22" s="1436">
        <f>capex_final!O26</f>
        <v>14000000</v>
      </c>
      <c r="N22" s="1437">
        <f>capex_final!P26</f>
        <v>2517546</v>
      </c>
      <c r="O22" s="1438">
        <f>capex_final!Q26</f>
        <v>16517546</v>
      </c>
      <c r="P22" s="1444">
        <f>capex_final!S26</f>
        <v>958017.66800000006</v>
      </c>
      <c r="Q22" s="1444">
        <f>capex_final!U26</f>
        <v>825877.3</v>
      </c>
      <c r="R22" s="1440">
        <f>capex_final!V26</f>
        <v>18301440.968000002</v>
      </c>
      <c r="S22" s="1444"/>
      <c r="T22" s="1440"/>
      <c r="U22" s="1442">
        <f>capex_final!AA26</f>
        <v>18301440.968000002</v>
      </c>
      <c r="V22" s="1443"/>
      <c r="W22" s="1511"/>
      <c r="X22" s="1511"/>
      <c r="Y22" s="1511"/>
      <c r="Z22" s="1511"/>
      <c r="AA22" s="1511"/>
      <c r="AB22" s="1511"/>
      <c r="AC22" s="1511"/>
      <c r="AD22" s="1511"/>
      <c r="AE22" s="1511"/>
      <c r="AF22" s="1511"/>
      <c r="AG22" s="1511"/>
      <c r="AH22" s="1511"/>
      <c r="AI22" s="1511"/>
      <c r="AJ22" s="1511"/>
      <c r="AK22" s="1511"/>
      <c r="AL22" s="1511"/>
      <c r="AM22" s="1511"/>
      <c r="AN22" s="1511"/>
      <c r="AO22" s="1511"/>
      <c r="AP22" s="1511"/>
      <c r="AQ22" s="1511"/>
      <c r="AR22" s="1511"/>
      <c r="AS22" s="1511"/>
      <c r="AT22" s="1511"/>
      <c r="AU22" s="1511"/>
      <c r="AV22" s="1511"/>
      <c r="AW22" s="1511"/>
      <c r="AX22" s="1511"/>
      <c r="AY22" s="1511"/>
      <c r="AZ22" s="1511"/>
      <c r="BA22" s="1511"/>
      <c r="BB22" s="1511"/>
      <c r="BC22" s="1511"/>
      <c r="BD22" s="1511"/>
      <c r="BE22" s="1511"/>
      <c r="BF22" s="1511"/>
      <c r="BG22" s="1511"/>
      <c r="BH22" s="1511"/>
      <c r="BI22" s="1511"/>
      <c r="BJ22" s="1511"/>
      <c r="BK22" s="1511"/>
      <c r="BL22" s="1511"/>
      <c r="BM22" s="1511"/>
      <c r="BN22" s="1511"/>
      <c r="BO22" s="1511"/>
      <c r="BP22" s="1511"/>
      <c r="BQ22" s="1511"/>
      <c r="BR22" s="1511"/>
      <c r="BS22" s="1511"/>
      <c r="BT22" s="1511"/>
      <c r="BU22" s="1511"/>
      <c r="BV22" s="1511"/>
      <c r="BW22" s="1511"/>
      <c r="BX22" s="1511"/>
      <c r="BY22" s="1511"/>
      <c r="BZ22" s="1511"/>
      <c r="CA22" s="1511"/>
      <c r="CB22" s="1511"/>
      <c r="CC22" s="1511"/>
      <c r="CD22" s="1511"/>
      <c r="CE22" s="1511"/>
      <c r="CF22" s="1511"/>
      <c r="CG22" s="1511"/>
      <c r="CH22" s="1511"/>
      <c r="CI22" s="1511"/>
      <c r="CJ22" s="1511"/>
      <c r="CK22" s="1511"/>
      <c r="CL22" s="1511"/>
      <c r="CM22" s="1511"/>
      <c r="CN22" s="1511"/>
      <c r="CO22" s="1511"/>
      <c r="CP22" s="1511"/>
      <c r="CQ22" s="1511"/>
    </row>
    <row r="23" spans="1:95" s="1471" customFormat="1">
      <c r="A23" s="1511"/>
      <c r="B23" s="1562">
        <f>capex_final!A27</f>
        <v>2</v>
      </c>
      <c r="C23" s="1451" t="str">
        <f>capex_final!B27</f>
        <v>10.</v>
      </c>
      <c r="D23" s="1452" t="str">
        <f>capex_final!C27</f>
        <v>SNP</v>
      </c>
      <c r="E23" s="1453" t="str">
        <f>capex_final!D27</f>
        <v>Energocentrum</v>
      </c>
      <c r="F23" s="1452" t="str">
        <f>capex_final!E27</f>
        <v>Rekonštrukcia</v>
      </c>
      <c r="G23" s="1450" t="str">
        <f>capex_final!F27</f>
        <v>Etapa 1</v>
      </c>
      <c r="H23" s="1451">
        <f>capex_final!G27</f>
        <v>2022</v>
      </c>
      <c r="I23" s="1454">
        <f>capex_final!H27</f>
        <v>2025</v>
      </c>
      <c r="J23" s="1539"/>
      <c r="K23" s="1540"/>
      <c r="L23" s="1541"/>
      <c r="M23" s="1458">
        <f>capex_final!O27</f>
        <v>2000000</v>
      </c>
      <c r="N23" s="1459">
        <f>capex_final!P27</f>
        <v>0</v>
      </c>
      <c r="O23" s="1460">
        <f>capex_final!Q27</f>
        <v>2000000</v>
      </c>
      <c r="P23" s="1466">
        <f>capex_final!S27</f>
        <v>116000</v>
      </c>
      <c r="Q23" s="1466">
        <f>capex_final!U27</f>
        <v>100000</v>
      </c>
      <c r="R23" s="1462">
        <f>capex_final!V27</f>
        <v>2216000</v>
      </c>
      <c r="S23" s="1466"/>
      <c r="T23" s="1462"/>
      <c r="U23" s="1464">
        <f>capex_final!AA27</f>
        <v>2216000</v>
      </c>
      <c r="V23" s="1465"/>
      <c r="W23" s="1511"/>
      <c r="X23" s="1511"/>
      <c r="Y23" s="1511"/>
      <c r="Z23" s="1511"/>
      <c r="AA23" s="1511"/>
      <c r="AB23" s="1511"/>
      <c r="AC23" s="1511"/>
      <c r="AD23" s="1511"/>
      <c r="AE23" s="1511"/>
      <c r="AF23" s="1511"/>
      <c r="AG23" s="1511"/>
      <c r="AH23" s="1511"/>
      <c r="AI23" s="1511"/>
      <c r="AJ23" s="1511"/>
      <c r="AK23" s="1511"/>
      <c r="AL23" s="1511"/>
      <c r="AM23" s="1511"/>
      <c r="AN23" s="1511"/>
      <c r="AO23" s="1511"/>
      <c r="AP23" s="1511"/>
      <c r="AQ23" s="1511"/>
      <c r="AR23" s="1511"/>
      <c r="AS23" s="1511"/>
      <c r="AT23" s="1511"/>
      <c r="AU23" s="1511"/>
      <c r="AV23" s="1511"/>
      <c r="AW23" s="1511"/>
      <c r="AX23" s="1511"/>
      <c r="AY23" s="1511"/>
      <c r="AZ23" s="1511"/>
      <c r="BA23" s="1511"/>
      <c r="BB23" s="1511"/>
      <c r="BC23" s="1511"/>
      <c r="BD23" s="1511"/>
      <c r="BE23" s="1511"/>
      <c r="BF23" s="1511"/>
      <c r="BG23" s="1511"/>
      <c r="BH23" s="1511"/>
      <c r="BI23" s="1511"/>
      <c r="BJ23" s="1511"/>
      <c r="BK23" s="1511"/>
      <c r="BL23" s="1511"/>
      <c r="BM23" s="1511"/>
      <c r="BN23" s="1511"/>
      <c r="BO23" s="1511"/>
      <c r="BP23" s="1511"/>
      <c r="BQ23" s="1511"/>
      <c r="BR23" s="1511"/>
      <c r="BS23" s="1511"/>
      <c r="BT23" s="1511"/>
      <c r="BU23" s="1511"/>
      <c r="BV23" s="1511"/>
      <c r="BW23" s="1511"/>
      <c r="BX23" s="1511"/>
      <c r="BY23" s="1511"/>
      <c r="BZ23" s="1511"/>
      <c r="CA23" s="1511"/>
      <c r="CB23" s="1511"/>
      <c r="CC23" s="1511"/>
      <c r="CD23" s="1511"/>
      <c r="CE23" s="1511"/>
      <c r="CF23" s="1511"/>
      <c r="CG23" s="1511"/>
      <c r="CH23" s="1511"/>
      <c r="CI23" s="1511"/>
      <c r="CJ23" s="1511"/>
      <c r="CK23" s="1511"/>
      <c r="CL23" s="1511"/>
      <c r="CM23" s="1511"/>
      <c r="CN23" s="1511"/>
      <c r="CO23" s="1511"/>
      <c r="CP23" s="1511"/>
      <c r="CQ23" s="1511"/>
    </row>
    <row r="24" spans="1:95" s="1471" customFormat="1">
      <c r="A24" s="1511"/>
      <c r="B24" s="1562">
        <f>capex_final!A28</f>
        <v>3</v>
      </c>
      <c r="C24" s="1451" t="str">
        <f>capex_final!B28</f>
        <v>16.</v>
      </c>
      <c r="D24" s="1452" t="str">
        <f>capex_final!C28</f>
        <v>RA</v>
      </c>
      <c r="E24" s="1453" t="str">
        <f>capex_final!D28</f>
        <v>Vstup do areálu + Pasáž</v>
      </c>
      <c r="F24" s="1452"/>
      <c r="G24" s="1450"/>
      <c r="H24" s="1451"/>
      <c r="I24" s="1454"/>
      <c r="J24" s="1542">
        <f>capex_final!I28</f>
        <v>7000</v>
      </c>
      <c r="K24" s="1543"/>
      <c r="L24" s="1541"/>
      <c r="M24" s="1458">
        <f>capex_final!O28</f>
        <v>5250000</v>
      </c>
      <c r="N24" s="1459">
        <f>capex_final!P28</f>
        <v>1076378</v>
      </c>
      <c r="O24" s="1460">
        <f>capex_final!Q28</f>
        <v>6326378</v>
      </c>
      <c r="P24" s="1466">
        <f>capex_final!S28</f>
        <v>366929.924</v>
      </c>
      <c r="Q24" s="1466">
        <f>capex_final!U28</f>
        <v>316318.90000000002</v>
      </c>
      <c r="R24" s="1462">
        <f>capex_final!V28</f>
        <v>7009626.824</v>
      </c>
      <c r="S24" s="1466">
        <f>capex_final!X28</f>
        <v>560770.14592000004</v>
      </c>
      <c r="T24" s="1462"/>
      <c r="U24" s="1464">
        <f>capex_final!AA28</f>
        <v>7570396.9699200001</v>
      </c>
      <c r="V24" s="1465"/>
      <c r="W24" s="1511"/>
      <c r="X24" s="1511"/>
      <c r="Y24" s="1511"/>
      <c r="Z24" s="1511"/>
      <c r="AA24" s="1511"/>
      <c r="AB24" s="1511"/>
      <c r="AC24" s="1511"/>
      <c r="AD24" s="1511"/>
      <c r="AE24" s="1511"/>
      <c r="AF24" s="1511"/>
      <c r="AG24" s="1511"/>
      <c r="AH24" s="1511"/>
      <c r="AI24" s="1511"/>
      <c r="AJ24" s="1511"/>
      <c r="AK24" s="1511"/>
      <c r="AL24" s="1511"/>
      <c r="AM24" s="1511"/>
      <c r="AN24" s="1511"/>
      <c r="AO24" s="1511"/>
      <c r="AP24" s="1511"/>
      <c r="AQ24" s="1511"/>
      <c r="AR24" s="1511"/>
      <c r="AS24" s="1511"/>
      <c r="AT24" s="1511"/>
      <c r="AU24" s="1511"/>
      <c r="AV24" s="1511"/>
      <c r="AW24" s="1511"/>
      <c r="AX24" s="1511"/>
      <c r="AY24" s="1511"/>
      <c r="AZ24" s="1511"/>
      <c r="BA24" s="1511"/>
      <c r="BB24" s="1511"/>
      <c r="BC24" s="1511"/>
      <c r="BD24" s="1511"/>
      <c r="BE24" s="1511"/>
      <c r="BF24" s="1511"/>
      <c r="BG24" s="1511"/>
      <c r="BH24" s="1511"/>
      <c r="BI24" s="1511"/>
      <c r="BJ24" s="1511"/>
      <c r="BK24" s="1511"/>
      <c r="BL24" s="1511"/>
      <c r="BM24" s="1511"/>
      <c r="BN24" s="1511"/>
      <c r="BO24" s="1511"/>
      <c r="BP24" s="1511"/>
      <c r="BQ24" s="1511"/>
      <c r="BR24" s="1511"/>
      <c r="BS24" s="1511"/>
      <c r="BT24" s="1511"/>
      <c r="BU24" s="1511"/>
      <c r="BV24" s="1511"/>
      <c r="BW24" s="1511"/>
      <c r="BX24" s="1511"/>
      <c r="BY24" s="1511"/>
      <c r="BZ24" s="1511"/>
      <c r="CA24" s="1511"/>
      <c r="CB24" s="1511"/>
      <c r="CC24" s="1511"/>
      <c r="CD24" s="1511"/>
      <c r="CE24" s="1511"/>
      <c r="CF24" s="1511"/>
      <c r="CG24" s="1511"/>
      <c r="CH24" s="1511"/>
      <c r="CI24" s="1511"/>
      <c r="CJ24" s="1511"/>
      <c r="CK24" s="1511"/>
      <c r="CL24" s="1511"/>
      <c r="CM24" s="1511"/>
      <c r="CN24" s="1511"/>
      <c r="CO24" s="1511"/>
      <c r="CP24" s="1511"/>
      <c r="CQ24" s="1511"/>
    </row>
    <row r="25" spans="1:95" s="1471" customFormat="1">
      <c r="A25" s="1511"/>
      <c r="B25" s="1562">
        <f>capex_final!A29</f>
        <v>3</v>
      </c>
      <c r="C25" s="1451" t="str">
        <f>capex_final!B29</f>
        <v>19.</v>
      </c>
      <c r="D25" s="1452" t="str">
        <f>capex_final!C29</f>
        <v>SNP</v>
      </c>
      <c r="E25" s="1453" t="str">
        <f>capex_final!D29</f>
        <v>Monoblok (epc)</v>
      </c>
      <c r="F25" s="1452" t="str">
        <f>capex_final!E29</f>
        <v>Rekonštrukcia</v>
      </c>
      <c r="G25" s="1450" t="str">
        <f>capex_final!F29</f>
        <v>Etapa 4</v>
      </c>
      <c r="H25" s="1451">
        <f>capex_final!G29</f>
        <v>2023</v>
      </c>
      <c r="I25" s="1454">
        <f>capex_final!H29</f>
        <v>2026</v>
      </c>
      <c r="J25" s="1539"/>
      <c r="K25" s="1540">
        <f>capex_final!J29</f>
        <v>16988</v>
      </c>
      <c r="L25" s="1541"/>
      <c r="M25" s="1458">
        <f>capex_final!O29</f>
        <v>15459079.999999998</v>
      </c>
      <c r="N25" s="1459"/>
      <c r="O25" s="1460">
        <f>capex_final!Q29</f>
        <v>15459079.999999998</v>
      </c>
      <c r="P25" s="1466">
        <f>capex_final!S29</f>
        <v>896626.6399999999</v>
      </c>
      <c r="Q25" s="1466">
        <f>capex_final!U29</f>
        <v>772954</v>
      </c>
      <c r="R25" s="1462">
        <f>capex_final!V29</f>
        <v>17128660.640000001</v>
      </c>
      <c r="S25" s="1466">
        <f>capex_final!X29</f>
        <v>856433.03200000012</v>
      </c>
      <c r="T25" s="1462"/>
      <c r="U25" s="1464">
        <f>capex_final!AA29</f>
        <v>17985093.672000002</v>
      </c>
      <c r="V25" s="1465"/>
      <c r="W25" s="1511"/>
      <c r="X25" s="1511"/>
      <c r="Y25" s="1511"/>
      <c r="Z25" s="1511"/>
      <c r="AA25" s="1511"/>
      <c r="AB25" s="1511"/>
      <c r="AC25" s="1511"/>
      <c r="AD25" s="1511"/>
      <c r="AE25" s="1511"/>
      <c r="AF25" s="1511"/>
      <c r="AG25" s="1511"/>
      <c r="AH25" s="1511"/>
      <c r="AI25" s="1511"/>
      <c r="AJ25" s="1511"/>
      <c r="AK25" s="1511"/>
      <c r="AL25" s="1511"/>
      <c r="AM25" s="1511"/>
      <c r="AN25" s="1511"/>
      <c r="AO25" s="1511"/>
      <c r="AP25" s="1511"/>
      <c r="AQ25" s="1511"/>
      <c r="AR25" s="1511"/>
      <c r="AS25" s="1511"/>
      <c r="AT25" s="1511"/>
      <c r="AU25" s="1511"/>
      <c r="AV25" s="1511"/>
      <c r="AW25" s="1511"/>
      <c r="AX25" s="1511"/>
      <c r="AY25" s="1511"/>
      <c r="AZ25" s="1511"/>
      <c r="BA25" s="1511"/>
      <c r="BB25" s="1511"/>
      <c r="BC25" s="1511"/>
      <c r="BD25" s="1511"/>
      <c r="BE25" s="1511"/>
      <c r="BF25" s="1511"/>
      <c r="BG25" s="1511"/>
      <c r="BH25" s="1511"/>
      <c r="BI25" s="1511"/>
      <c r="BJ25" s="1511"/>
      <c r="BK25" s="1511"/>
      <c r="BL25" s="1511"/>
      <c r="BM25" s="1511"/>
      <c r="BN25" s="1511"/>
      <c r="BO25" s="1511"/>
      <c r="BP25" s="1511"/>
      <c r="BQ25" s="1511"/>
      <c r="BR25" s="1511"/>
      <c r="BS25" s="1511"/>
      <c r="BT25" s="1511"/>
      <c r="BU25" s="1511"/>
      <c r="BV25" s="1511"/>
      <c r="BW25" s="1511"/>
      <c r="BX25" s="1511"/>
      <c r="BY25" s="1511"/>
      <c r="BZ25" s="1511"/>
      <c r="CA25" s="1511"/>
      <c r="CB25" s="1511"/>
      <c r="CC25" s="1511"/>
      <c r="CD25" s="1511"/>
      <c r="CE25" s="1511"/>
      <c r="CF25" s="1511"/>
      <c r="CG25" s="1511"/>
      <c r="CH25" s="1511"/>
      <c r="CI25" s="1511"/>
      <c r="CJ25" s="1511"/>
      <c r="CK25" s="1511"/>
      <c r="CL25" s="1511"/>
      <c r="CM25" s="1511"/>
      <c r="CN25" s="1511"/>
      <c r="CO25" s="1511"/>
      <c r="CP25" s="1511"/>
      <c r="CQ25" s="1511"/>
    </row>
    <row r="26" spans="1:95" s="1471" customFormat="1">
      <c r="A26" s="1511"/>
      <c r="B26" s="1562">
        <f>capex_final!A30</f>
        <v>3</v>
      </c>
      <c r="C26" s="1451" t="str">
        <f>capex_final!B30</f>
        <v>20.</v>
      </c>
      <c r="D26" s="1452" t="str">
        <f>capex_final!C30</f>
        <v>SNP</v>
      </c>
      <c r="E26" s="1453" t="str">
        <f>capex_final!D30</f>
        <v>Poliklinika vysoká časť (epc)</v>
      </c>
      <c r="F26" s="1452" t="str">
        <f>capex_final!E30</f>
        <v>Rekonštrukcia</v>
      </c>
      <c r="G26" s="1450" t="str">
        <f>capex_final!F30</f>
        <v>Etapa 4</v>
      </c>
      <c r="H26" s="1451">
        <f>capex_final!G30</f>
        <v>2023</v>
      </c>
      <c r="I26" s="1454">
        <f>capex_final!H30</f>
        <v>2026</v>
      </c>
      <c r="J26" s="1539"/>
      <c r="K26" s="1540">
        <f>capex_final!J30</f>
        <v>6249</v>
      </c>
      <c r="L26" s="1541"/>
      <c r="M26" s="1458">
        <f>capex_final!O30</f>
        <v>5686589.9999999991</v>
      </c>
      <c r="N26" s="1459"/>
      <c r="O26" s="1460">
        <f>capex_final!Q30</f>
        <v>5686589.9999999991</v>
      </c>
      <c r="P26" s="1466">
        <f>capex_final!S30</f>
        <v>329822.21999999997</v>
      </c>
      <c r="Q26" s="1466">
        <f>capex_final!U30</f>
        <v>284329.49999999994</v>
      </c>
      <c r="R26" s="1462">
        <f>capex_final!V30</f>
        <v>6300741.7199999988</v>
      </c>
      <c r="S26" s="1466">
        <f>capex_final!X30</f>
        <v>315037.08599999995</v>
      </c>
      <c r="T26" s="1462"/>
      <c r="U26" s="1464">
        <f>capex_final!AA30</f>
        <v>6615778.8059999989</v>
      </c>
      <c r="V26" s="1465"/>
      <c r="W26" s="1511"/>
      <c r="X26" s="1511"/>
      <c r="Y26" s="1511"/>
      <c r="Z26" s="1511"/>
      <c r="AA26" s="1511"/>
      <c r="AB26" s="1511"/>
      <c r="AC26" s="1511"/>
      <c r="AD26" s="1511"/>
      <c r="AE26" s="1511"/>
      <c r="AF26" s="1511"/>
      <c r="AG26" s="1511"/>
      <c r="AH26" s="1511"/>
      <c r="AI26" s="1511"/>
      <c r="AJ26" s="1511"/>
      <c r="AK26" s="1511"/>
      <c r="AL26" s="1511"/>
      <c r="AM26" s="1511"/>
      <c r="AN26" s="1511"/>
      <c r="AO26" s="1511"/>
      <c r="AP26" s="1511"/>
      <c r="AQ26" s="1511"/>
      <c r="AR26" s="1511"/>
      <c r="AS26" s="1511"/>
      <c r="AT26" s="1511"/>
      <c r="AU26" s="1511"/>
      <c r="AV26" s="1511"/>
      <c r="AW26" s="1511"/>
      <c r="AX26" s="1511"/>
      <c r="AY26" s="1511"/>
      <c r="AZ26" s="1511"/>
      <c r="BA26" s="1511"/>
      <c r="BB26" s="1511"/>
      <c r="BC26" s="1511"/>
      <c r="BD26" s="1511"/>
      <c r="BE26" s="1511"/>
      <c r="BF26" s="1511"/>
      <c r="BG26" s="1511"/>
      <c r="BH26" s="1511"/>
      <c r="BI26" s="1511"/>
      <c r="BJ26" s="1511"/>
      <c r="BK26" s="1511"/>
      <c r="BL26" s="1511"/>
      <c r="BM26" s="1511"/>
      <c r="BN26" s="1511"/>
      <c r="BO26" s="1511"/>
      <c r="BP26" s="1511"/>
      <c r="BQ26" s="1511"/>
      <c r="BR26" s="1511"/>
      <c r="BS26" s="1511"/>
      <c r="BT26" s="1511"/>
      <c r="BU26" s="1511"/>
      <c r="BV26" s="1511"/>
      <c r="BW26" s="1511"/>
      <c r="BX26" s="1511"/>
      <c r="BY26" s="1511"/>
      <c r="BZ26" s="1511"/>
      <c r="CA26" s="1511"/>
      <c r="CB26" s="1511"/>
      <c r="CC26" s="1511"/>
      <c r="CD26" s="1511"/>
      <c r="CE26" s="1511"/>
      <c r="CF26" s="1511"/>
      <c r="CG26" s="1511"/>
      <c r="CH26" s="1511"/>
      <c r="CI26" s="1511"/>
      <c r="CJ26" s="1511"/>
      <c r="CK26" s="1511"/>
      <c r="CL26" s="1511"/>
      <c r="CM26" s="1511"/>
      <c r="CN26" s="1511"/>
      <c r="CO26" s="1511"/>
      <c r="CP26" s="1511"/>
      <c r="CQ26" s="1511"/>
    </row>
    <row r="27" spans="1:95" s="1471" customFormat="1">
      <c r="A27" s="1511"/>
      <c r="B27" s="1562">
        <f>capex_final!A31</f>
        <v>3</v>
      </c>
      <c r="C27" s="1451" t="str">
        <f>capex_final!B31</f>
        <v>21.</v>
      </c>
      <c r="D27" s="1452" t="str">
        <f>capex_final!C31</f>
        <v>SNP</v>
      </c>
      <c r="E27" s="1453" t="str">
        <f>capex_final!D31</f>
        <v>Podnož monobloku (epc)</v>
      </c>
      <c r="F27" s="1452" t="str">
        <f>capex_final!E31</f>
        <v>Rekonštrukcia</v>
      </c>
      <c r="G27" s="1450" t="str">
        <f>capex_final!F31</f>
        <v>Etapa 5</v>
      </c>
      <c r="H27" s="1451">
        <f>capex_final!G31</f>
        <v>2023</v>
      </c>
      <c r="I27" s="1454">
        <f>capex_final!H31</f>
        <v>2026</v>
      </c>
      <c r="J27" s="1539"/>
      <c r="K27" s="1540">
        <f>capex_final!J31</f>
        <v>5389</v>
      </c>
      <c r="L27" s="1541"/>
      <c r="M27" s="1458">
        <f>capex_final!O31</f>
        <v>4903989.9999999991</v>
      </c>
      <c r="N27" s="1459"/>
      <c r="O27" s="1460">
        <f>capex_final!Q31</f>
        <v>4903989.9999999991</v>
      </c>
      <c r="P27" s="1466">
        <f>capex_final!S31</f>
        <v>284431.42</v>
      </c>
      <c r="Q27" s="1466">
        <f>capex_final!U31</f>
        <v>245199.49999999997</v>
      </c>
      <c r="R27" s="1462">
        <f>capex_final!V31</f>
        <v>5433620.919999999</v>
      </c>
      <c r="S27" s="1466">
        <f>capex_final!X31</f>
        <v>271681.04599999997</v>
      </c>
      <c r="T27" s="1462"/>
      <c r="U27" s="1464">
        <f>capex_final!AA31</f>
        <v>5705301.9659999991</v>
      </c>
      <c r="V27" s="1465"/>
      <c r="W27" s="1511"/>
      <c r="X27" s="1511"/>
      <c r="Y27" s="1511"/>
      <c r="Z27" s="1511"/>
      <c r="AA27" s="1511"/>
      <c r="AB27" s="1511"/>
      <c r="AC27" s="1511"/>
      <c r="AD27" s="1511"/>
      <c r="AE27" s="1511"/>
      <c r="AF27" s="1511"/>
      <c r="AG27" s="1511"/>
      <c r="AH27" s="1511"/>
      <c r="AI27" s="1511"/>
      <c r="AJ27" s="1511"/>
      <c r="AK27" s="1511"/>
      <c r="AL27" s="1511"/>
      <c r="AM27" s="1511"/>
      <c r="AN27" s="1511"/>
      <c r="AO27" s="1511"/>
      <c r="AP27" s="1511"/>
      <c r="AQ27" s="1511"/>
      <c r="AR27" s="1511"/>
      <c r="AS27" s="1511"/>
      <c r="AT27" s="1511"/>
      <c r="AU27" s="1511"/>
      <c r="AV27" s="1511"/>
      <c r="AW27" s="1511"/>
      <c r="AX27" s="1511"/>
      <c r="AY27" s="1511"/>
      <c r="AZ27" s="1511"/>
      <c r="BA27" s="1511"/>
      <c r="BB27" s="1511"/>
      <c r="BC27" s="1511"/>
      <c r="BD27" s="1511"/>
      <c r="BE27" s="1511"/>
      <c r="BF27" s="1511"/>
      <c r="BG27" s="1511"/>
      <c r="BH27" s="1511"/>
      <c r="BI27" s="1511"/>
      <c r="BJ27" s="1511"/>
      <c r="BK27" s="1511"/>
      <c r="BL27" s="1511"/>
      <c r="BM27" s="1511"/>
      <c r="BN27" s="1511"/>
      <c r="BO27" s="1511"/>
      <c r="BP27" s="1511"/>
      <c r="BQ27" s="1511"/>
      <c r="BR27" s="1511"/>
      <c r="BS27" s="1511"/>
      <c r="BT27" s="1511"/>
      <c r="BU27" s="1511"/>
      <c r="BV27" s="1511"/>
      <c r="BW27" s="1511"/>
      <c r="BX27" s="1511"/>
      <c r="BY27" s="1511"/>
      <c r="BZ27" s="1511"/>
      <c r="CA27" s="1511"/>
      <c r="CB27" s="1511"/>
      <c r="CC27" s="1511"/>
      <c r="CD27" s="1511"/>
      <c r="CE27" s="1511"/>
      <c r="CF27" s="1511"/>
      <c r="CG27" s="1511"/>
      <c r="CH27" s="1511"/>
      <c r="CI27" s="1511"/>
      <c r="CJ27" s="1511"/>
      <c r="CK27" s="1511"/>
      <c r="CL27" s="1511"/>
      <c r="CM27" s="1511"/>
      <c r="CN27" s="1511"/>
      <c r="CO27" s="1511"/>
      <c r="CP27" s="1511"/>
      <c r="CQ27" s="1511"/>
    </row>
    <row r="28" spans="1:95" s="1471" customFormat="1" ht="12.5" customHeight="1">
      <c r="A28" s="1511"/>
      <c r="B28" s="1562">
        <f>capex_final!A32</f>
        <v>3</v>
      </c>
      <c r="C28" s="1451" t="str">
        <f>capex_final!B32</f>
        <v>22.</v>
      </c>
      <c r="D28" s="1452" t="str">
        <f>capex_final!C32</f>
        <v>SNP</v>
      </c>
      <c r="E28" s="1453" t="str">
        <f>capex_final!D32</f>
        <v>Poliklinika nízka časť (epc)</v>
      </c>
      <c r="F28" s="1452" t="str">
        <f>capex_final!E32</f>
        <v>Rekonštrukcia</v>
      </c>
      <c r="G28" s="1450" t="str">
        <f>capex_final!F32</f>
        <v>Etapa 5</v>
      </c>
      <c r="H28" s="1451">
        <f>capex_final!G32</f>
        <v>2023</v>
      </c>
      <c r="I28" s="1454">
        <f>capex_final!H32</f>
        <v>2026</v>
      </c>
      <c r="J28" s="1539"/>
      <c r="K28" s="1540">
        <f>capex_final!J32</f>
        <v>2009</v>
      </c>
      <c r="L28" s="1541"/>
      <c r="M28" s="1458">
        <f>capex_final!O32</f>
        <v>1828189.9999999998</v>
      </c>
      <c r="N28" s="1459"/>
      <c r="O28" s="1460">
        <f>capex_final!Q32</f>
        <v>1828189.9999999998</v>
      </c>
      <c r="P28" s="1466">
        <f>capex_final!S32</f>
        <v>106035.01999999999</v>
      </c>
      <c r="Q28" s="1466">
        <f>capex_final!U32</f>
        <v>91409.5</v>
      </c>
      <c r="R28" s="1462">
        <f>capex_final!V32</f>
        <v>2025634.5199999998</v>
      </c>
      <c r="S28" s="1466">
        <f>capex_final!X32</f>
        <v>101281.726</v>
      </c>
      <c r="T28" s="1462"/>
      <c r="U28" s="1464">
        <f>capex_final!AA32</f>
        <v>2126916.2459999998</v>
      </c>
      <c r="V28" s="1465"/>
      <c r="W28" s="1511"/>
      <c r="X28" s="1511"/>
      <c r="Y28" s="1511"/>
      <c r="Z28" s="1511"/>
      <c r="AA28" s="1511"/>
      <c r="AB28" s="1511"/>
      <c r="AC28" s="1511"/>
      <c r="AD28" s="1511"/>
      <c r="AE28" s="1511"/>
      <c r="AF28" s="1511"/>
      <c r="AG28" s="1511"/>
      <c r="AH28" s="1511"/>
      <c r="AI28" s="1511"/>
      <c r="AJ28" s="1511"/>
      <c r="AK28" s="1511"/>
      <c r="AL28" s="1511"/>
      <c r="AM28" s="1511"/>
      <c r="AN28" s="1511"/>
      <c r="AO28" s="1511"/>
      <c r="AP28" s="1511"/>
      <c r="AQ28" s="1511"/>
      <c r="AR28" s="1511"/>
      <c r="AS28" s="1511"/>
      <c r="AT28" s="1511"/>
      <c r="AU28" s="1511"/>
      <c r="AV28" s="1511"/>
      <c r="AW28" s="1511"/>
      <c r="AX28" s="1511"/>
      <c r="AY28" s="1511"/>
      <c r="AZ28" s="1511"/>
      <c r="BA28" s="1511"/>
      <c r="BB28" s="1511"/>
      <c r="BC28" s="1511"/>
      <c r="BD28" s="1511"/>
      <c r="BE28" s="1511"/>
      <c r="BF28" s="1511"/>
      <c r="BG28" s="1511"/>
      <c r="BH28" s="1511"/>
      <c r="BI28" s="1511"/>
      <c r="BJ28" s="1511"/>
      <c r="BK28" s="1511"/>
      <c r="BL28" s="1511"/>
      <c r="BM28" s="1511"/>
      <c r="BN28" s="1511"/>
      <c r="BO28" s="1511"/>
      <c r="BP28" s="1511"/>
      <c r="BQ28" s="1511"/>
      <c r="BR28" s="1511"/>
      <c r="BS28" s="1511"/>
      <c r="BT28" s="1511"/>
      <c r="BU28" s="1511"/>
      <c r="BV28" s="1511"/>
      <c r="BW28" s="1511"/>
      <c r="BX28" s="1511"/>
      <c r="BY28" s="1511"/>
      <c r="BZ28" s="1511"/>
      <c r="CA28" s="1511"/>
      <c r="CB28" s="1511"/>
      <c r="CC28" s="1511"/>
      <c r="CD28" s="1511"/>
      <c r="CE28" s="1511"/>
      <c r="CF28" s="1511"/>
      <c r="CG28" s="1511"/>
      <c r="CH28" s="1511"/>
      <c r="CI28" s="1511"/>
      <c r="CJ28" s="1511"/>
      <c r="CK28" s="1511"/>
      <c r="CL28" s="1511"/>
      <c r="CM28" s="1511"/>
      <c r="CN28" s="1511"/>
      <c r="CO28" s="1511"/>
      <c r="CP28" s="1511"/>
      <c r="CQ28" s="1511"/>
    </row>
    <row r="29" spans="1:95" s="1471" customFormat="1">
      <c r="A29" s="1511"/>
      <c r="B29" s="1562">
        <f>capex_final!A33</f>
        <v>3</v>
      </c>
      <c r="C29" s="1451" t="str">
        <f>capex_final!B33</f>
        <v>23.</v>
      </c>
      <c r="D29" s="1452" t="str">
        <f>capex_final!C33</f>
        <v>RA</v>
      </c>
      <c r="E29" s="1453" t="str">
        <f>capex_final!D33</f>
        <v>Pavilón XIX.(monoblok) (epc)</v>
      </c>
      <c r="F29" s="1452" t="str">
        <f>capex_final!E33</f>
        <v>Rekonštrukcia</v>
      </c>
      <c r="G29" s="1450" t="str">
        <f>capex_final!F33</f>
        <v>Etapa 6</v>
      </c>
      <c r="H29" s="1451">
        <f>capex_final!G33</f>
        <v>2023</v>
      </c>
      <c r="I29" s="1454">
        <f>capex_final!H33</f>
        <v>2026</v>
      </c>
      <c r="J29" s="1539"/>
      <c r="K29" s="1540">
        <f>capex_final!J33</f>
        <v>7524</v>
      </c>
      <c r="L29" s="1541"/>
      <c r="M29" s="1458">
        <f>capex_final!O33</f>
        <v>6846839.9999999991</v>
      </c>
      <c r="N29" s="1459"/>
      <c r="O29" s="1460">
        <f>capex_final!Q33</f>
        <v>6846839.9999999991</v>
      </c>
      <c r="P29" s="1466">
        <f>capex_final!S33</f>
        <v>397116.72</v>
      </c>
      <c r="Q29" s="1466">
        <f>capex_final!U33</f>
        <v>342342</v>
      </c>
      <c r="R29" s="1462">
        <f>capex_final!V33</f>
        <v>7586298.7199999988</v>
      </c>
      <c r="S29" s="1466">
        <f>capex_final!X33</f>
        <v>379314.93599999999</v>
      </c>
      <c r="T29" s="1462"/>
      <c r="U29" s="1464">
        <f>capex_final!AA33</f>
        <v>7965613.6559999986</v>
      </c>
      <c r="V29" s="1465"/>
      <c r="W29" s="1511"/>
      <c r="X29" s="1511"/>
      <c r="Y29" s="1511"/>
      <c r="Z29" s="1511"/>
      <c r="AA29" s="1511"/>
      <c r="AB29" s="1511"/>
      <c r="AC29" s="1511"/>
      <c r="AD29" s="1511"/>
      <c r="AE29" s="1511"/>
      <c r="AF29" s="1511"/>
      <c r="AG29" s="1511"/>
      <c r="AH29" s="1511"/>
      <c r="AI29" s="1511"/>
      <c r="AJ29" s="1511"/>
      <c r="AK29" s="1511"/>
      <c r="AL29" s="1511"/>
      <c r="AM29" s="1511"/>
      <c r="AN29" s="1511"/>
      <c r="AO29" s="1511"/>
      <c r="AP29" s="1511"/>
      <c r="AQ29" s="1511"/>
      <c r="AR29" s="1511"/>
      <c r="AS29" s="1511"/>
      <c r="AT29" s="1511"/>
      <c r="AU29" s="1511"/>
      <c r="AV29" s="1511"/>
      <c r="AW29" s="1511"/>
      <c r="AX29" s="1511"/>
      <c r="AY29" s="1511"/>
      <c r="AZ29" s="1511"/>
      <c r="BA29" s="1511"/>
      <c r="BB29" s="1511"/>
      <c r="BC29" s="1511"/>
      <c r="BD29" s="1511"/>
      <c r="BE29" s="1511"/>
      <c r="BF29" s="1511"/>
      <c r="BG29" s="1511"/>
      <c r="BH29" s="1511"/>
      <c r="BI29" s="1511"/>
      <c r="BJ29" s="1511"/>
      <c r="BK29" s="1511"/>
      <c r="BL29" s="1511"/>
      <c r="BM29" s="1511"/>
      <c r="BN29" s="1511"/>
      <c r="BO29" s="1511"/>
      <c r="BP29" s="1511"/>
      <c r="BQ29" s="1511"/>
      <c r="BR29" s="1511"/>
      <c r="BS29" s="1511"/>
      <c r="BT29" s="1511"/>
      <c r="BU29" s="1511"/>
      <c r="BV29" s="1511"/>
      <c r="BW29" s="1511"/>
      <c r="BX29" s="1511"/>
      <c r="BY29" s="1511"/>
      <c r="BZ29" s="1511"/>
      <c r="CA29" s="1511"/>
      <c r="CB29" s="1511"/>
      <c r="CC29" s="1511"/>
      <c r="CD29" s="1511"/>
      <c r="CE29" s="1511"/>
      <c r="CF29" s="1511"/>
      <c r="CG29" s="1511"/>
      <c r="CH29" s="1511"/>
      <c r="CI29" s="1511"/>
      <c r="CJ29" s="1511"/>
      <c r="CK29" s="1511"/>
      <c r="CL29" s="1511"/>
      <c r="CM29" s="1511"/>
      <c r="CN29" s="1511"/>
      <c r="CO29" s="1511"/>
      <c r="CP29" s="1511"/>
      <c r="CQ29" s="1511"/>
    </row>
    <row r="30" spans="1:95" s="1452" customFormat="1" ht="14">
      <c r="A30" s="1512"/>
      <c r="B30" s="1562">
        <f>capex_final!A34</f>
        <v>3</v>
      </c>
      <c r="C30" s="1476" t="str">
        <f>capex_final!B34</f>
        <v>24.</v>
      </c>
      <c r="D30" s="1452" t="str">
        <f>capex_final!C34</f>
        <v>SNP</v>
      </c>
      <c r="E30" s="1452" t="str">
        <f>capex_final!D34</f>
        <v>Monoblok (modernizácia)</v>
      </c>
      <c r="F30" s="1452" t="str">
        <f>capex_final!E34</f>
        <v>Rekonštrukcia</v>
      </c>
      <c r="G30" s="1450" t="str">
        <f>capex_final!F34</f>
        <v>Etapa 7</v>
      </c>
      <c r="H30" s="1476">
        <f>capex_final!G34</f>
        <v>2027</v>
      </c>
      <c r="I30" s="1450">
        <f>capex_final!H34</f>
        <v>2030</v>
      </c>
      <c r="J30" s="1544">
        <f>capex_final!I34</f>
        <v>66861</v>
      </c>
      <c r="K30" s="1545"/>
      <c r="L30" s="1546"/>
      <c r="M30" s="1458">
        <f>capex_final!O34</f>
        <v>93761936.333999902</v>
      </c>
      <c r="N30" s="1459"/>
      <c r="O30" s="1460">
        <f>capex_final!Q34</f>
        <v>93761936.333999902</v>
      </c>
      <c r="P30" s="1459">
        <f>capex_final!S34</f>
        <v>5438192.3073719945</v>
      </c>
      <c r="Q30" s="1459">
        <f>capex_final!U34</f>
        <v>4688096.8166999957</v>
      </c>
      <c r="R30" s="1479">
        <f>capex_final!V34</f>
        <v>103888225.45807189</v>
      </c>
      <c r="S30" s="1459">
        <f>capex_final!X34</f>
        <v>5194411.2729035951</v>
      </c>
      <c r="T30" s="1479">
        <f>capex_final!Z34</f>
        <v>36360878.910325155</v>
      </c>
      <c r="U30" s="1464">
        <f>capex_final!AA34</f>
        <v>145443515.64130062</v>
      </c>
      <c r="V30" s="1482">
        <f>capex_final!AB34</f>
        <v>430</v>
      </c>
      <c r="W30" s="1512"/>
      <c r="X30" s="1512"/>
      <c r="Y30" s="1512"/>
      <c r="Z30" s="1512"/>
      <c r="AA30" s="1512"/>
      <c r="AB30" s="1512"/>
      <c r="AC30" s="1512"/>
      <c r="AD30" s="1512"/>
      <c r="AE30" s="1512"/>
      <c r="AF30" s="1512"/>
      <c r="AG30" s="1512"/>
      <c r="AH30" s="1512"/>
      <c r="AI30" s="1512"/>
      <c r="AJ30" s="1512"/>
      <c r="AK30" s="1512"/>
      <c r="AL30" s="1512"/>
      <c r="AM30" s="1512"/>
      <c r="AN30" s="1512"/>
      <c r="AO30" s="1512"/>
      <c r="AP30" s="1512"/>
      <c r="AQ30" s="1512"/>
      <c r="AR30" s="1512"/>
      <c r="AS30" s="1512"/>
      <c r="AT30" s="1512"/>
      <c r="AU30" s="1512"/>
      <c r="AV30" s="1512"/>
      <c r="AW30" s="1512"/>
      <c r="AX30" s="1512"/>
      <c r="AY30" s="1512"/>
      <c r="AZ30" s="1512"/>
      <c r="BA30" s="1512"/>
      <c r="BB30" s="1512"/>
      <c r="BC30" s="1512"/>
      <c r="BD30" s="1512"/>
      <c r="BE30" s="1512"/>
      <c r="BF30" s="1512"/>
      <c r="BG30" s="1512"/>
      <c r="BH30" s="1512"/>
      <c r="BI30" s="1512"/>
      <c r="BJ30" s="1512"/>
      <c r="BK30" s="1512"/>
      <c r="BL30" s="1512"/>
      <c r="BM30" s="1512"/>
      <c r="BN30" s="1512"/>
      <c r="BO30" s="1512"/>
      <c r="BP30" s="1512"/>
      <c r="BQ30" s="1512"/>
      <c r="BR30" s="1512"/>
      <c r="BS30" s="1512"/>
      <c r="BT30" s="1512"/>
      <c r="BU30" s="1512"/>
      <c r="BV30" s="1512"/>
      <c r="BW30" s="1512"/>
      <c r="BX30" s="1512"/>
      <c r="BY30" s="1512"/>
      <c r="BZ30" s="1512"/>
      <c r="CA30" s="1512"/>
      <c r="CB30" s="1512"/>
      <c r="CC30" s="1512"/>
      <c r="CD30" s="1512"/>
      <c r="CE30" s="1512"/>
      <c r="CF30" s="1512"/>
      <c r="CG30" s="1512"/>
      <c r="CH30" s="1512"/>
      <c r="CI30" s="1512"/>
      <c r="CJ30" s="1512"/>
      <c r="CK30" s="1512"/>
      <c r="CL30" s="1512"/>
      <c r="CM30" s="1512"/>
      <c r="CN30" s="1512"/>
      <c r="CO30" s="1512"/>
      <c r="CP30" s="1512"/>
      <c r="CQ30" s="1512"/>
    </row>
    <row r="31" spans="1:95" s="1452" customFormat="1" ht="14">
      <c r="A31" s="1512"/>
      <c r="B31" s="1562">
        <f>capex_final!A35</f>
        <v>3</v>
      </c>
      <c r="C31" s="1476" t="str">
        <f>capex_final!B35</f>
        <v>25.</v>
      </c>
      <c r="D31" s="1452" t="str">
        <f>capex_final!C35</f>
        <v>SNP</v>
      </c>
      <c r="E31" s="1452" t="str">
        <f>capex_final!D35</f>
        <v>Podnož monobloku (modernizácia)</v>
      </c>
      <c r="F31" s="1452" t="str">
        <f>capex_final!E35</f>
        <v>Rekonštrukcia</v>
      </c>
      <c r="G31" s="1450" t="str">
        <f>capex_final!F35</f>
        <v>Etapa 7</v>
      </c>
      <c r="H31" s="1476">
        <f>capex_final!G35</f>
        <v>2027</v>
      </c>
      <c r="I31" s="1450">
        <f>capex_final!H35</f>
        <v>2030</v>
      </c>
      <c r="J31" s="1544">
        <f>capex_final!I35</f>
        <v>47930</v>
      </c>
      <c r="K31" s="1545"/>
      <c r="L31" s="1546"/>
      <c r="M31" s="1458">
        <f>capex_final!O35</f>
        <v>67214214.691503495</v>
      </c>
      <c r="N31" s="1459"/>
      <c r="O31" s="1460">
        <f>capex_final!Q35</f>
        <v>67214214.691503495</v>
      </c>
      <c r="P31" s="1459">
        <f>capex_final!S35</f>
        <v>3898424.4521072027</v>
      </c>
      <c r="Q31" s="1459">
        <f>capex_final!U35</f>
        <v>3360710.7345751747</v>
      </c>
      <c r="R31" s="1479">
        <f>capex_final!V35</f>
        <v>74473349.878185868</v>
      </c>
      <c r="S31" s="1459">
        <f>capex_final!X35</f>
        <v>3723667.4939092938</v>
      </c>
      <c r="T31" s="1479">
        <f>capex_final!Z35</f>
        <v>26065672.457365051</v>
      </c>
      <c r="U31" s="1464">
        <f>capex_final!AA35</f>
        <v>104262689.82946022</v>
      </c>
      <c r="V31" s="1482"/>
      <c r="W31" s="1512"/>
      <c r="X31" s="1512"/>
      <c r="Y31" s="1512"/>
      <c r="Z31" s="1512"/>
      <c r="AA31" s="1512"/>
      <c r="AB31" s="1512"/>
      <c r="AC31" s="1512"/>
      <c r="AD31" s="1512"/>
      <c r="AE31" s="1512"/>
      <c r="AF31" s="1512"/>
      <c r="AG31" s="1512"/>
      <c r="AH31" s="1512"/>
      <c r="AI31" s="1512"/>
      <c r="AJ31" s="1512"/>
      <c r="AK31" s="1512"/>
      <c r="AL31" s="1512"/>
      <c r="AM31" s="1512"/>
      <c r="AN31" s="1512"/>
      <c r="AO31" s="1512"/>
      <c r="AP31" s="1512"/>
      <c r="AQ31" s="1512"/>
      <c r="AR31" s="1512"/>
      <c r="AS31" s="1512"/>
      <c r="AT31" s="1512"/>
      <c r="AU31" s="1512"/>
      <c r="AV31" s="1512"/>
      <c r="AW31" s="1512"/>
      <c r="AX31" s="1512"/>
      <c r="AY31" s="1512"/>
      <c r="AZ31" s="1512"/>
      <c r="BA31" s="1512"/>
      <c r="BB31" s="1512"/>
      <c r="BC31" s="1512"/>
      <c r="BD31" s="1512"/>
      <c r="BE31" s="1512"/>
      <c r="BF31" s="1512"/>
      <c r="BG31" s="1512"/>
      <c r="BH31" s="1512"/>
      <c r="BI31" s="1512"/>
      <c r="BJ31" s="1512"/>
      <c r="BK31" s="1512"/>
      <c r="BL31" s="1512"/>
      <c r="BM31" s="1512"/>
      <c r="BN31" s="1512"/>
      <c r="BO31" s="1512"/>
      <c r="BP31" s="1512"/>
      <c r="BQ31" s="1512"/>
      <c r="BR31" s="1512"/>
      <c r="BS31" s="1512"/>
      <c r="BT31" s="1512"/>
      <c r="BU31" s="1512"/>
      <c r="BV31" s="1512"/>
      <c r="BW31" s="1512"/>
      <c r="BX31" s="1512"/>
      <c r="BY31" s="1512"/>
      <c r="BZ31" s="1512"/>
      <c r="CA31" s="1512"/>
      <c r="CB31" s="1512"/>
      <c r="CC31" s="1512"/>
      <c r="CD31" s="1512"/>
      <c r="CE31" s="1512"/>
      <c r="CF31" s="1512"/>
      <c r="CG31" s="1512"/>
      <c r="CH31" s="1512"/>
      <c r="CI31" s="1512"/>
      <c r="CJ31" s="1512"/>
      <c r="CK31" s="1512"/>
      <c r="CL31" s="1512"/>
      <c r="CM31" s="1512"/>
      <c r="CN31" s="1512"/>
      <c r="CO31" s="1512"/>
      <c r="CP31" s="1512"/>
      <c r="CQ31" s="1512"/>
    </row>
    <row r="32" spans="1:95" s="1452" customFormat="1" ht="14">
      <c r="A32" s="1512"/>
      <c r="B32" s="1562">
        <f>capex_final!A36</f>
        <v>3</v>
      </c>
      <c r="C32" s="1476" t="str">
        <f>capex_final!B36</f>
        <v>26.</v>
      </c>
      <c r="D32" s="1452" t="str">
        <f>capex_final!C36</f>
        <v>RA</v>
      </c>
      <c r="E32" s="1452" t="str">
        <f>capex_final!D36</f>
        <v>Urgentný príjem (modernizácia)</v>
      </c>
      <c r="F32" s="1452" t="str">
        <f>capex_final!E36</f>
        <v>Rekonštrukcia</v>
      </c>
      <c r="G32" s="1450" t="str">
        <f>capex_final!F36</f>
        <v>Etapa 7</v>
      </c>
      <c r="H32" s="1476">
        <f>capex_final!G36</f>
        <v>2027</v>
      </c>
      <c r="I32" s="1450">
        <f>capex_final!H36</f>
        <v>2030</v>
      </c>
      <c r="J32" s="1544">
        <f>capex_final!I36</f>
        <v>15361</v>
      </c>
      <c r="K32" s="1545"/>
      <c r="L32" s="1546"/>
      <c r="M32" s="1458">
        <f>capex_final!O36</f>
        <v>12117016.960783521</v>
      </c>
      <c r="N32" s="1459"/>
      <c r="O32" s="1460">
        <f>capex_final!Q36</f>
        <v>12117016.960783521</v>
      </c>
      <c r="P32" s="1459">
        <f>capex_final!S36</f>
        <v>702786.98372544418</v>
      </c>
      <c r="Q32" s="1459">
        <f>capex_final!U36</f>
        <v>605850.84803917608</v>
      </c>
      <c r="R32" s="1479">
        <f>capex_final!V36</f>
        <v>13425654.792548141</v>
      </c>
      <c r="S32" s="1459">
        <f>capex_final!X36</f>
        <v>671282.73962740705</v>
      </c>
      <c r="T32" s="1479">
        <f>capex_final!Z36</f>
        <v>4027696.4377644421</v>
      </c>
      <c r="U32" s="1464">
        <f>capex_final!AA36</f>
        <v>18124633.969939992</v>
      </c>
      <c r="V32" s="1482"/>
      <c r="W32" s="1512"/>
      <c r="X32" s="1512"/>
      <c r="Y32" s="1512"/>
      <c r="Z32" s="1512"/>
      <c r="AA32" s="1512"/>
      <c r="AB32" s="1512"/>
      <c r="AC32" s="1512"/>
      <c r="AD32" s="1512"/>
      <c r="AE32" s="1512"/>
      <c r="AF32" s="1512"/>
      <c r="AG32" s="1512"/>
      <c r="AH32" s="1512"/>
      <c r="AI32" s="1512"/>
      <c r="AJ32" s="1512"/>
      <c r="AK32" s="1512"/>
      <c r="AL32" s="1512"/>
      <c r="AM32" s="1512"/>
      <c r="AN32" s="1512"/>
      <c r="AO32" s="1512"/>
      <c r="AP32" s="1512"/>
      <c r="AQ32" s="1512"/>
      <c r="AR32" s="1512"/>
      <c r="AS32" s="1512"/>
      <c r="AT32" s="1512"/>
      <c r="AU32" s="1512"/>
      <c r="AV32" s="1512"/>
      <c r="AW32" s="1512"/>
      <c r="AX32" s="1512"/>
      <c r="AY32" s="1512"/>
      <c r="AZ32" s="1512"/>
      <c r="BA32" s="1512"/>
      <c r="BB32" s="1512"/>
      <c r="BC32" s="1512"/>
      <c r="BD32" s="1512"/>
      <c r="BE32" s="1512"/>
      <c r="BF32" s="1512"/>
      <c r="BG32" s="1512"/>
      <c r="BH32" s="1512"/>
      <c r="BI32" s="1512"/>
      <c r="BJ32" s="1512"/>
      <c r="BK32" s="1512"/>
      <c r="BL32" s="1512"/>
      <c r="BM32" s="1512"/>
      <c r="BN32" s="1512"/>
      <c r="BO32" s="1512"/>
      <c r="BP32" s="1512"/>
      <c r="BQ32" s="1512"/>
      <c r="BR32" s="1512"/>
      <c r="BS32" s="1512"/>
      <c r="BT32" s="1512"/>
      <c r="BU32" s="1512"/>
      <c r="BV32" s="1512"/>
      <c r="BW32" s="1512"/>
      <c r="BX32" s="1512"/>
      <c r="BY32" s="1512"/>
      <c r="BZ32" s="1512"/>
      <c r="CA32" s="1512"/>
      <c r="CB32" s="1512"/>
      <c r="CC32" s="1512"/>
      <c r="CD32" s="1512"/>
      <c r="CE32" s="1512"/>
      <c r="CF32" s="1512"/>
      <c r="CG32" s="1512"/>
      <c r="CH32" s="1512"/>
      <c r="CI32" s="1512"/>
      <c r="CJ32" s="1512"/>
      <c r="CK32" s="1512"/>
      <c r="CL32" s="1512"/>
      <c r="CM32" s="1512"/>
      <c r="CN32" s="1512"/>
      <c r="CO32" s="1512"/>
      <c r="CP32" s="1512"/>
      <c r="CQ32" s="1512"/>
    </row>
    <row r="33" spans="1:95" s="1452" customFormat="1" ht="14">
      <c r="A33" s="1512"/>
      <c r="B33" s="1562">
        <f>capex_final!A37</f>
        <v>3</v>
      </c>
      <c r="C33" s="1476" t="str">
        <f>capex_final!B37</f>
        <v>27.</v>
      </c>
      <c r="D33" s="1452" t="str">
        <f>capex_final!C37</f>
        <v>RA</v>
      </c>
      <c r="E33" s="1452" t="str">
        <f>capex_final!D37</f>
        <v>Pavilón XIX.(monoblok) (modernizácia)</v>
      </c>
      <c r="F33" s="1452" t="str">
        <f>capex_final!E37</f>
        <v>Rekonštrukcia</v>
      </c>
      <c r="G33" s="1450" t="str">
        <f>capex_final!F37</f>
        <v>Etapa 7</v>
      </c>
      <c r="H33" s="1476">
        <f>capex_final!G37</f>
        <v>2027</v>
      </c>
      <c r="I33" s="1450">
        <f>capex_final!H37</f>
        <v>2030</v>
      </c>
      <c r="J33" s="1544">
        <f>capex_final!I37</f>
        <v>12556</v>
      </c>
      <c r="K33" s="1545"/>
      <c r="L33" s="1546"/>
      <c r="M33" s="1458">
        <f>capex_final!O37</f>
        <v>17607796.362748131</v>
      </c>
      <c r="N33" s="1459"/>
      <c r="O33" s="1460">
        <f>capex_final!Q37</f>
        <v>17607796.362748131</v>
      </c>
      <c r="P33" s="1459">
        <f>capex_final!S37</f>
        <v>1021252.1890393917</v>
      </c>
      <c r="Q33" s="1459">
        <f>capex_final!U37</f>
        <v>880389.8181374066</v>
      </c>
      <c r="R33" s="1479">
        <f>capex_final!V37</f>
        <v>19509438.369924929</v>
      </c>
      <c r="S33" s="1459">
        <f>capex_final!X37</f>
        <v>975471.91849624645</v>
      </c>
      <c r="T33" s="1479">
        <f>capex_final!Z37</f>
        <v>5852831.5109774787</v>
      </c>
      <c r="U33" s="1464">
        <f>capex_final!AA37</f>
        <v>26337741.799398653</v>
      </c>
      <c r="V33" s="1482"/>
      <c r="W33" s="1512"/>
      <c r="X33" s="1512"/>
      <c r="Y33" s="1512"/>
      <c r="Z33" s="1512"/>
      <c r="AA33" s="1512"/>
      <c r="AB33" s="1512"/>
      <c r="AC33" s="1512"/>
      <c r="AD33" s="1512"/>
      <c r="AE33" s="1512"/>
      <c r="AF33" s="1512"/>
      <c r="AG33" s="1512"/>
      <c r="AH33" s="1512"/>
      <c r="AI33" s="1512"/>
      <c r="AJ33" s="1512"/>
      <c r="AK33" s="1512"/>
      <c r="AL33" s="1512"/>
      <c r="AM33" s="1512"/>
      <c r="AN33" s="1512"/>
      <c r="AO33" s="1512"/>
      <c r="AP33" s="1512"/>
      <c r="AQ33" s="1512"/>
      <c r="AR33" s="1512"/>
      <c r="AS33" s="1512"/>
      <c r="AT33" s="1512"/>
      <c r="AU33" s="1512"/>
      <c r="AV33" s="1512"/>
      <c r="AW33" s="1512"/>
      <c r="AX33" s="1512"/>
      <c r="AY33" s="1512"/>
      <c r="AZ33" s="1512"/>
      <c r="BA33" s="1512"/>
      <c r="BB33" s="1512"/>
      <c r="BC33" s="1512"/>
      <c r="BD33" s="1512"/>
      <c r="BE33" s="1512"/>
      <c r="BF33" s="1512"/>
      <c r="BG33" s="1512"/>
      <c r="BH33" s="1512"/>
      <c r="BI33" s="1512"/>
      <c r="BJ33" s="1512"/>
      <c r="BK33" s="1512"/>
      <c r="BL33" s="1512"/>
      <c r="BM33" s="1512"/>
      <c r="BN33" s="1512"/>
      <c r="BO33" s="1512"/>
      <c r="BP33" s="1512"/>
      <c r="BQ33" s="1512"/>
      <c r="BR33" s="1512"/>
      <c r="BS33" s="1512"/>
      <c r="BT33" s="1512"/>
      <c r="BU33" s="1512"/>
      <c r="BV33" s="1512"/>
      <c r="BW33" s="1512"/>
      <c r="BX33" s="1512"/>
      <c r="BY33" s="1512"/>
      <c r="BZ33" s="1512"/>
      <c r="CA33" s="1512"/>
      <c r="CB33" s="1512"/>
      <c r="CC33" s="1512"/>
      <c r="CD33" s="1512"/>
      <c r="CE33" s="1512"/>
      <c r="CF33" s="1512"/>
      <c r="CG33" s="1512"/>
      <c r="CH33" s="1512"/>
      <c r="CI33" s="1512"/>
      <c r="CJ33" s="1512"/>
      <c r="CK33" s="1512"/>
      <c r="CL33" s="1512"/>
      <c r="CM33" s="1512"/>
      <c r="CN33" s="1512"/>
      <c r="CO33" s="1512"/>
      <c r="CP33" s="1512"/>
      <c r="CQ33" s="1512"/>
    </row>
    <row r="34" spans="1:95" s="1452" customFormat="1" ht="14">
      <c r="A34" s="1512"/>
      <c r="B34" s="1562">
        <f>capex_final!A38</f>
        <v>3</v>
      </c>
      <c r="C34" s="1476" t="str">
        <f>capex_final!B38</f>
        <v>28.</v>
      </c>
      <c r="D34" s="1452" t="str">
        <f>capex_final!C38</f>
        <v>RA</v>
      </c>
      <c r="E34" s="1452" t="str">
        <f>capex_final!D38</f>
        <v>Pavilón XXVIII.(rehab)</v>
      </c>
      <c r="F34" s="1452" t="str">
        <f>capex_final!E38</f>
        <v>Rekonštrukcia</v>
      </c>
      <c r="G34" s="1450" t="str">
        <f>capex_final!F38</f>
        <v>Etapa 7</v>
      </c>
      <c r="H34" s="1476">
        <f>capex_final!G38</f>
        <v>2027</v>
      </c>
      <c r="I34" s="1450">
        <f>capex_final!H38</f>
        <v>2030</v>
      </c>
      <c r="J34" s="1544">
        <f>capex_final!I38</f>
        <v>6695</v>
      </c>
      <c r="K34" s="1545"/>
      <c r="L34" s="1546"/>
      <c r="M34" s="1458">
        <f>capex_final!O38</f>
        <v>7041505.8526958469</v>
      </c>
      <c r="N34" s="1459"/>
      <c r="O34" s="1460">
        <f>capex_final!Q38</f>
        <v>7041505.8526958469</v>
      </c>
      <c r="P34" s="1459">
        <f>capex_final!S38</f>
        <v>408407.33945635916</v>
      </c>
      <c r="Q34" s="1459">
        <f>capex_final!U38</f>
        <v>352075.29263479239</v>
      </c>
      <c r="R34" s="1479">
        <f>capex_final!V38</f>
        <v>7801988.4847869985</v>
      </c>
      <c r="S34" s="1459">
        <f>capex_final!X38</f>
        <v>390099.42423934996</v>
      </c>
      <c r="T34" s="1479">
        <f>capex_final!Z38</f>
        <v>1170298.2727180498</v>
      </c>
      <c r="U34" s="1464">
        <f>capex_final!AA38</f>
        <v>9362386.1817443985</v>
      </c>
      <c r="V34" s="1482"/>
      <c r="W34" s="1512"/>
      <c r="X34" s="1512"/>
      <c r="Y34" s="1512"/>
      <c r="Z34" s="1512"/>
      <c r="AA34" s="1512"/>
      <c r="AB34" s="1512"/>
      <c r="AC34" s="1512"/>
      <c r="AD34" s="1512"/>
      <c r="AE34" s="1512"/>
      <c r="AF34" s="1512"/>
      <c r="AG34" s="1512"/>
      <c r="AH34" s="1512"/>
      <c r="AI34" s="1512"/>
      <c r="AJ34" s="1512"/>
      <c r="AK34" s="1512"/>
      <c r="AL34" s="1512"/>
      <c r="AM34" s="1512"/>
      <c r="AN34" s="1512"/>
      <c r="AO34" s="1512"/>
      <c r="AP34" s="1512"/>
      <c r="AQ34" s="1512"/>
      <c r="AR34" s="1512"/>
      <c r="AS34" s="1512"/>
      <c r="AT34" s="1512"/>
      <c r="AU34" s="1512"/>
      <c r="AV34" s="1512"/>
      <c r="AW34" s="1512"/>
      <c r="AX34" s="1512"/>
      <c r="AY34" s="1512"/>
      <c r="AZ34" s="1512"/>
      <c r="BA34" s="1512"/>
      <c r="BB34" s="1512"/>
      <c r="BC34" s="1512"/>
      <c r="BD34" s="1512"/>
      <c r="BE34" s="1512"/>
      <c r="BF34" s="1512"/>
      <c r="BG34" s="1512"/>
      <c r="BH34" s="1512"/>
      <c r="BI34" s="1512"/>
      <c r="BJ34" s="1512"/>
      <c r="BK34" s="1512"/>
      <c r="BL34" s="1512"/>
      <c r="BM34" s="1512"/>
      <c r="BN34" s="1512"/>
      <c r="BO34" s="1512"/>
      <c r="BP34" s="1512"/>
      <c r="BQ34" s="1512"/>
      <c r="BR34" s="1512"/>
      <c r="BS34" s="1512"/>
      <c r="BT34" s="1512"/>
      <c r="BU34" s="1512"/>
      <c r="BV34" s="1512"/>
      <c r="BW34" s="1512"/>
      <c r="BX34" s="1512"/>
      <c r="BY34" s="1512"/>
      <c r="BZ34" s="1512"/>
      <c r="CA34" s="1512"/>
      <c r="CB34" s="1512"/>
      <c r="CC34" s="1512"/>
      <c r="CD34" s="1512"/>
      <c r="CE34" s="1512"/>
      <c r="CF34" s="1512"/>
      <c r="CG34" s="1512"/>
      <c r="CH34" s="1512"/>
      <c r="CI34" s="1512"/>
      <c r="CJ34" s="1512"/>
      <c r="CK34" s="1512"/>
      <c r="CL34" s="1512"/>
      <c r="CM34" s="1512"/>
      <c r="CN34" s="1512"/>
      <c r="CO34" s="1512"/>
      <c r="CP34" s="1512"/>
      <c r="CQ34" s="1512"/>
    </row>
    <row r="35" spans="1:95" s="1452" customFormat="1" ht="14">
      <c r="A35" s="1512"/>
      <c r="B35" s="1562">
        <f>capex_final!A39</f>
        <v>3</v>
      </c>
      <c r="C35" s="1476" t="str">
        <f>capex_final!B39</f>
        <v>29.</v>
      </c>
      <c r="D35" s="1452" t="str">
        <f>capex_final!C39</f>
        <v>SNP</v>
      </c>
      <c r="E35" s="1452" t="str">
        <f>capex_final!D39</f>
        <v>Poliklinika vysoká časť (modernizácia)</v>
      </c>
      <c r="F35" s="1452" t="str">
        <f>capex_final!E39</f>
        <v>Rekonštrukcia</v>
      </c>
      <c r="G35" s="1450" t="str">
        <f>capex_final!F39</f>
        <v>Etapa 7</v>
      </c>
      <c r="H35" s="1476">
        <f>capex_final!G39</f>
        <v>2027</v>
      </c>
      <c r="I35" s="1450">
        <f>capex_final!H39</f>
        <v>2030</v>
      </c>
      <c r="J35" s="1544">
        <f>capex_final!I39</f>
        <v>19288</v>
      </c>
      <c r="K35" s="1545"/>
      <c r="L35" s="1546"/>
      <c r="M35" s="1458">
        <f>capex_final!O39</f>
        <v>20286268.093621731</v>
      </c>
      <c r="N35" s="1459"/>
      <c r="O35" s="1460">
        <f>capex_final!Q39</f>
        <v>20286268.093621731</v>
      </c>
      <c r="P35" s="1459">
        <f>capex_final!S39</f>
        <v>1176603.5494300604</v>
      </c>
      <c r="Q35" s="1459">
        <f>capex_final!U39</f>
        <v>1014313.4046810865</v>
      </c>
      <c r="R35" s="1479">
        <f>capex_final!V39</f>
        <v>22477185.047732878</v>
      </c>
      <c r="S35" s="1459">
        <f>capex_final!X39</f>
        <v>1123859.252386644</v>
      </c>
      <c r="T35" s="1479">
        <f>capex_final!Z39</f>
        <v>3371577.7571599316</v>
      </c>
      <c r="U35" s="1464">
        <f>capex_final!AA39</f>
        <v>26972622.057279453</v>
      </c>
      <c r="V35" s="1482"/>
      <c r="W35" s="1512"/>
      <c r="X35" s="1512"/>
      <c r="Y35" s="1512"/>
      <c r="Z35" s="1512"/>
      <c r="AA35" s="1512"/>
      <c r="AB35" s="1512"/>
      <c r="AC35" s="1512"/>
      <c r="AD35" s="1512"/>
      <c r="AE35" s="1512"/>
      <c r="AF35" s="1512"/>
      <c r="AG35" s="1512"/>
      <c r="AH35" s="1512"/>
      <c r="AI35" s="1512"/>
      <c r="AJ35" s="1512"/>
      <c r="AK35" s="1512"/>
      <c r="AL35" s="1512"/>
      <c r="AM35" s="1512"/>
      <c r="AN35" s="1512"/>
      <c r="AO35" s="1512"/>
      <c r="AP35" s="1512"/>
      <c r="AQ35" s="1512"/>
      <c r="AR35" s="1512"/>
      <c r="AS35" s="1512"/>
      <c r="AT35" s="1512"/>
      <c r="AU35" s="1512"/>
      <c r="AV35" s="1512"/>
      <c r="AW35" s="1512"/>
      <c r="AX35" s="1512"/>
      <c r="AY35" s="1512"/>
      <c r="AZ35" s="1512"/>
      <c r="BA35" s="1512"/>
      <c r="BB35" s="1512"/>
      <c r="BC35" s="1512"/>
      <c r="BD35" s="1512"/>
      <c r="BE35" s="1512"/>
      <c r="BF35" s="1512"/>
      <c r="BG35" s="1512"/>
      <c r="BH35" s="1512"/>
      <c r="BI35" s="1512"/>
      <c r="BJ35" s="1512"/>
      <c r="BK35" s="1512"/>
      <c r="BL35" s="1512"/>
      <c r="BM35" s="1512"/>
      <c r="BN35" s="1512"/>
      <c r="BO35" s="1512"/>
      <c r="BP35" s="1512"/>
      <c r="BQ35" s="1512"/>
      <c r="BR35" s="1512"/>
      <c r="BS35" s="1512"/>
      <c r="BT35" s="1512"/>
      <c r="BU35" s="1512"/>
      <c r="BV35" s="1512"/>
      <c r="BW35" s="1512"/>
      <c r="BX35" s="1512"/>
      <c r="BY35" s="1512"/>
      <c r="BZ35" s="1512"/>
      <c r="CA35" s="1512"/>
      <c r="CB35" s="1512"/>
      <c r="CC35" s="1512"/>
      <c r="CD35" s="1512"/>
      <c r="CE35" s="1512"/>
      <c r="CF35" s="1512"/>
      <c r="CG35" s="1512"/>
      <c r="CH35" s="1512"/>
      <c r="CI35" s="1512"/>
      <c r="CJ35" s="1512"/>
      <c r="CK35" s="1512"/>
      <c r="CL35" s="1512"/>
      <c r="CM35" s="1512"/>
      <c r="CN35" s="1512"/>
      <c r="CO35" s="1512"/>
      <c r="CP35" s="1512"/>
      <c r="CQ35" s="1512"/>
    </row>
    <row r="36" spans="1:95" s="1452" customFormat="1" ht="12.5" customHeight="1">
      <c r="A36" s="1512"/>
      <c r="B36" s="1562">
        <f>capex_final!A40</f>
        <v>3</v>
      </c>
      <c r="C36" s="1476" t="str">
        <f>capex_final!B40</f>
        <v>30.</v>
      </c>
      <c r="D36" s="1452" t="str">
        <f>capex_final!C40</f>
        <v>SNP</v>
      </c>
      <c r="E36" s="1452" t="str">
        <f>capex_final!D40</f>
        <v>Poliklinika nízka časť (modernizácia)</v>
      </c>
      <c r="F36" s="1452" t="str">
        <f>capex_final!E40</f>
        <v>Rekonštrukcia</v>
      </c>
      <c r="G36" s="1450" t="str">
        <f>capex_final!F40</f>
        <v>Etapa 7</v>
      </c>
      <c r="H36" s="1476">
        <f>capex_final!G40</f>
        <v>2027</v>
      </c>
      <c r="I36" s="1450">
        <f>capex_final!H40</f>
        <v>2030</v>
      </c>
      <c r="J36" s="1544">
        <f>capex_final!I40</f>
        <v>7860</v>
      </c>
      <c r="K36" s="1545"/>
      <c r="L36" s="1546"/>
      <c r="M36" s="1458">
        <f>capex_final!O40</f>
        <v>8266801.4939789921</v>
      </c>
      <c r="N36" s="1459"/>
      <c r="O36" s="1460">
        <f>capex_final!Q40</f>
        <v>8266801.4939789921</v>
      </c>
      <c r="P36" s="1459">
        <f>capex_final!S40</f>
        <v>479474.48665078159</v>
      </c>
      <c r="Q36" s="1459">
        <f>capex_final!U40</f>
        <v>413340.07469894964</v>
      </c>
      <c r="R36" s="1479">
        <f>capex_final!V40</f>
        <v>9159616.055328723</v>
      </c>
      <c r="S36" s="1459">
        <f>capex_final!X40</f>
        <v>457980.80276643619</v>
      </c>
      <c r="T36" s="1479">
        <f>capex_final!Z40</f>
        <v>1373942.4082993085</v>
      </c>
      <c r="U36" s="1464">
        <f>capex_final!AA40</f>
        <v>10991539.266394468</v>
      </c>
      <c r="V36" s="1482"/>
      <c r="W36" s="1512"/>
      <c r="X36" s="1512"/>
      <c r="Y36" s="1512"/>
      <c r="Z36" s="1512"/>
      <c r="AA36" s="1512"/>
      <c r="AB36" s="1512"/>
      <c r="AC36" s="1512"/>
      <c r="AD36" s="1512"/>
      <c r="AE36" s="1512"/>
      <c r="AF36" s="1512"/>
      <c r="AG36" s="1512"/>
      <c r="AH36" s="1512"/>
      <c r="AI36" s="1512"/>
      <c r="AJ36" s="1512"/>
      <c r="AK36" s="1512"/>
      <c r="AL36" s="1512"/>
      <c r="AM36" s="1512"/>
      <c r="AN36" s="1512"/>
      <c r="AO36" s="1512"/>
      <c r="AP36" s="1512"/>
      <c r="AQ36" s="1512"/>
      <c r="AR36" s="1512"/>
      <c r="AS36" s="1512"/>
      <c r="AT36" s="1512"/>
      <c r="AU36" s="1512"/>
      <c r="AV36" s="1512"/>
      <c r="AW36" s="1512"/>
      <c r="AX36" s="1512"/>
      <c r="AY36" s="1512"/>
      <c r="AZ36" s="1512"/>
      <c r="BA36" s="1512"/>
      <c r="BB36" s="1512"/>
      <c r="BC36" s="1512"/>
      <c r="BD36" s="1512"/>
      <c r="BE36" s="1512"/>
      <c r="BF36" s="1512"/>
      <c r="BG36" s="1512"/>
      <c r="BH36" s="1512"/>
      <c r="BI36" s="1512"/>
      <c r="BJ36" s="1512"/>
      <c r="BK36" s="1512"/>
      <c r="BL36" s="1512"/>
      <c r="BM36" s="1512"/>
      <c r="BN36" s="1512"/>
      <c r="BO36" s="1512"/>
      <c r="BP36" s="1512"/>
      <c r="BQ36" s="1512"/>
      <c r="BR36" s="1512"/>
      <c r="BS36" s="1512"/>
      <c r="BT36" s="1512"/>
      <c r="BU36" s="1512"/>
      <c r="BV36" s="1512"/>
      <c r="BW36" s="1512"/>
      <c r="BX36" s="1512"/>
      <c r="BY36" s="1512"/>
      <c r="BZ36" s="1512"/>
      <c r="CA36" s="1512"/>
      <c r="CB36" s="1512"/>
      <c r="CC36" s="1512"/>
      <c r="CD36" s="1512"/>
      <c r="CE36" s="1512"/>
      <c r="CF36" s="1512"/>
      <c r="CG36" s="1512"/>
      <c r="CH36" s="1512"/>
      <c r="CI36" s="1512"/>
      <c r="CJ36" s="1512"/>
      <c r="CK36" s="1512"/>
      <c r="CL36" s="1512"/>
      <c r="CM36" s="1512"/>
      <c r="CN36" s="1512"/>
      <c r="CO36" s="1512"/>
      <c r="CP36" s="1512"/>
      <c r="CQ36" s="1512"/>
    </row>
    <row r="37" spans="1:95" s="1489" customFormat="1" ht="14">
      <c r="A37" s="1512"/>
      <c r="B37" s="1563">
        <f>capex_final!A41</f>
        <v>3</v>
      </c>
      <c r="C37" s="1488" t="str">
        <f>capex_final!B41</f>
        <v>31.</v>
      </c>
      <c r="D37" s="1489" t="str">
        <f>capex_final!C41</f>
        <v>SNP</v>
      </c>
      <c r="E37" s="1489" t="str">
        <f>capex_final!D41</f>
        <v>Pasáž</v>
      </c>
      <c r="F37" s="1489" t="str">
        <f>capex_final!E41</f>
        <v>Rekonštrukcia</v>
      </c>
      <c r="G37" s="1487" t="str">
        <f>capex_final!F41</f>
        <v>Etapa 8</v>
      </c>
      <c r="H37" s="1488">
        <f>capex_final!G41</f>
        <v>2027</v>
      </c>
      <c r="I37" s="1487">
        <f>capex_final!H41</f>
        <v>2030</v>
      </c>
      <c r="J37" s="1547">
        <f>capex_final!I41</f>
        <v>684</v>
      </c>
      <c r="K37" s="1548"/>
      <c r="L37" s="1549"/>
      <c r="M37" s="1495">
        <f>capex_final!O41</f>
        <v>359700.52302045998</v>
      </c>
      <c r="N37" s="1494"/>
      <c r="O37" s="1496">
        <f>capex_final!Q41</f>
        <v>359700.52302045998</v>
      </c>
      <c r="P37" s="1494">
        <f>capex_final!S41</f>
        <v>20862.630335186681</v>
      </c>
      <c r="Q37" s="1494">
        <f>capex_final!U41</f>
        <v>17985.026151023001</v>
      </c>
      <c r="R37" s="1492">
        <f>capex_final!V41</f>
        <v>398548.17950666964</v>
      </c>
      <c r="S37" s="1494">
        <f>capex_final!X41</f>
        <v>19927.408975333485</v>
      </c>
      <c r="T37" s="1492"/>
      <c r="U37" s="1499">
        <f>capex_final!AA41</f>
        <v>418475.58848200314</v>
      </c>
      <c r="V37" s="1500"/>
      <c r="W37" s="1512"/>
      <c r="X37" s="1512"/>
      <c r="Y37" s="1512"/>
      <c r="Z37" s="1512"/>
      <c r="AA37" s="1512"/>
      <c r="AB37" s="1512"/>
      <c r="AC37" s="1512"/>
      <c r="AD37" s="1512"/>
      <c r="AE37" s="1512"/>
      <c r="AF37" s="1512"/>
      <c r="AG37" s="1512"/>
      <c r="AH37" s="1512"/>
      <c r="AI37" s="1512"/>
      <c r="AJ37" s="1512"/>
      <c r="AK37" s="1512"/>
      <c r="AL37" s="1512"/>
      <c r="AM37" s="1512"/>
      <c r="AN37" s="1512"/>
      <c r="AO37" s="1512"/>
      <c r="AP37" s="1512"/>
      <c r="AQ37" s="1512"/>
      <c r="AR37" s="1512"/>
      <c r="AS37" s="1512"/>
      <c r="AT37" s="1512"/>
      <c r="AU37" s="1512"/>
      <c r="AV37" s="1512"/>
      <c r="AW37" s="1512"/>
      <c r="AX37" s="1512"/>
      <c r="AY37" s="1512"/>
      <c r="AZ37" s="1512"/>
      <c r="BA37" s="1512"/>
      <c r="BB37" s="1512"/>
      <c r="BC37" s="1512"/>
      <c r="BD37" s="1512"/>
      <c r="BE37" s="1512"/>
      <c r="BF37" s="1512"/>
      <c r="BG37" s="1512"/>
      <c r="BH37" s="1512"/>
      <c r="BI37" s="1512"/>
      <c r="BJ37" s="1512"/>
      <c r="BK37" s="1512"/>
      <c r="BL37" s="1512"/>
      <c r="BM37" s="1512"/>
      <c r="BN37" s="1512"/>
      <c r="BO37" s="1512"/>
      <c r="BP37" s="1512"/>
      <c r="BQ37" s="1512"/>
      <c r="BR37" s="1512"/>
      <c r="BS37" s="1512"/>
      <c r="BT37" s="1512"/>
      <c r="BU37" s="1512"/>
      <c r="BV37" s="1512"/>
      <c r="BW37" s="1512"/>
      <c r="BX37" s="1512"/>
      <c r="BY37" s="1512"/>
      <c r="BZ37" s="1512"/>
      <c r="CA37" s="1512"/>
      <c r="CB37" s="1512"/>
      <c r="CC37" s="1512"/>
      <c r="CD37" s="1512"/>
      <c r="CE37" s="1512"/>
      <c r="CF37" s="1512"/>
      <c r="CG37" s="1512"/>
      <c r="CH37" s="1512"/>
      <c r="CI37" s="1512"/>
      <c r="CJ37" s="1512"/>
      <c r="CK37" s="1512"/>
      <c r="CL37" s="1512"/>
      <c r="CM37" s="1512"/>
      <c r="CN37" s="1512"/>
      <c r="CO37" s="1512"/>
      <c r="CP37" s="1512"/>
      <c r="CQ37" s="1512"/>
    </row>
    <row r="38" spans="1:95">
      <c r="M38" s="968"/>
      <c r="O38" s="968"/>
      <c r="P38" s="967"/>
      <c r="Q38" s="967"/>
      <c r="R38" s="1032"/>
      <c r="S38" s="967"/>
      <c r="T38" s="1034"/>
      <c r="U38" s="69"/>
      <c r="V38" s="967"/>
    </row>
    <row r="39" spans="1:95">
      <c r="T39" s="1035"/>
      <c r="U39" s="69"/>
      <c r="V39" s="967"/>
    </row>
    <row r="40" spans="1:95">
      <c r="M40" s="968"/>
      <c r="T40" s="1034"/>
      <c r="U40" s="69"/>
      <c r="V40" s="967"/>
    </row>
    <row r="41" spans="1:95">
      <c r="V41" s="967"/>
    </row>
    <row r="42" spans="1:95">
      <c r="V42" s="967"/>
    </row>
    <row r="46" spans="1:95">
      <c r="V46" s="967"/>
    </row>
    <row r="57" spans="4:13">
      <c r="D57" s="970"/>
      <c r="M57" s="975"/>
    </row>
    <row r="58" spans="4:13" ht="13.25" customHeight="1">
      <c r="D58" s="976"/>
    </row>
    <row r="59" spans="4:13">
      <c r="D59" s="970"/>
    </row>
    <row r="60" spans="4:13">
      <c r="M60" s="978"/>
    </row>
    <row r="61" spans="4:13">
      <c r="M61" s="978"/>
    </row>
    <row r="62" spans="4:13">
      <c r="M62" s="978"/>
    </row>
    <row r="111" spans="2:16">
      <c r="B111" s="770">
        <f>capex_final!A200</f>
        <v>0</v>
      </c>
      <c r="C111" s="770">
        <f>capex_final!B200</f>
        <v>0</v>
      </c>
      <c r="D111" s="770">
        <f>capex_final!C200</f>
        <v>0</v>
      </c>
      <c r="E111" s="770">
        <f>capex_final!D200</f>
        <v>0</v>
      </c>
      <c r="F111" s="770">
        <f>capex_final!E200</f>
        <v>0</v>
      </c>
      <c r="G111" s="770">
        <f>capex_final!F200</f>
        <v>0</v>
      </c>
      <c r="H111" s="770">
        <f>capex_final!G200</f>
        <v>0</v>
      </c>
      <c r="I111" s="770">
        <f>capex_final!H200</f>
        <v>0</v>
      </c>
      <c r="J111" s="770">
        <f>capex_final!I200</f>
        <v>0</v>
      </c>
      <c r="K111" s="967">
        <f>capex_final!J200</f>
        <v>0</v>
      </c>
      <c r="L111" s="967">
        <f>capex_final!K200</f>
        <v>0</v>
      </c>
      <c r="M111" s="971">
        <f>capex_final!S200</f>
        <v>0</v>
      </c>
      <c r="N111" s="1069">
        <f>capex_final!U200</f>
        <v>0</v>
      </c>
      <c r="O111" s="971">
        <f>capex_final!V200</f>
        <v>0</v>
      </c>
      <c r="P111" s="770">
        <f>capex_final!Z200</f>
        <v>0</v>
      </c>
    </row>
    <row r="112" spans="2:16">
      <c r="B112" s="770">
        <f>capex_final!A201</f>
        <v>0</v>
      </c>
      <c r="C112" s="770">
        <f>capex_final!B201</f>
        <v>0</v>
      </c>
      <c r="D112" s="770">
        <f>capex_final!C201</f>
        <v>0</v>
      </c>
      <c r="E112" s="770">
        <f>capex_final!D201</f>
        <v>0</v>
      </c>
      <c r="F112" s="770">
        <f>capex_final!E201</f>
        <v>0</v>
      </c>
      <c r="G112" s="770">
        <f>capex_final!F201</f>
        <v>0</v>
      </c>
      <c r="H112" s="770">
        <f>capex_final!G201</f>
        <v>0</v>
      </c>
      <c r="I112" s="770">
        <f>capex_final!H201</f>
        <v>0</v>
      </c>
      <c r="J112" s="770">
        <f>capex_final!I201</f>
        <v>0</v>
      </c>
      <c r="K112" s="967">
        <f>capex_final!J201</f>
        <v>0</v>
      </c>
      <c r="L112" s="967">
        <f>capex_final!K201</f>
        <v>0</v>
      </c>
      <c r="M112" s="971">
        <f>capex_final!S201</f>
        <v>0</v>
      </c>
      <c r="N112" s="1069">
        <f>capex_final!U201</f>
        <v>0</v>
      </c>
      <c r="O112" s="971">
        <f>capex_final!V201</f>
        <v>0</v>
      </c>
      <c r="P112" s="770">
        <f>capex_final!Z201</f>
        <v>0</v>
      </c>
    </row>
    <row r="113" spans="2:16">
      <c r="B113" s="770">
        <f>capex_final!A202</f>
        <v>0</v>
      </c>
      <c r="C113" s="770">
        <f>capex_final!B202</f>
        <v>0</v>
      </c>
      <c r="D113" s="770">
        <f>capex_final!C202</f>
        <v>0</v>
      </c>
      <c r="E113" s="770">
        <f>capex_final!D202</f>
        <v>0</v>
      </c>
      <c r="F113" s="770">
        <f>capex_final!E202</f>
        <v>0</v>
      </c>
      <c r="G113" s="770">
        <f>capex_final!F202</f>
        <v>0</v>
      </c>
      <c r="H113" s="770">
        <f>capex_final!G202</f>
        <v>0</v>
      </c>
      <c r="I113" s="770">
        <f>capex_final!H202</f>
        <v>0</v>
      </c>
      <c r="J113" s="770">
        <f>capex_final!I202</f>
        <v>0</v>
      </c>
      <c r="K113" s="967">
        <f>capex_final!J202</f>
        <v>0</v>
      </c>
      <c r="L113" s="967">
        <f>capex_final!K202</f>
        <v>0</v>
      </c>
      <c r="M113" s="971">
        <f>capex_final!S202</f>
        <v>0</v>
      </c>
      <c r="N113" s="1069">
        <f>capex_final!U202</f>
        <v>0</v>
      </c>
      <c r="O113" s="971">
        <f>capex_final!V202</f>
        <v>0</v>
      </c>
      <c r="P113" s="770">
        <f>capex_final!Z202</f>
        <v>0</v>
      </c>
    </row>
    <row r="114" spans="2:16">
      <c r="B114" s="770">
        <f>capex_final!A203</f>
        <v>0</v>
      </c>
      <c r="C114" s="770">
        <f>capex_final!B203</f>
        <v>0</v>
      </c>
      <c r="D114" s="770">
        <f>capex_final!C203</f>
        <v>0</v>
      </c>
      <c r="E114" s="770">
        <f>capex_final!D203</f>
        <v>0</v>
      </c>
      <c r="F114" s="770">
        <f>capex_final!E203</f>
        <v>0</v>
      </c>
      <c r="G114" s="770">
        <f>capex_final!F203</f>
        <v>0</v>
      </c>
      <c r="H114" s="770">
        <f>capex_final!G203</f>
        <v>0</v>
      </c>
      <c r="I114" s="770">
        <f>capex_final!H203</f>
        <v>0</v>
      </c>
      <c r="J114" s="770">
        <f>capex_final!I203</f>
        <v>0</v>
      </c>
      <c r="K114" s="967">
        <f>capex_final!J203</f>
        <v>0</v>
      </c>
      <c r="L114" s="967">
        <f>capex_final!K203</f>
        <v>0</v>
      </c>
      <c r="M114" s="971">
        <f>capex_final!S203</f>
        <v>0</v>
      </c>
      <c r="N114" s="1069">
        <f>capex_final!U203</f>
        <v>0</v>
      </c>
      <c r="O114" s="971">
        <f>capex_final!V203</f>
        <v>0</v>
      </c>
      <c r="P114" s="770">
        <f>capex_final!Z203</f>
        <v>0</v>
      </c>
    </row>
    <row r="115" spans="2:16">
      <c r="B115" s="770">
        <f>capex_final!A204</f>
        <v>0</v>
      </c>
      <c r="C115" s="770">
        <f>capex_final!B204</f>
        <v>0</v>
      </c>
      <c r="D115" s="770">
        <f>capex_final!C204</f>
        <v>0</v>
      </c>
      <c r="E115" s="770">
        <f>capex_final!D204</f>
        <v>0</v>
      </c>
      <c r="F115" s="770">
        <f>capex_final!E204</f>
        <v>0</v>
      </c>
      <c r="G115" s="770">
        <f>capex_final!F204</f>
        <v>0</v>
      </c>
      <c r="H115" s="770">
        <f>capex_final!G204</f>
        <v>0</v>
      </c>
      <c r="I115" s="770">
        <f>capex_final!H204</f>
        <v>0</v>
      </c>
      <c r="J115" s="770">
        <f>capex_final!I204</f>
        <v>0</v>
      </c>
      <c r="K115" s="967">
        <f>capex_final!J204</f>
        <v>0</v>
      </c>
      <c r="L115" s="967">
        <f>capex_final!K204</f>
        <v>0</v>
      </c>
      <c r="M115" s="971">
        <f>capex_final!S204</f>
        <v>0</v>
      </c>
      <c r="N115" s="1069">
        <f>capex_final!U204</f>
        <v>0</v>
      </c>
      <c r="O115" s="971">
        <f>capex_final!V204</f>
        <v>0</v>
      </c>
      <c r="P115" s="770">
        <f>capex_final!Z204</f>
        <v>0</v>
      </c>
    </row>
    <row r="116" spans="2:16">
      <c r="B116" s="770">
        <f>capex_final!A205</f>
        <v>0</v>
      </c>
      <c r="C116" s="770">
        <f>capex_final!B205</f>
        <v>0</v>
      </c>
      <c r="D116" s="770">
        <f>capex_final!C205</f>
        <v>0</v>
      </c>
      <c r="E116" s="770">
        <f>capex_final!D205</f>
        <v>0</v>
      </c>
      <c r="F116" s="770">
        <f>capex_final!E205</f>
        <v>0</v>
      </c>
      <c r="G116" s="770">
        <f>capex_final!F205</f>
        <v>0</v>
      </c>
      <c r="H116" s="770">
        <f>capex_final!G205</f>
        <v>0</v>
      </c>
      <c r="I116" s="770">
        <f>capex_final!H205</f>
        <v>0</v>
      </c>
      <c r="J116" s="770">
        <f>capex_final!I205</f>
        <v>0</v>
      </c>
      <c r="K116" s="967">
        <f>capex_final!J205</f>
        <v>0</v>
      </c>
      <c r="L116" s="967">
        <f>capex_final!K205</f>
        <v>0</v>
      </c>
      <c r="M116" s="971">
        <f>capex_final!S205</f>
        <v>0</v>
      </c>
      <c r="N116" s="1069">
        <f>capex_final!U205</f>
        <v>0</v>
      </c>
      <c r="O116" s="971">
        <f>capex_final!V205</f>
        <v>0</v>
      </c>
      <c r="P116" s="770">
        <f>capex_final!Z205</f>
        <v>0</v>
      </c>
    </row>
    <row r="117" spans="2:16">
      <c r="B117" s="770">
        <f>capex_final!A206</f>
        <v>0</v>
      </c>
      <c r="C117" s="770">
        <f>capex_final!B206</f>
        <v>0</v>
      </c>
      <c r="D117" s="770">
        <f>capex_final!C206</f>
        <v>0</v>
      </c>
      <c r="E117" s="770">
        <f>capex_final!D206</f>
        <v>0</v>
      </c>
      <c r="F117" s="770">
        <f>capex_final!E206</f>
        <v>0</v>
      </c>
      <c r="G117" s="770">
        <f>capex_final!F206</f>
        <v>0</v>
      </c>
      <c r="H117" s="770">
        <f>capex_final!G206</f>
        <v>0</v>
      </c>
      <c r="I117" s="770">
        <f>capex_final!H206</f>
        <v>0</v>
      </c>
      <c r="J117" s="770">
        <f>capex_final!I206</f>
        <v>0</v>
      </c>
      <c r="K117" s="967">
        <f>capex_final!J206</f>
        <v>0</v>
      </c>
      <c r="L117" s="967">
        <f>capex_final!K206</f>
        <v>0</v>
      </c>
      <c r="M117" s="971">
        <f>capex_final!S206</f>
        <v>0</v>
      </c>
      <c r="N117" s="1069">
        <f>capex_final!U206</f>
        <v>0</v>
      </c>
      <c r="O117" s="971">
        <f>capex_final!V206</f>
        <v>0</v>
      </c>
      <c r="P117" s="770">
        <f>capex_final!Z206</f>
        <v>0</v>
      </c>
    </row>
    <row r="118" spans="2:16">
      <c r="B118" s="770">
        <f>capex_final!A207</f>
        <v>0</v>
      </c>
      <c r="C118" s="770">
        <f>capex_final!B207</f>
        <v>0</v>
      </c>
      <c r="D118" s="770">
        <f>capex_final!C207</f>
        <v>0</v>
      </c>
      <c r="E118" s="770">
        <f>capex_final!D207</f>
        <v>0</v>
      </c>
      <c r="F118" s="770">
        <f>capex_final!E207</f>
        <v>0</v>
      </c>
      <c r="G118" s="770">
        <f>capex_final!F207</f>
        <v>0</v>
      </c>
      <c r="H118" s="770">
        <f>capex_final!G207</f>
        <v>0</v>
      </c>
      <c r="I118" s="770">
        <f>capex_final!H207</f>
        <v>0</v>
      </c>
      <c r="J118" s="770">
        <f>capex_final!I207</f>
        <v>0</v>
      </c>
      <c r="K118" s="967">
        <f>capex_final!J207</f>
        <v>0</v>
      </c>
      <c r="L118" s="967">
        <f>capex_final!K207</f>
        <v>0</v>
      </c>
      <c r="M118" s="971">
        <f>capex_final!S207</f>
        <v>0</v>
      </c>
      <c r="N118" s="1069">
        <f>capex_final!U207</f>
        <v>0</v>
      </c>
      <c r="O118" s="971">
        <f>capex_final!V207</f>
        <v>0</v>
      </c>
      <c r="P118" s="770">
        <f>capex_final!Z207</f>
        <v>0</v>
      </c>
    </row>
    <row r="119" spans="2:16">
      <c r="B119" s="770">
        <f>capex_final!A208</f>
        <v>0</v>
      </c>
      <c r="C119" s="770">
        <f>capex_final!B208</f>
        <v>0</v>
      </c>
      <c r="D119" s="770">
        <f>capex_final!C208</f>
        <v>0</v>
      </c>
      <c r="E119" s="770">
        <f>capex_final!D208</f>
        <v>0</v>
      </c>
      <c r="F119" s="770">
        <f>capex_final!E208</f>
        <v>0</v>
      </c>
      <c r="G119" s="770">
        <f>capex_final!F208</f>
        <v>0</v>
      </c>
      <c r="H119" s="770">
        <f>capex_final!G208</f>
        <v>0</v>
      </c>
      <c r="I119" s="770">
        <f>capex_final!H208</f>
        <v>0</v>
      </c>
      <c r="J119" s="770">
        <f>capex_final!I208</f>
        <v>0</v>
      </c>
      <c r="K119" s="967">
        <f>capex_final!J208</f>
        <v>0</v>
      </c>
      <c r="L119" s="967">
        <f>capex_final!K208</f>
        <v>0</v>
      </c>
      <c r="M119" s="971">
        <f>capex_final!S208</f>
        <v>0</v>
      </c>
      <c r="N119" s="1069">
        <f>capex_final!U208</f>
        <v>0</v>
      </c>
      <c r="O119" s="971">
        <f>capex_final!V208</f>
        <v>0</v>
      </c>
      <c r="P119" s="770">
        <f>capex_final!Z208</f>
        <v>0</v>
      </c>
    </row>
    <row r="120" spans="2:16">
      <c r="B120" s="770">
        <f>capex_final!A209</f>
        <v>0</v>
      </c>
      <c r="C120" s="770">
        <f>capex_final!B209</f>
        <v>0</v>
      </c>
      <c r="D120" s="770">
        <f>capex_final!C209</f>
        <v>0</v>
      </c>
      <c r="E120" s="770">
        <f>capex_final!D209</f>
        <v>0</v>
      </c>
      <c r="F120" s="770">
        <f>capex_final!E209</f>
        <v>0</v>
      </c>
      <c r="G120" s="770">
        <f>capex_final!F209</f>
        <v>0</v>
      </c>
      <c r="H120" s="770">
        <f>capex_final!G209</f>
        <v>0</v>
      </c>
      <c r="I120" s="770">
        <f>capex_final!H209</f>
        <v>0</v>
      </c>
      <c r="J120" s="770">
        <f>capex_final!I209</f>
        <v>0</v>
      </c>
      <c r="K120" s="967">
        <f>capex_final!J209</f>
        <v>0</v>
      </c>
      <c r="L120" s="967">
        <f>capex_final!K209</f>
        <v>0</v>
      </c>
      <c r="M120" s="971">
        <f>capex_final!S209</f>
        <v>0</v>
      </c>
      <c r="N120" s="1069">
        <f>capex_final!U209</f>
        <v>0</v>
      </c>
      <c r="O120" s="971">
        <f>capex_final!V209</f>
        <v>0</v>
      </c>
      <c r="P120" s="770">
        <f>capex_final!Z209</f>
        <v>0</v>
      </c>
    </row>
    <row r="121" spans="2:16">
      <c r="B121" s="770">
        <f>capex_final!A210</f>
        <v>0</v>
      </c>
      <c r="C121" s="770">
        <f>capex_final!B210</f>
        <v>0</v>
      </c>
      <c r="D121" s="770">
        <f>capex_final!C210</f>
        <v>0</v>
      </c>
      <c r="E121" s="770">
        <f>capex_final!D210</f>
        <v>0</v>
      </c>
      <c r="F121" s="770">
        <f>capex_final!E210</f>
        <v>0</v>
      </c>
      <c r="G121" s="770">
        <f>capex_final!F210</f>
        <v>0</v>
      </c>
      <c r="H121" s="770">
        <f>capex_final!G210</f>
        <v>0</v>
      </c>
      <c r="I121" s="770">
        <f>capex_final!H210</f>
        <v>0</v>
      </c>
      <c r="J121" s="770">
        <f>capex_final!I210</f>
        <v>0</v>
      </c>
      <c r="K121" s="967">
        <f>capex_final!J210</f>
        <v>0</v>
      </c>
      <c r="L121" s="967">
        <f>capex_final!K210</f>
        <v>0</v>
      </c>
      <c r="M121" s="971">
        <f>capex_final!S210</f>
        <v>0</v>
      </c>
      <c r="N121" s="1069">
        <f>capex_final!U210</f>
        <v>0</v>
      </c>
      <c r="O121" s="971">
        <f>capex_final!V210</f>
        <v>0</v>
      </c>
      <c r="P121" s="770">
        <f>capex_final!Z210</f>
        <v>0</v>
      </c>
    </row>
    <row r="122" spans="2:16">
      <c r="B122" s="770">
        <f>capex_final!A211</f>
        <v>0</v>
      </c>
      <c r="C122" s="770">
        <f>capex_final!B211</f>
        <v>0</v>
      </c>
      <c r="D122" s="770">
        <f>capex_final!C211</f>
        <v>0</v>
      </c>
      <c r="E122" s="770">
        <f>capex_final!D211</f>
        <v>0</v>
      </c>
      <c r="F122" s="770">
        <f>capex_final!E211</f>
        <v>0</v>
      </c>
      <c r="G122" s="770">
        <f>capex_final!F211</f>
        <v>0</v>
      </c>
      <c r="H122" s="770">
        <f>capex_final!G211</f>
        <v>0</v>
      </c>
      <c r="I122" s="770">
        <f>capex_final!H211</f>
        <v>0</v>
      </c>
      <c r="J122" s="770">
        <f>capex_final!I211</f>
        <v>0</v>
      </c>
      <c r="K122" s="967">
        <f>capex_final!J211</f>
        <v>0</v>
      </c>
      <c r="L122" s="967">
        <f>capex_final!K211</f>
        <v>0</v>
      </c>
      <c r="M122" s="971">
        <f>capex_final!S211</f>
        <v>0</v>
      </c>
      <c r="N122" s="1069">
        <f>capex_final!U211</f>
        <v>0</v>
      </c>
      <c r="O122" s="971">
        <f>capex_final!V211</f>
        <v>0</v>
      </c>
      <c r="P122" s="770">
        <f>capex_final!Z211</f>
        <v>0</v>
      </c>
    </row>
    <row r="123" spans="2:16">
      <c r="B123" s="770">
        <f>capex_final!A212</f>
        <v>0</v>
      </c>
      <c r="C123" s="770">
        <f>capex_final!B212</f>
        <v>0</v>
      </c>
      <c r="D123" s="770">
        <f>capex_final!C212</f>
        <v>0</v>
      </c>
      <c r="E123" s="770">
        <f>capex_final!D212</f>
        <v>0</v>
      </c>
      <c r="F123" s="770">
        <f>capex_final!E212</f>
        <v>0</v>
      </c>
      <c r="G123" s="770">
        <f>capex_final!F212</f>
        <v>0</v>
      </c>
      <c r="H123" s="770">
        <f>capex_final!G212</f>
        <v>0</v>
      </c>
      <c r="I123" s="770">
        <f>capex_final!H212</f>
        <v>0</v>
      </c>
      <c r="J123" s="770">
        <f>capex_final!I212</f>
        <v>0</v>
      </c>
      <c r="K123" s="967">
        <f>capex_final!J212</f>
        <v>0</v>
      </c>
      <c r="L123" s="967">
        <f>capex_final!K212</f>
        <v>0</v>
      </c>
      <c r="M123" s="971">
        <f>capex_final!S212</f>
        <v>0</v>
      </c>
      <c r="N123" s="1069">
        <f>capex_final!U212</f>
        <v>0</v>
      </c>
      <c r="O123" s="971">
        <f>capex_final!V212</f>
        <v>0</v>
      </c>
      <c r="P123" s="770">
        <f>capex_final!Z212</f>
        <v>0</v>
      </c>
    </row>
    <row r="124" spans="2:16">
      <c r="B124" s="770">
        <f>capex_final!A213</f>
        <v>0</v>
      </c>
      <c r="C124" s="770">
        <f>capex_final!B213</f>
        <v>0</v>
      </c>
      <c r="D124" s="770">
        <f>capex_final!C213</f>
        <v>0</v>
      </c>
      <c r="E124" s="770">
        <f>capex_final!D213</f>
        <v>0</v>
      </c>
      <c r="F124" s="770">
        <f>capex_final!E213</f>
        <v>0</v>
      </c>
      <c r="G124" s="770">
        <f>capex_final!F213</f>
        <v>0</v>
      </c>
      <c r="H124" s="770">
        <f>capex_final!G213</f>
        <v>0</v>
      </c>
      <c r="I124" s="770">
        <f>capex_final!H213</f>
        <v>0</v>
      </c>
      <c r="J124" s="770">
        <f>capex_final!I213</f>
        <v>0</v>
      </c>
      <c r="K124" s="967">
        <f>capex_final!J213</f>
        <v>0</v>
      </c>
      <c r="L124" s="967">
        <f>capex_final!K213</f>
        <v>0</v>
      </c>
      <c r="M124" s="971">
        <f>capex_final!S213</f>
        <v>0</v>
      </c>
      <c r="N124" s="1069">
        <f>capex_final!U213</f>
        <v>0</v>
      </c>
      <c r="O124" s="971">
        <f>capex_final!V213</f>
        <v>0</v>
      </c>
      <c r="P124" s="770">
        <f>capex_final!Z213</f>
        <v>0</v>
      </c>
    </row>
    <row r="125" spans="2:16">
      <c r="B125" s="770">
        <f>capex_final!A214</f>
        <v>0</v>
      </c>
      <c r="C125" s="770">
        <f>capex_final!B214</f>
        <v>0</v>
      </c>
      <c r="D125" s="770">
        <f>capex_final!C214</f>
        <v>0</v>
      </c>
      <c r="E125" s="770">
        <f>capex_final!D214</f>
        <v>0</v>
      </c>
      <c r="F125" s="770">
        <f>capex_final!E214</f>
        <v>0</v>
      </c>
      <c r="G125" s="770">
        <f>capex_final!F214</f>
        <v>0</v>
      </c>
      <c r="H125" s="770">
        <f>capex_final!G214</f>
        <v>0</v>
      </c>
      <c r="I125" s="770">
        <f>capex_final!H214</f>
        <v>0</v>
      </c>
      <c r="J125" s="770">
        <f>capex_final!I214</f>
        <v>0</v>
      </c>
      <c r="K125" s="967">
        <f>capex_final!J214</f>
        <v>0</v>
      </c>
      <c r="L125" s="967">
        <f>capex_final!K214</f>
        <v>0</v>
      </c>
      <c r="M125" s="971">
        <f>capex_final!S214</f>
        <v>0</v>
      </c>
      <c r="N125" s="1069">
        <f>capex_final!U214</f>
        <v>0</v>
      </c>
      <c r="O125" s="971">
        <f>capex_final!V214</f>
        <v>0</v>
      </c>
      <c r="P125" s="770">
        <f>capex_final!Z214</f>
        <v>0</v>
      </c>
    </row>
    <row r="126" spans="2:16">
      <c r="B126" s="770">
        <f>capex_final!A215</f>
        <v>0</v>
      </c>
      <c r="C126" s="770">
        <f>capex_final!B215</f>
        <v>0</v>
      </c>
      <c r="D126" s="770">
        <f>capex_final!C215</f>
        <v>0</v>
      </c>
      <c r="E126" s="770">
        <f>capex_final!D215</f>
        <v>0</v>
      </c>
      <c r="F126" s="770">
        <f>capex_final!E215</f>
        <v>0</v>
      </c>
      <c r="G126" s="770">
        <f>capex_final!F215</f>
        <v>0</v>
      </c>
      <c r="H126" s="770">
        <f>capex_final!G215</f>
        <v>0</v>
      </c>
      <c r="I126" s="770">
        <f>capex_final!H215</f>
        <v>0</v>
      </c>
      <c r="J126" s="770">
        <f>capex_final!I215</f>
        <v>0</v>
      </c>
      <c r="K126" s="967">
        <f>capex_final!J215</f>
        <v>0</v>
      </c>
      <c r="L126" s="967">
        <f>capex_final!K215</f>
        <v>0</v>
      </c>
      <c r="M126" s="971">
        <f>capex_final!S215</f>
        <v>0</v>
      </c>
      <c r="N126" s="1069">
        <f>capex_final!U215</f>
        <v>0</v>
      </c>
      <c r="O126" s="971">
        <f>capex_final!V215</f>
        <v>0</v>
      </c>
      <c r="P126" s="770">
        <f>capex_final!Z215</f>
        <v>0</v>
      </c>
    </row>
    <row r="127" spans="2:16">
      <c r="B127" s="770">
        <f>capex_final!A216</f>
        <v>0</v>
      </c>
      <c r="C127" s="770">
        <f>capex_final!B216</f>
        <v>0</v>
      </c>
      <c r="D127" s="770">
        <f>capex_final!C216</f>
        <v>0</v>
      </c>
      <c r="E127" s="770">
        <f>capex_final!D216</f>
        <v>0</v>
      </c>
      <c r="F127" s="770">
        <f>capex_final!E216</f>
        <v>0</v>
      </c>
      <c r="G127" s="770">
        <f>capex_final!F216</f>
        <v>0</v>
      </c>
      <c r="H127" s="770">
        <f>capex_final!G216</f>
        <v>0</v>
      </c>
      <c r="I127" s="770">
        <f>capex_final!H216</f>
        <v>0</v>
      </c>
      <c r="J127" s="770">
        <f>capex_final!I216</f>
        <v>0</v>
      </c>
      <c r="K127" s="967">
        <f>capex_final!J216</f>
        <v>0</v>
      </c>
      <c r="L127" s="967">
        <f>capex_final!K216</f>
        <v>0</v>
      </c>
      <c r="M127" s="971">
        <f>capex_final!S216</f>
        <v>0</v>
      </c>
      <c r="N127" s="1069">
        <f>capex_final!U216</f>
        <v>0</v>
      </c>
      <c r="O127" s="971">
        <f>capex_final!V216</f>
        <v>0</v>
      </c>
      <c r="P127" s="770">
        <f>capex_final!Z216</f>
        <v>0</v>
      </c>
    </row>
    <row r="128" spans="2:16">
      <c r="B128" s="770">
        <f>capex_final!A217</f>
        <v>0</v>
      </c>
      <c r="C128" s="770">
        <f>capex_final!B217</f>
        <v>0</v>
      </c>
      <c r="D128" s="770">
        <f>capex_final!C217</f>
        <v>0</v>
      </c>
      <c r="E128" s="770">
        <f>capex_final!D217</f>
        <v>0</v>
      </c>
      <c r="F128" s="770">
        <f>capex_final!E217</f>
        <v>0</v>
      </c>
      <c r="G128" s="770">
        <f>capex_final!F217</f>
        <v>0</v>
      </c>
      <c r="H128" s="770">
        <f>capex_final!G217</f>
        <v>0</v>
      </c>
      <c r="I128" s="770">
        <f>capex_final!H217</f>
        <v>0</v>
      </c>
      <c r="J128" s="770">
        <f>capex_final!I217</f>
        <v>0</v>
      </c>
      <c r="K128" s="967">
        <f>capex_final!J217</f>
        <v>0</v>
      </c>
      <c r="L128" s="967">
        <f>capex_final!K217</f>
        <v>0</v>
      </c>
      <c r="M128" s="971">
        <f>capex_final!S217</f>
        <v>0</v>
      </c>
      <c r="N128" s="1069">
        <f>capex_final!U217</f>
        <v>0</v>
      </c>
      <c r="O128" s="971">
        <f>capex_final!V217</f>
        <v>0</v>
      </c>
      <c r="P128" s="770">
        <f>capex_final!Z217</f>
        <v>0</v>
      </c>
    </row>
    <row r="129" spans="2:16">
      <c r="B129" s="770">
        <f>capex_final!A218</f>
        <v>0</v>
      </c>
      <c r="C129" s="770">
        <f>capex_final!B218</f>
        <v>0</v>
      </c>
      <c r="D129" s="770">
        <f>capex_final!C218</f>
        <v>0</v>
      </c>
      <c r="E129" s="770">
        <f>capex_final!D218</f>
        <v>0</v>
      </c>
      <c r="F129" s="770">
        <f>capex_final!E218</f>
        <v>0</v>
      </c>
      <c r="G129" s="770">
        <f>capex_final!F218</f>
        <v>0</v>
      </c>
      <c r="H129" s="770">
        <f>capex_final!G218</f>
        <v>0</v>
      </c>
      <c r="I129" s="770">
        <f>capex_final!H218</f>
        <v>0</v>
      </c>
      <c r="J129" s="770">
        <f>capex_final!I218</f>
        <v>0</v>
      </c>
      <c r="K129" s="967">
        <f>capex_final!J218</f>
        <v>0</v>
      </c>
      <c r="L129" s="967">
        <f>capex_final!K218</f>
        <v>0</v>
      </c>
      <c r="M129" s="971">
        <f>capex_final!S218</f>
        <v>0</v>
      </c>
      <c r="N129" s="1069">
        <f>capex_final!U218</f>
        <v>0</v>
      </c>
      <c r="O129" s="971">
        <f>capex_final!V218</f>
        <v>0</v>
      </c>
      <c r="P129" s="770">
        <f>capex_final!Z218</f>
        <v>0</v>
      </c>
    </row>
    <row r="130" spans="2:16">
      <c r="B130" s="770">
        <f>capex_final!A219</f>
        <v>0</v>
      </c>
      <c r="C130" s="770">
        <f>capex_final!B219</f>
        <v>0</v>
      </c>
      <c r="D130" s="770">
        <f>capex_final!C219</f>
        <v>0</v>
      </c>
      <c r="E130" s="770">
        <f>capex_final!D219</f>
        <v>0</v>
      </c>
      <c r="F130" s="770">
        <f>capex_final!E219</f>
        <v>0</v>
      </c>
      <c r="G130" s="770">
        <f>capex_final!F219</f>
        <v>0</v>
      </c>
      <c r="H130" s="770">
        <f>capex_final!G219</f>
        <v>0</v>
      </c>
      <c r="I130" s="770">
        <f>capex_final!H219</f>
        <v>0</v>
      </c>
      <c r="J130" s="770">
        <f>capex_final!I219</f>
        <v>0</v>
      </c>
      <c r="K130" s="967">
        <f>capex_final!J219</f>
        <v>0</v>
      </c>
      <c r="L130" s="967">
        <f>capex_final!K219</f>
        <v>0</v>
      </c>
      <c r="M130" s="971">
        <f>capex_final!S219</f>
        <v>0</v>
      </c>
      <c r="N130" s="1069">
        <f>capex_final!U219</f>
        <v>0</v>
      </c>
      <c r="O130" s="971">
        <f>capex_final!V219</f>
        <v>0</v>
      </c>
      <c r="P130" s="770">
        <f>capex_final!Z219</f>
        <v>0</v>
      </c>
    </row>
    <row r="131" spans="2:16">
      <c r="B131" s="770">
        <f>capex_final!A220</f>
        <v>0</v>
      </c>
      <c r="C131" s="770">
        <f>capex_final!B220</f>
        <v>0</v>
      </c>
      <c r="D131" s="770">
        <f>capex_final!C220</f>
        <v>0</v>
      </c>
      <c r="E131" s="770">
        <f>capex_final!D220</f>
        <v>0</v>
      </c>
      <c r="F131" s="770">
        <f>capex_final!E220</f>
        <v>0</v>
      </c>
      <c r="G131" s="770">
        <f>capex_final!F220</f>
        <v>0</v>
      </c>
      <c r="H131" s="770">
        <f>capex_final!G220</f>
        <v>0</v>
      </c>
      <c r="I131" s="770">
        <f>capex_final!H220</f>
        <v>0</v>
      </c>
      <c r="J131" s="770">
        <f>capex_final!I220</f>
        <v>0</v>
      </c>
      <c r="K131" s="967">
        <f>capex_final!J220</f>
        <v>0</v>
      </c>
      <c r="L131" s="967">
        <f>capex_final!K220</f>
        <v>0</v>
      </c>
      <c r="M131" s="971">
        <f>capex_final!S220</f>
        <v>0</v>
      </c>
      <c r="N131" s="1069">
        <f>capex_final!U220</f>
        <v>0</v>
      </c>
      <c r="O131" s="971">
        <f>capex_final!V220</f>
        <v>0</v>
      </c>
      <c r="P131" s="770">
        <f>capex_final!Z220</f>
        <v>0</v>
      </c>
    </row>
    <row r="132" spans="2:16">
      <c r="B132" s="770">
        <f>capex_final!A221</f>
        <v>0</v>
      </c>
      <c r="C132" s="770">
        <f>capex_final!B221</f>
        <v>0</v>
      </c>
      <c r="D132" s="770">
        <f>capex_final!C221</f>
        <v>0</v>
      </c>
      <c r="E132" s="770">
        <f>capex_final!D221</f>
        <v>0</v>
      </c>
      <c r="F132" s="770">
        <f>capex_final!E221</f>
        <v>0</v>
      </c>
      <c r="G132" s="770">
        <f>capex_final!F221</f>
        <v>0</v>
      </c>
      <c r="H132" s="770">
        <f>capex_final!G221</f>
        <v>0</v>
      </c>
      <c r="I132" s="770">
        <f>capex_final!H221</f>
        <v>0</v>
      </c>
      <c r="J132" s="770">
        <f>capex_final!I221</f>
        <v>0</v>
      </c>
      <c r="K132" s="967">
        <f>capex_final!J221</f>
        <v>0</v>
      </c>
      <c r="L132" s="967">
        <f>capex_final!K221</f>
        <v>0</v>
      </c>
      <c r="M132" s="971">
        <f>capex_final!S221</f>
        <v>0</v>
      </c>
      <c r="N132" s="1069">
        <f>capex_final!U221</f>
        <v>0</v>
      </c>
      <c r="O132" s="971">
        <f>capex_final!V221</f>
        <v>0</v>
      </c>
      <c r="P132" s="770">
        <f>capex_final!Z221</f>
        <v>0</v>
      </c>
    </row>
    <row r="133" spans="2:16">
      <c r="B133" s="770">
        <f>capex_final!A222</f>
        <v>0</v>
      </c>
      <c r="C133" s="770">
        <f>capex_final!B222</f>
        <v>0</v>
      </c>
      <c r="D133" s="770">
        <f>capex_final!C222</f>
        <v>0</v>
      </c>
      <c r="E133" s="770">
        <f>capex_final!D222</f>
        <v>0</v>
      </c>
      <c r="F133" s="770">
        <f>capex_final!E222</f>
        <v>0</v>
      </c>
      <c r="G133" s="770">
        <f>capex_final!F222</f>
        <v>0</v>
      </c>
      <c r="H133" s="770">
        <f>capex_final!G222</f>
        <v>0</v>
      </c>
      <c r="I133" s="770">
        <f>capex_final!H222</f>
        <v>0</v>
      </c>
      <c r="J133" s="770">
        <f>capex_final!I222</f>
        <v>0</v>
      </c>
      <c r="K133" s="967">
        <f>capex_final!J222</f>
        <v>0</v>
      </c>
      <c r="L133" s="967">
        <f>capex_final!K222</f>
        <v>0</v>
      </c>
      <c r="M133" s="971">
        <f>capex_final!S222</f>
        <v>0</v>
      </c>
      <c r="N133" s="1069">
        <f>capex_final!U222</f>
        <v>0</v>
      </c>
      <c r="O133" s="971">
        <f>capex_final!V222</f>
        <v>0</v>
      </c>
      <c r="P133" s="770">
        <f>capex_final!Z222</f>
        <v>0</v>
      </c>
    </row>
    <row r="134" spans="2:16">
      <c r="B134" s="770">
        <f>capex_final!A223</f>
        <v>0</v>
      </c>
      <c r="C134" s="770">
        <f>capex_final!B223</f>
        <v>0</v>
      </c>
      <c r="D134" s="770">
        <f>capex_final!C223</f>
        <v>0</v>
      </c>
      <c r="E134" s="770">
        <f>capex_final!D223</f>
        <v>0</v>
      </c>
      <c r="F134" s="770">
        <f>capex_final!E223</f>
        <v>0</v>
      </c>
      <c r="G134" s="770">
        <f>capex_final!F223</f>
        <v>0</v>
      </c>
      <c r="H134" s="770">
        <f>capex_final!G223</f>
        <v>0</v>
      </c>
      <c r="I134" s="770">
        <f>capex_final!H223</f>
        <v>0</v>
      </c>
      <c r="J134" s="770">
        <f>capex_final!I223</f>
        <v>0</v>
      </c>
      <c r="K134" s="967">
        <f>capex_final!J223</f>
        <v>0</v>
      </c>
      <c r="L134" s="967">
        <f>capex_final!K223</f>
        <v>0</v>
      </c>
      <c r="M134" s="971">
        <f>capex_final!S223</f>
        <v>0</v>
      </c>
      <c r="N134" s="1069">
        <f>capex_final!U223</f>
        <v>0</v>
      </c>
      <c r="O134" s="971">
        <f>capex_final!V223</f>
        <v>0</v>
      </c>
      <c r="P134" s="770">
        <f>capex_final!Z223</f>
        <v>0</v>
      </c>
    </row>
    <row r="135" spans="2:16">
      <c r="B135" s="770">
        <f>capex_final!A224</f>
        <v>0</v>
      </c>
      <c r="C135" s="770">
        <f>capex_final!B224</f>
        <v>0</v>
      </c>
      <c r="D135" s="770">
        <f>capex_final!C224</f>
        <v>0</v>
      </c>
      <c r="E135" s="770">
        <f>capex_final!D224</f>
        <v>0</v>
      </c>
      <c r="F135" s="770">
        <f>capex_final!E224</f>
        <v>0</v>
      </c>
      <c r="G135" s="770">
        <f>capex_final!F224</f>
        <v>0</v>
      </c>
      <c r="H135" s="770">
        <f>capex_final!G224</f>
        <v>0</v>
      </c>
      <c r="I135" s="770">
        <f>capex_final!H224</f>
        <v>0</v>
      </c>
      <c r="J135" s="770">
        <f>capex_final!I224</f>
        <v>0</v>
      </c>
      <c r="K135" s="967">
        <f>capex_final!J224</f>
        <v>0</v>
      </c>
      <c r="L135" s="967">
        <f>capex_final!K224</f>
        <v>0</v>
      </c>
      <c r="M135" s="971">
        <f>capex_final!S224</f>
        <v>0</v>
      </c>
      <c r="N135" s="1069">
        <f>capex_final!U224</f>
        <v>0</v>
      </c>
      <c r="O135" s="971">
        <f>capex_final!V224</f>
        <v>0</v>
      </c>
      <c r="P135" s="770">
        <f>capex_final!Z224</f>
        <v>0</v>
      </c>
    </row>
    <row r="136" spans="2:16">
      <c r="B136" s="770">
        <f>capex_final!A225</f>
        <v>0</v>
      </c>
      <c r="C136" s="770">
        <f>capex_final!B225</f>
        <v>0</v>
      </c>
      <c r="D136" s="770">
        <f>capex_final!C225</f>
        <v>0</v>
      </c>
      <c r="E136" s="770">
        <f>capex_final!D225</f>
        <v>0</v>
      </c>
      <c r="F136" s="770">
        <f>capex_final!E225</f>
        <v>0</v>
      </c>
      <c r="G136" s="770">
        <f>capex_final!F225</f>
        <v>0</v>
      </c>
      <c r="H136" s="770">
        <f>capex_final!G225</f>
        <v>0</v>
      </c>
      <c r="I136" s="770">
        <f>capex_final!H225</f>
        <v>0</v>
      </c>
      <c r="J136" s="770">
        <f>capex_final!I225</f>
        <v>0</v>
      </c>
      <c r="K136" s="967">
        <f>capex_final!J225</f>
        <v>0</v>
      </c>
      <c r="L136" s="967">
        <f>capex_final!K225</f>
        <v>0</v>
      </c>
      <c r="M136" s="971">
        <f>capex_final!S225</f>
        <v>0</v>
      </c>
      <c r="N136" s="1069">
        <f>capex_final!U225</f>
        <v>0</v>
      </c>
      <c r="O136" s="971">
        <f>capex_final!V225</f>
        <v>0</v>
      </c>
      <c r="P136" s="770">
        <f>capex_final!Z225</f>
        <v>0</v>
      </c>
    </row>
    <row r="137" spans="2:16">
      <c r="B137" s="770">
        <f>capex_final!A226</f>
        <v>0</v>
      </c>
      <c r="C137" s="770">
        <f>capex_final!B226</f>
        <v>0</v>
      </c>
      <c r="D137" s="770">
        <f>capex_final!C226</f>
        <v>0</v>
      </c>
      <c r="E137" s="770">
        <f>capex_final!D226</f>
        <v>0</v>
      </c>
      <c r="F137" s="770">
        <f>capex_final!E226</f>
        <v>0</v>
      </c>
      <c r="G137" s="770">
        <f>capex_final!F226</f>
        <v>0</v>
      </c>
      <c r="H137" s="770">
        <f>capex_final!G226</f>
        <v>0</v>
      </c>
      <c r="I137" s="770">
        <f>capex_final!H226</f>
        <v>0</v>
      </c>
      <c r="J137" s="770">
        <f>capex_final!I226</f>
        <v>0</v>
      </c>
      <c r="K137" s="967">
        <f>capex_final!J226</f>
        <v>0</v>
      </c>
      <c r="L137" s="967">
        <f>capex_final!K226</f>
        <v>0</v>
      </c>
      <c r="M137" s="971">
        <f>capex_final!S226</f>
        <v>0</v>
      </c>
      <c r="N137" s="1069">
        <f>capex_final!U226</f>
        <v>0</v>
      </c>
      <c r="O137" s="971">
        <f>capex_final!V226</f>
        <v>0</v>
      </c>
      <c r="P137" s="770">
        <f>capex_final!Z226</f>
        <v>0</v>
      </c>
    </row>
    <row r="138" spans="2:16">
      <c r="B138" s="770">
        <f>capex_final!A227</f>
        <v>0</v>
      </c>
      <c r="C138" s="770">
        <f>capex_final!B227</f>
        <v>0</v>
      </c>
      <c r="D138" s="770">
        <f>capex_final!C227</f>
        <v>0</v>
      </c>
      <c r="E138" s="770">
        <f>capex_final!D227</f>
        <v>0</v>
      </c>
      <c r="F138" s="770">
        <f>capex_final!E227</f>
        <v>0</v>
      </c>
      <c r="G138" s="770">
        <f>capex_final!F227</f>
        <v>0</v>
      </c>
      <c r="H138" s="770">
        <f>capex_final!G227</f>
        <v>0</v>
      </c>
      <c r="I138" s="770">
        <f>capex_final!H227</f>
        <v>0</v>
      </c>
      <c r="J138" s="770">
        <f>capex_final!I227</f>
        <v>0</v>
      </c>
      <c r="K138" s="967">
        <f>capex_final!J227</f>
        <v>0</v>
      </c>
      <c r="L138" s="967">
        <f>capex_final!K227</f>
        <v>0</v>
      </c>
      <c r="M138" s="971">
        <f>capex_final!S227</f>
        <v>0</v>
      </c>
      <c r="N138" s="1069">
        <f>capex_final!U227</f>
        <v>0</v>
      </c>
      <c r="O138" s="971">
        <f>capex_final!V227</f>
        <v>0</v>
      </c>
      <c r="P138" s="770">
        <f>capex_final!Z227</f>
        <v>0</v>
      </c>
    </row>
    <row r="139" spans="2:16">
      <c r="B139" s="770">
        <f>capex_final!A228</f>
        <v>0</v>
      </c>
      <c r="C139" s="770">
        <f>capex_final!B228</f>
        <v>0</v>
      </c>
      <c r="D139" s="770">
        <f>capex_final!C228</f>
        <v>0</v>
      </c>
      <c r="E139" s="770">
        <f>capex_final!D228</f>
        <v>0</v>
      </c>
      <c r="F139" s="770">
        <f>capex_final!E228</f>
        <v>0</v>
      </c>
      <c r="G139" s="770">
        <f>capex_final!F228</f>
        <v>0</v>
      </c>
      <c r="H139" s="770">
        <f>capex_final!G228</f>
        <v>0</v>
      </c>
      <c r="I139" s="770">
        <f>capex_final!H228</f>
        <v>0</v>
      </c>
      <c r="J139" s="770">
        <f>capex_final!I228</f>
        <v>0</v>
      </c>
      <c r="K139" s="967">
        <f>capex_final!J228</f>
        <v>0</v>
      </c>
      <c r="L139" s="967">
        <f>capex_final!K228</f>
        <v>0</v>
      </c>
      <c r="M139" s="971">
        <f>capex_final!S228</f>
        <v>0</v>
      </c>
      <c r="N139" s="1069">
        <f>capex_final!U228</f>
        <v>0</v>
      </c>
      <c r="O139" s="971">
        <f>capex_final!V228</f>
        <v>0</v>
      </c>
      <c r="P139" s="770">
        <f>capex_final!Z228</f>
        <v>0</v>
      </c>
    </row>
    <row r="140" spans="2:16">
      <c r="B140" s="770">
        <f>capex_final!A229</f>
        <v>0</v>
      </c>
      <c r="C140" s="770">
        <f>capex_final!B229</f>
        <v>0</v>
      </c>
      <c r="D140" s="770">
        <f>capex_final!C229</f>
        <v>0</v>
      </c>
      <c r="E140" s="770">
        <f>capex_final!D229</f>
        <v>0</v>
      </c>
      <c r="F140" s="770">
        <f>capex_final!E229</f>
        <v>0</v>
      </c>
      <c r="G140" s="770">
        <f>capex_final!F229</f>
        <v>0</v>
      </c>
      <c r="H140" s="770">
        <f>capex_final!G229</f>
        <v>0</v>
      </c>
      <c r="I140" s="770">
        <f>capex_final!H229</f>
        <v>0</v>
      </c>
      <c r="J140" s="770">
        <f>capex_final!I229</f>
        <v>0</v>
      </c>
      <c r="K140" s="967">
        <f>capex_final!J229</f>
        <v>0</v>
      </c>
      <c r="L140" s="967">
        <f>capex_final!K229</f>
        <v>0</v>
      </c>
      <c r="M140" s="971">
        <f>capex_final!S229</f>
        <v>0</v>
      </c>
      <c r="N140" s="1069">
        <f>capex_final!U229</f>
        <v>0</v>
      </c>
      <c r="O140" s="971">
        <f>capex_final!V229</f>
        <v>0</v>
      </c>
      <c r="P140" s="770">
        <f>capex_final!Z229</f>
        <v>0</v>
      </c>
    </row>
    <row r="141" spans="2:16">
      <c r="B141" s="770">
        <f>capex_final!A230</f>
        <v>0</v>
      </c>
      <c r="C141" s="770">
        <f>capex_final!B230</f>
        <v>0</v>
      </c>
      <c r="D141" s="770">
        <f>capex_final!C230</f>
        <v>0</v>
      </c>
      <c r="E141" s="770">
        <f>capex_final!D230</f>
        <v>0</v>
      </c>
      <c r="F141" s="770">
        <f>capex_final!E230</f>
        <v>0</v>
      </c>
      <c r="G141" s="770">
        <f>capex_final!F230</f>
        <v>0</v>
      </c>
      <c r="H141" s="770">
        <f>capex_final!G230</f>
        <v>0</v>
      </c>
      <c r="I141" s="770">
        <f>capex_final!H230</f>
        <v>0</v>
      </c>
      <c r="J141" s="770">
        <f>capex_final!I230</f>
        <v>0</v>
      </c>
      <c r="K141" s="967">
        <f>capex_final!J230</f>
        <v>0</v>
      </c>
      <c r="L141" s="967">
        <f>capex_final!K230</f>
        <v>0</v>
      </c>
      <c r="M141" s="971">
        <f>capex_final!S230</f>
        <v>0</v>
      </c>
      <c r="N141" s="1069">
        <f>capex_final!U230</f>
        <v>0</v>
      </c>
      <c r="O141" s="971">
        <f>capex_final!V230</f>
        <v>0</v>
      </c>
      <c r="P141" s="770">
        <f>capex_final!Z230</f>
        <v>0</v>
      </c>
    </row>
    <row r="142" spans="2:16">
      <c r="B142" s="770">
        <f>capex_final!A231</f>
        <v>0</v>
      </c>
      <c r="C142" s="770">
        <f>capex_final!B231</f>
        <v>0</v>
      </c>
      <c r="D142" s="770">
        <f>capex_final!C231</f>
        <v>0</v>
      </c>
      <c r="E142" s="770">
        <f>capex_final!D231</f>
        <v>0</v>
      </c>
      <c r="F142" s="770">
        <f>capex_final!E231</f>
        <v>0</v>
      </c>
      <c r="G142" s="770">
        <f>capex_final!F231</f>
        <v>0</v>
      </c>
      <c r="H142" s="770">
        <f>capex_final!G231</f>
        <v>0</v>
      </c>
      <c r="I142" s="770">
        <f>capex_final!H231</f>
        <v>0</v>
      </c>
      <c r="J142" s="770">
        <f>capex_final!I231</f>
        <v>0</v>
      </c>
      <c r="K142" s="967">
        <f>capex_final!J231</f>
        <v>0</v>
      </c>
      <c r="L142" s="967">
        <f>capex_final!K231</f>
        <v>0</v>
      </c>
      <c r="M142" s="971">
        <f>capex_final!S231</f>
        <v>0</v>
      </c>
      <c r="N142" s="1069">
        <f>capex_final!U231</f>
        <v>0</v>
      </c>
      <c r="O142" s="971">
        <f>capex_final!V231</f>
        <v>0</v>
      </c>
      <c r="P142" s="770">
        <f>capex_final!Z231</f>
        <v>0</v>
      </c>
    </row>
    <row r="143" spans="2:16">
      <c r="B143" s="770">
        <f>capex_final!A232</f>
        <v>0</v>
      </c>
      <c r="C143" s="770">
        <f>capex_final!B232</f>
        <v>0</v>
      </c>
      <c r="D143" s="770">
        <f>capex_final!C232</f>
        <v>0</v>
      </c>
      <c r="E143" s="770">
        <f>capex_final!D232</f>
        <v>0</v>
      </c>
      <c r="F143" s="770">
        <f>capex_final!E232</f>
        <v>0</v>
      </c>
      <c r="G143" s="770">
        <f>capex_final!F232</f>
        <v>0</v>
      </c>
      <c r="H143" s="770">
        <f>capex_final!G232</f>
        <v>0</v>
      </c>
      <c r="I143" s="770">
        <f>capex_final!H232</f>
        <v>0</v>
      </c>
      <c r="J143" s="770">
        <f>capex_final!I232</f>
        <v>0</v>
      </c>
      <c r="K143" s="967">
        <f>capex_final!J232</f>
        <v>0</v>
      </c>
      <c r="L143" s="967">
        <f>capex_final!K232</f>
        <v>0</v>
      </c>
      <c r="M143" s="971">
        <f>capex_final!S232</f>
        <v>0</v>
      </c>
      <c r="N143" s="1069">
        <f>capex_final!U232</f>
        <v>0</v>
      </c>
      <c r="O143" s="971">
        <f>capex_final!V232</f>
        <v>0</v>
      </c>
      <c r="P143" s="770">
        <f>capex_final!Z232</f>
        <v>0</v>
      </c>
    </row>
    <row r="144" spans="2:16">
      <c r="B144" s="770">
        <f>capex_final!A233</f>
        <v>0</v>
      </c>
      <c r="C144" s="770">
        <f>capex_final!B233</f>
        <v>0</v>
      </c>
      <c r="D144" s="770">
        <f>capex_final!C233</f>
        <v>0</v>
      </c>
      <c r="E144" s="770">
        <f>capex_final!D233</f>
        <v>0</v>
      </c>
      <c r="F144" s="770">
        <f>capex_final!E233</f>
        <v>0</v>
      </c>
      <c r="G144" s="770">
        <f>capex_final!F233</f>
        <v>0</v>
      </c>
      <c r="H144" s="770">
        <f>capex_final!G233</f>
        <v>0</v>
      </c>
      <c r="I144" s="770">
        <f>capex_final!H233</f>
        <v>0</v>
      </c>
      <c r="J144" s="770">
        <f>capex_final!I233</f>
        <v>0</v>
      </c>
      <c r="K144" s="967">
        <f>capex_final!J233</f>
        <v>0</v>
      </c>
      <c r="L144" s="967">
        <f>capex_final!K233</f>
        <v>0</v>
      </c>
      <c r="M144" s="971">
        <f>capex_final!S233</f>
        <v>0</v>
      </c>
      <c r="N144" s="1069">
        <f>capex_final!U233</f>
        <v>0</v>
      </c>
      <c r="O144" s="971">
        <f>capex_final!V233</f>
        <v>0</v>
      </c>
      <c r="P144" s="770">
        <f>capex_final!Z233</f>
        <v>0</v>
      </c>
    </row>
    <row r="145" spans="2:16">
      <c r="B145" s="770">
        <f>capex_final!A234</f>
        <v>0</v>
      </c>
      <c r="C145" s="770">
        <f>capex_final!B234</f>
        <v>0</v>
      </c>
      <c r="D145" s="770">
        <f>capex_final!C234</f>
        <v>0</v>
      </c>
      <c r="E145" s="770">
        <f>capex_final!D234</f>
        <v>0</v>
      </c>
      <c r="F145" s="770">
        <f>capex_final!E234</f>
        <v>0</v>
      </c>
      <c r="G145" s="770">
        <f>capex_final!F234</f>
        <v>0</v>
      </c>
      <c r="H145" s="770">
        <f>capex_final!G234</f>
        <v>0</v>
      </c>
      <c r="I145" s="770">
        <f>capex_final!H234</f>
        <v>0</v>
      </c>
      <c r="J145" s="770">
        <f>capex_final!I234</f>
        <v>0</v>
      </c>
      <c r="K145" s="967">
        <f>capex_final!J234</f>
        <v>0</v>
      </c>
      <c r="L145" s="967">
        <f>capex_final!K234</f>
        <v>0</v>
      </c>
      <c r="M145" s="971">
        <f>capex_final!S234</f>
        <v>0</v>
      </c>
      <c r="N145" s="1069">
        <f>capex_final!U234</f>
        <v>0</v>
      </c>
      <c r="O145" s="971">
        <f>capex_final!V234</f>
        <v>0</v>
      </c>
      <c r="P145" s="770">
        <f>capex_final!Z234</f>
        <v>0</v>
      </c>
    </row>
    <row r="146" spans="2:16">
      <c r="B146" s="770">
        <f>capex_final!A235</f>
        <v>0</v>
      </c>
      <c r="C146" s="770">
        <f>capex_final!B235</f>
        <v>0</v>
      </c>
      <c r="D146" s="770">
        <f>capex_final!C235</f>
        <v>0</v>
      </c>
      <c r="E146" s="770">
        <f>capex_final!D235</f>
        <v>0</v>
      </c>
      <c r="F146" s="770">
        <f>capex_final!E235</f>
        <v>0</v>
      </c>
      <c r="G146" s="770">
        <f>capex_final!F235</f>
        <v>0</v>
      </c>
      <c r="H146" s="770">
        <f>capex_final!G235</f>
        <v>0</v>
      </c>
      <c r="I146" s="770">
        <f>capex_final!H235</f>
        <v>0</v>
      </c>
      <c r="J146" s="770">
        <f>capex_final!I235</f>
        <v>0</v>
      </c>
      <c r="K146" s="967">
        <f>capex_final!J235</f>
        <v>0</v>
      </c>
      <c r="L146" s="967">
        <f>capex_final!K235</f>
        <v>0</v>
      </c>
      <c r="M146" s="971">
        <f>capex_final!S235</f>
        <v>0</v>
      </c>
      <c r="N146" s="1069">
        <f>capex_final!U235</f>
        <v>0</v>
      </c>
      <c r="O146" s="971">
        <f>capex_final!V235</f>
        <v>0</v>
      </c>
      <c r="P146" s="770">
        <f>capex_final!Z235</f>
        <v>0</v>
      </c>
    </row>
    <row r="147" spans="2:16">
      <c r="B147" s="770">
        <f>capex_final!A236</f>
        <v>0</v>
      </c>
      <c r="C147" s="770">
        <f>capex_final!B236</f>
        <v>0</v>
      </c>
      <c r="D147" s="770">
        <f>capex_final!C236</f>
        <v>0</v>
      </c>
      <c r="E147" s="770">
        <f>capex_final!D236</f>
        <v>0</v>
      </c>
      <c r="F147" s="770">
        <f>capex_final!E236</f>
        <v>0</v>
      </c>
      <c r="G147" s="770">
        <f>capex_final!F236</f>
        <v>0</v>
      </c>
      <c r="H147" s="770">
        <f>capex_final!G236</f>
        <v>0</v>
      </c>
      <c r="I147" s="770">
        <f>capex_final!H236</f>
        <v>0</v>
      </c>
      <c r="J147" s="770">
        <f>capex_final!I236</f>
        <v>0</v>
      </c>
      <c r="K147" s="967">
        <f>capex_final!J236</f>
        <v>0</v>
      </c>
      <c r="L147" s="967">
        <f>capex_final!K236</f>
        <v>0</v>
      </c>
      <c r="M147" s="971">
        <f>capex_final!S236</f>
        <v>0</v>
      </c>
      <c r="N147" s="1069">
        <f>capex_final!U236</f>
        <v>0</v>
      </c>
      <c r="O147" s="971">
        <f>capex_final!V236</f>
        <v>0</v>
      </c>
      <c r="P147" s="770">
        <f>capex_final!Z236</f>
        <v>0</v>
      </c>
    </row>
    <row r="148" spans="2:16">
      <c r="B148" s="770">
        <f>capex_final!A237</f>
        <v>0</v>
      </c>
      <c r="C148" s="770">
        <f>capex_final!B237</f>
        <v>0</v>
      </c>
      <c r="D148" s="770">
        <f>capex_final!C237</f>
        <v>0</v>
      </c>
      <c r="E148" s="770">
        <f>capex_final!D237</f>
        <v>0</v>
      </c>
      <c r="F148" s="770">
        <f>capex_final!E237</f>
        <v>0</v>
      </c>
      <c r="G148" s="770">
        <f>capex_final!F237</f>
        <v>0</v>
      </c>
      <c r="H148" s="770">
        <f>capex_final!G237</f>
        <v>0</v>
      </c>
      <c r="I148" s="770">
        <f>capex_final!H237</f>
        <v>0</v>
      </c>
      <c r="J148" s="770">
        <f>capex_final!I237</f>
        <v>0</v>
      </c>
      <c r="K148" s="967">
        <f>capex_final!J237</f>
        <v>0</v>
      </c>
      <c r="L148" s="967">
        <f>capex_final!K237</f>
        <v>0</v>
      </c>
      <c r="M148" s="971">
        <f>capex_final!S237</f>
        <v>0</v>
      </c>
      <c r="N148" s="1069">
        <f>capex_final!U237</f>
        <v>0</v>
      </c>
      <c r="O148" s="971">
        <f>capex_final!V237</f>
        <v>0</v>
      </c>
      <c r="P148" s="770">
        <f>capex_final!Z237</f>
        <v>0</v>
      </c>
    </row>
    <row r="149" spans="2:16">
      <c r="B149" s="770">
        <f>capex_final!A238</f>
        <v>0</v>
      </c>
      <c r="C149" s="770">
        <f>capex_final!B238</f>
        <v>0</v>
      </c>
      <c r="D149" s="770">
        <f>capex_final!C238</f>
        <v>0</v>
      </c>
      <c r="E149" s="770">
        <f>capex_final!D238</f>
        <v>0</v>
      </c>
      <c r="F149" s="770">
        <f>capex_final!E238</f>
        <v>0</v>
      </c>
      <c r="G149" s="770">
        <f>capex_final!F238</f>
        <v>0</v>
      </c>
      <c r="H149" s="770">
        <f>capex_final!G238</f>
        <v>0</v>
      </c>
      <c r="I149" s="770">
        <f>capex_final!H238</f>
        <v>0</v>
      </c>
      <c r="J149" s="770">
        <f>capex_final!I238</f>
        <v>0</v>
      </c>
      <c r="K149" s="967">
        <f>capex_final!J238</f>
        <v>0</v>
      </c>
      <c r="L149" s="967">
        <f>capex_final!K238</f>
        <v>0</v>
      </c>
      <c r="M149" s="971">
        <f>capex_final!S238</f>
        <v>0</v>
      </c>
      <c r="N149" s="1069">
        <f>capex_final!U238</f>
        <v>0</v>
      </c>
      <c r="O149" s="971">
        <f>capex_final!V238</f>
        <v>0</v>
      </c>
      <c r="P149" s="770">
        <f>capex_final!Z238</f>
        <v>0</v>
      </c>
    </row>
    <row r="150" spans="2:16">
      <c r="B150" s="770">
        <f>capex_final!A239</f>
        <v>0</v>
      </c>
      <c r="C150" s="770">
        <f>capex_final!B239</f>
        <v>0</v>
      </c>
      <c r="D150" s="770">
        <f>capex_final!C239</f>
        <v>0</v>
      </c>
      <c r="E150" s="770">
        <f>capex_final!D239</f>
        <v>0</v>
      </c>
      <c r="F150" s="770">
        <f>capex_final!E239</f>
        <v>0</v>
      </c>
      <c r="G150" s="770">
        <f>capex_final!F239</f>
        <v>0</v>
      </c>
      <c r="H150" s="770">
        <f>capex_final!G239</f>
        <v>0</v>
      </c>
      <c r="I150" s="770">
        <f>capex_final!H239</f>
        <v>0</v>
      </c>
      <c r="J150" s="770">
        <f>capex_final!I239</f>
        <v>0</v>
      </c>
      <c r="K150" s="967">
        <f>capex_final!J239</f>
        <v>0</v>
      </c>
      <c r="L150" s="967">
        <f>capex_final!K239</f>
        <v>0</v>
      </c>
      <c r="M150" s="971">
        <f>capex_final!S239</f>
        <v>0</v>
      </c>
      <c r="N150" s="1069">
        <f>capex_final!U239</f>
        <v>0</v>
      </c>
      <c r="O150" s="971">
        <f>capex_final!V239</f>
        <v>0</v>
      </c>
      <c r="P150" s="770">
        <f>capex_final!Z239</f>
        <v>0</v>
      </c>
    </row>
    <row r="151" spans="2:16">
      <c r="B151" s="770">
        <f>capex_final!A240</f>
        <v>0</v>
      </c>
      <c r="C151" s="770">
        <f>capex_final!B240</f>
        <v>0</v>
      </c>
      <c r="D151" s="770">
        <f>capex_final!C240</f>
        <v>0</v>
      </c>
      <c r="E151" s="770">
        <f>capex_final!D240</f>
        <v>0</v>
      </c>
      <c r="F151" s="770">
        <f>capex_final!E240</f>
        <v>0</v>
      </c>
      <c r="G151" s="770">
        <f>capex_final!F240</f>
        <v>0</v>
      </c>
      <c r="H151" s="770">
        <f>capex_final!G240</f>
        <v>0</v>
      </c>
      <c r="I151" s="770">
        <f>capex_final!H240</f>
        <v>0</v>
      </c>
      <c r="J151" s="770">
        <f>capex_final!I240</f>
        <v>0</v>
      </c>
      <c r="K151" s="967">
        <f>capex_final!J240</f>
        <v>0</v>
      </c>
      <c r="L151" s="967">
        <f>capex_final!K240</f>
        <v>0</v>
      </c>
      <c r="M151" s="971">
        <f>capex_final!S240</f>
        <v>0</v>
      </c>
      <c r="N151" s="1069">
        <f>capex_final!U240</f>
        <v>0</v>
      </c>
      <c r="O151" s="971">
        <f>capex_final!V240</f>
        <v>0</v>
      </c>
      <c r="P151" s="770">
        <f>capex_final!Z240</f>
        <v>0</v>
      </c>
    </row>
    <row r="152" spans="2:16">
      <c r="B152" s="770">
        <f>capex_final!A241</f>
        <v>0</v>
      </c>
      <c r="C152" s="770">
        <f>capex_final!B241</f>
        <v>0</v>
      </c>
      <c r="D152" s="770">
        <f>capex_final!C241</f>
        <v>0</v>
      </c>
      <c r="E152" s="770">
        <f>capex_final!D241</f>
        <v>0</v>
      </c>
      <c r="F152" s="770">
        <f>capex_final!E241</f>
        <v>0</v>
      </c>
      <c r="G152" s="770">
        <f>capex_final!F241</f>
        <v>0</v>
      </c>
      <c r="H152" s="770">
        <f>capex_final!G241</f>
        <v>0</v>
      </c>
      <c r="I152" s="770">
        <f>capex_final!H241</f>
        <v>0</v>
      </c>
      <c r="J152" s="770">
        <f>capex_final!I241</f>
        <v>0</v>
      </c>
      <c r="K152" s="967">
        <f>capex_final!J241</f>
        <v>0</v>
      </c>
      <c r="L152" s="967">
        <f>capex_final!K241</f>
        <v>0</v>
      </c>
      <c r="M152" s="971">
        <f>capex_final!S241</f>
        <v>0</v>
      </c>
      <c r="N152" s="1069">
        <f>capex_final!U241</f>
        <v>0</v>
      </c>
      <c r="O152" s="971">
        <f>capex_final!V241</f>
        <v>0</v>
      </c>
      <c r="P152" s="770">
        <f>capex_final!Z241</f>
        <v>0</v>
      </c>
    </row>
    <row r="153" spans="2:16">
      <c r="B153" s="770">
        <f>capex_final!A242</f>
        <v>0</v>
      </c>
      <c r="C153" s="770">
        <f>capex_final!B242</f>
        <v>0</v>
      </c>
      <c r="D153" s="770">
        <f>capex_final!C242</f>
        <v>0</v>
      </c>
      <c r="E153" s="770">
        <f>capex_final!D242</f>
        <v>0</v>
      </c>
      <c r="F153" s="770">
        <f>capex_final!E242</f>
        <v>0</v>
      </c>
      <c r="G153" s="770">
        <f>capex_final!F242</f>
        <v>0</v>
      </c>
      <c r="H153" s="770">
        <f>capex_final!G242</f>
        <v>0</v>
      </c>
      <c r="I153" s="770">
        <f>capex_final!H242</f>
        <v>0</v>
      </c>
      <c r="J153" s="770">
        <f>capex_final!I242</f>
        <v>0</v>
      </c>
      <c r="K153" s="967">
        <f>capex_final!J242</f>
        <v>0</v>
      </c>
      <c r="L153" s="967">
        <f>capex_final!K242</f>
        <v>0</v>
      </c>
      <c r="M153" s="971">
        <f>capex_final!S242</f>
        <v>0</v>
      </c>
      <c r="N153" s="1069">
        <f>capex_final!U242</f>
        <v>0</v>
      </c>
      <c r="O153" s="971">
        <f>capex_final!V242</f>
        <v>0</v>
      </c>
      <c r="P153" s="770">
        <f>capex_final!Z242</f>
        <v>0</v>
      </c>
    </row>
    <row r="154" spans="2:16">
      <c r="B154" s="770">
        <f>capex_final!A243</f>
        <v>0</v>
      </c>
      <c r="C154" s="770">
        <f>capex_final!B243</f>
        <v>0</v>
      </c>
      <c r="D154" s="770">
        <f>capex_final!C243</f>
        <v>0</v>
      </c>
      <c r="E154" s="770">
        <f>capex_final!D243</f>
        <v>0</v>
      </c>
      <c r="F154" s="770">
        <f>capex_final!E243</f>
        <v>0</v>
      </c>
      <c r="G154" s="770">
        <f>capex_final!F243</f>
        <v>0</v>
      </c>
      <c r="H154" s="770">
        <f>capex_final!G243</f>
        <v>0</v>
      </c>
      <c r="I154" s="770">
        <f>capex_final!H243</f>
        <v>0</v>
      </c>
      <c r="J154" s="770">
        <f>capex_final!I243</f>
        <v>0</v>
      </c>
      <c r="K154" s="967">
        <f>capex_final!J243</f>
        <v>0</v>
      </c>
      <c r="L154" s="967">
        <f>capex_final!K243</f>
        <v>0</v>
      </c>
      <c r="M154" s="971">
        <f>capex_final!S243</f>
        <v>0</v>
      </c>
      <c r="N154" s="1069">
        <f>capex_final!U243</f>
        <v>0</v>
      </c>
      <c r="O154" s="971">
        <f>capex_final!V243</f>
        <v>0</v>
      </c>
      <c r="P154" s="770">
        <f>capex_final!Z243</f>
        <v>0</v>
      </c>
    </row>
    <row r="155" spans="2:16">
      <c r="B155" s="770">
        <f>capex_final!A244</f>
        <v>0</v>
      </c>
      <c r="C155" s="770">
        <f>capex_final!B244</f>
        <v>0</v>
      </c>
      <c r="D155" s="770">
        <f>capex_final!C244</f>
        <v>0</v>
      </c>
      <c r="E155" s="770">
        <f>capex_final!D244</f>
        <v>0</v>
      </c>
      <c r="F155" s="770">
        <f>capex_final!E244</f>
        <v>0</v>
      </c>
      <c r="G155" s="770">
        <f>capex_final!F244</f>
        <v>0</v>
      </c>
      <c r="H155" s="770">
        <f>capex_final!G244</f>
        <v>0</v>
      </c>
      <c r="I155" s="770">
        <f>capex_final!H244</f>
        <v>0</v>
      </c>
      <c r="J155" s="770">
        <f>capex_final!I244</f>
        <v>0</v>
      </c>
      <c r="K155" s="967">
        <f>capex_final!J244</f>
        <v>0</v>
      </c>
      <c r="L155" s="967">
        <f>capex_final!K244</f>
        <v>0</v>
      </c>
      <c r="M155" s="971">
        <f>capex_final!S244</f>
        <v>0</v>
      </c>
      <c r="N155" s="1069">
        <f>capex_final!U244</f>
        <v>0</v>
      </c>
      <c r="O155" s="971">
        <f>capex_final!V244</f>
        <v>0</v>
      </c>
      <c r="P155" s="770">
        <f>capex_final!Z244</f>
        <v>0</v>
      </c>
    </row>
    <row r="156" spans="2:16">
      <c r="B156" s="770">
        <f>capex_final!A245</f>
        <v>0</v>
      </c>
      <c r="C156" s="770">
        <f>capex_final!B245</f>
        <v>0</v>
      </c>
      <c r="D156" s="770">
        <f>capex_final!C245</f>
        <v>0</v>
      </c>
      <c r="E156" s="770">
        <f>capex_final!D245</f>
        <v>0</v>
      </c>
      <c r="F156" s="770">
        <f>capex_final!E245</f>
        <v>0</v>
      </c>
      <c r="G156" s="770">
        <f>capex_final!F245</f>
        <v>0</v>
      </c>
      <c r="H156" s="770">
        <f>capex_final!G245</f>
        <v>0</v>
      </c>
      <c r="I156" s="770">
        <f>capex_final!H245</f>
        <v>0</v>
      </c>
      <c r="J156" s="770">
        <f>capex_final!I245</f>
        <v>0</v>
      </c>
      <c r="K156" s="967">
        <f>capex_final!J245</f>
        <v>0</v>
      </c>
      <c r="L156" s="967">
        <f>capex_final!K245</f>
        <v>0</v>
      </c>
      <c r="M156" s="971">
        <f>capex_final!S245</f>
        <v>0</v>
      </c>
      <c r="N156" s="1069">
        <f>capex_final!U245</f>
        <v>0</v>
      </c>
      <c r="O156" s="971">
        <f>capex_final!V245</f>
        <v>0</v>
      </c>
      <c r="P156" s="770">
        <f>capex_final!Z245</f>
        <v>0</v>
      </c>
    </row>
    <row r="157" spans="2:16">
      <c r="B157" s="770">
        <f>capex_final!A246</f>
        <v>0</v>
      </c>
      <c r="C157" s="770">
        <f>capex_final!B246</f>
        <v>0</v>
      </c>
      <c r="D157" s="770">
        <f>capex_final!C246</f>
        <v>0</v>
      </c>
      <c r="E157" s="770">
        <f>capex_final!D246</f>
        <v>0</v>
      </c>
      <c r="F157" s="770">
        <f>capex_final!E246</f>
        <v>0</v>
      </c>
      <c r="G157" s="770">
        <f>capex_final!F246</f>
        <v>0</v>
      </c>
      <c r="H157" s="770">
        <f>capex_final!G246</f>
        <v>0</v>
      </c>
      <c r="I157" s="770">
        <f>capex_final!H246</f>
        <v>0</v>
      </c>
      <c r="J157" s="770">
        <f>capex_final!I246</f>
        <v>0</v>
      </c>
      <c r="K157" s="967">
        <f>capex_final!J246</f>
        <v>0</v>
      </c>
      <c r="L157" s="967">
        <f>capex_final!K246</f>
        <v>0</v>
      </c>
      <c r="M157" s="971">
        <f>capex_final!S246</f>
        <v>0</v>
      </c>
      <c r="N157" s="1069">
        <f>capex_final!U246</f>
        <v>0</v>
      </c>
      <c r="O157" s="971">
        <f>capex_final!V246</f>
        <v>0</v>
      </c>
      <c r="P157" s="770">
        <f>capex_final!Z246</f>
        <v>0</v>
      </c>
    </row>
    <row r="158" spans="2:16">
      <c r="B158" s="770">
        <f>capex_final!A247</f>
        <v>0</v>
      </c>
      <c r="C158" s="770">
        <f>capex_final!B247</f>
        <v>0</v>
      </c>
      <c r="D158" s="770">
        <f>capex_final!C247</f>
        <v>0</v>
      </c>
      <c r="E158" s="770">
        <f>capex_final!D247</f>
        <v>0</v>
      </c>
      <c r="F158" s="770">
        <f>capex_final!E247</f>
        <v>0</v>
      </c>
      <c r="G158" s="770">
        <f>capex_final!F247</f>
        <v>0</v>
      </c>
      <c r="H158" s="770">
        <f>capex_final!G247</f>
        <v>0</v>
      </c>
      <c r="I158" s="770">
        <f>capex_final!H247</f>
        <v>0</v>
      </c>
      <c r="J158" s="770">
        <f>capex_final!I247</f>
        <v>0</v>
      </c>
      <c r="K158" s="967">
        <f>capex_final!J247</f>
        <v>0</v>
      </c>
      <c r="L158" s="967">
        <f>capex_final!K247</f>
        <v>0</v>
      </c>
      <c r="M158" s="971">
        <f>capex_final!S247</f>
        <v>0</v>
      </c>
      <c r="N158" s="1069">
        <f>capex_final!U247</f>
        <v>0</v>
      </c>
      <c r="O158" s="971">
        <f>capex_final!V247</f>
        <v>0</v>
      </c>
      <c r="P158" s="770">
        <f>capex_final!Z247</f>
        <v>0</v>
      </c>
    </row>
    <row r="159" spans="2:16">
      <c r="B159" s="770">
        <f>capex_final!A248</f>
        <v>0</v>
      </c>
      <c r="C159" s="770">
        <f>capex_final!B248</f>
        <v>0</v>
      </c>
      <c r="D159" s="770">
        <f>capex_final!C248</f>
        <v>0</v>
      </c>
      <c r="E159" s="770">
        <f>capex_final!D248</f>
        <v>0</v>
      </c>
      <c r="F159" s="770">
        <f>capex_final!E248</f>
        <v>0</v>
      </c>
      <c r="G159" s="770">
        <f>capex_final!F248</f>
        <v>0</v>
      </c>
      <c r="H159" s="770">
        <f>capex_final!G248</f>
        <v>0</v>
      </c>
      <c r="I159" s="770">
        <f>capex_final!H248</f>
        <v>0</v>
      </c>
      <c r="J159" s="770">
        <f>capex_final!I248</f>
        <v>0</v>
      </c>
      <c r="K159" s="967">
        <f>capex_final!J248</f>
        <v>0</v>
      </c>
      <c r="L159" s="967">
        <f>capex_final!K248</f>
        <v>0</v>
      </c>
      <c r="M159" s="971">
        <f>capex_final!S248</f>
        <v>0</v>
      </c>
      <c r="N159" s="1069">
        <f>capex_final!U248</f>
        <v>0</v>
      </c>
      <c r="O159" s="971">
        <f>capex_final!V248</f>
        <v>0</v>
      </c>
      <c r="P159" s="770">
        <f>capex_final!Z248</f>
        <v>0</v>
      </c>
    </row>
    <row r="160" spans="2:16">
      <c r="B160" s="770">
        <f>capex_final!A249</f>
        <v>0</v>
      </c>
      <c r="C160" s="770">
        <f>capex_final!B249</f>
        <v>0</v>
      </c>
      <c r="D160" s="770">
        <f>capex_final!C249</f>
        <v>0</v>
      </c>
      <c r="E160" s="770">
        <f>capex_final!D249</f>
        <v>0</v>
      </c>
      <c r="F160" s="770">
        <f>capex_final!E249</f>
        <v>0</v>
      </c>
      <c r="G160" s="770">
        <f>capex_final!F249</f>
        <v>0</v>
      </c>
      <c r="H160" s="770">
        <f>capex_final!G249</f>
        <v>0</v>
      </c>
      <c r="I160" s="770">
        <f>capex_final!H249</f>
        <v>0</v>
      </c>
      <c r="J160" s="770">
        <f>capex_final!I249</f>
        <v>0</v>
      </c>
      <c r="K160" s="967">
        <f>capex_final!J249</f>
        <v>0</v>
      </c>
      <c r="L160" s="967">
        <f>capex_final!K249</f>
        <v>0</v>
      </c>
      <c r="M160" s="971">
        <f>capex_final!S249</f>
        <v>0</v>
      </c>
      <c r="N160" s="1069">
        <f>capex_final!U249</f>
        <v>0</v>
      </c>
      <c r="O160" s="971">
        <f>capex_final!V249</f>
        <v>0</v>
      </c>
      <c r="P160" s="770">
        <f>capex_final!Z249</f>
        <v>0</v>
      </c>
    </row>
    <row r="161" spans="2:16">
      <c r="B161" s="770">
        <f>capex_final!A250</f>
        <v>0</v>
      </c>
      <c r="C161" s="770">
        <f>capex_final!B250</f>
        <v>0</v>
      </c>
      <c r="D161" s="770">
        <f>capex_final!C250</f>
        <v>0</v>
      </c>
      <c r="E161" s="770">
        <f>capex_final!D250</f>
        <v>0</v>
      </c>
      <c r="F161" s="770">
        <f>capex_final!E250</f>
        <v>0</v>
      </c>
      <c r="G161" s="770">
        <f>capex_final!F250</f>
        <v>0</v>
      </c>
      <c r="H161" s="770">
        <f>capex_final!G250</f>
        <v>0</v>
      </c>
      <c r="I161" s="770">
        <f>capex_final!H250</f>
        <v>0</v>
      </c>
      <c r="J161" s="770">
        <f>capex_final!I250</f>
        <v>0</v>
      </c>
      <c r="K161" s="967">
        <f>capex_final!J250</f>
        <v>0</v>
      </c>
      <c r="L161" s="967">
        <f>capex_final!K250</f>
        <v>0</v>
      </c>
      <c r="M161" s="971">
        <f>capex_final!S250</f>
        <v>0</v>
      </c>
      <c r="N161" s="1069">
        <f>capex_final!U250</f>
        <v>0</v>
      </c>
      <c r="O161" s="971">
        <f>capex_final!V250</f>
        <v>0</v>
      </c>
      <c r="P161" s="770">
        <f>capex_final!Z250</f>
        <v>0</v>
      </c>
    </row>
    <row r="162" spans="2:16">
      <c r="B162" s="770">
        <f>capex_final!A251</f>
        <v>0</v>
      </c>
      <c r="C162" s="770">
        <f>capex_final!B251</f>
        <v>0</v>
      </c>
      <c r="D162" s="770">
        <f>capex_final!C251</f>
        <v>0</v>
      </c>
      <c r="E162" s="770">
        <f>capex_final!D251</f>
        <v>0</v>
      </c>
      <c r="F162" s="770">
        <f>capex_final!E251</f>
        <v>0</v>
      </c>
      <c r="G162" s="770">
        <f>capex_final!F251</f>
        <v>0</v>
      </c>
      <c r="H162" s="770">
        <f>capex_final!G251</f>
        <v>0</v>
      </c>
      <c r="I162" s="770">
        <f>capex_final!H251</f>
        <v>0</v>
      </c>
      <c r="J162" s="770">
        <f>capex_final!I251</f>
        <v>0</v>
      </c>
      <c r="K162" s="967">
        <f>capex_final!J251</f>
        <v>0</v>
      </c>
      <c r="L162" s="967">
        <f>capex_final!K251</f>
        <v>0</v>
      </c>
      <c r="M162" s="971">
        <f>capex_final!S251</f>
        <v>0</v>
      </c>
      <c r="N162" s="1069">
        <f>capex_final!U251</f>
        <v>0</v>
      </c>
      <c r="O162" s="971">
        <f>capex_final!V251</f>
        <v>0</v>
      </c>
      <c r="P162" s="770">
        <f>capex_final!Z251</f>
        <v>0</v>
      </c>
    </row>
    <row r="163" spans="2:16">
      <c r="B163" s="770">
        <f>capex_final!A252</f>
        <v>0</v>
      </c>
      <c r="C163" s="770">
        <f>capex_final!B252</f>
        <v>0</v>
      </c>
      <c r="D163" s="770">
        <f>capex_final!C252</f>
        <v>0</v>
      </c>
      <c r="E163" s="770">
        <f>capex_final!D252</f>
        <v>0</v>
      </c>
      <c r="F163" s="770">
        <f>capex_final!E252</f>
        <v>0</v>
      </c>
      <c r="G163" s="770">
        <f>capex_final!F252</f>
        <v>0</v>
      </c>
      <c r="H163" s="770">
        <f>capex_final!G252</f>
        <v>0</v>
      </c>
      <c r="I163" s="770">
        <f>capex_final!H252</f>
        <v>0</v>
      </c>
      <c r="J163" s="770">
        <f>capex_final!I252</f>
        <v>0</v>
      </c>
      <c r="K163" s="967">
        <f>capex_final!J252</f>
        <v>0</v>
      </c>
      <c r="L163" s="967">
        <f>capex_final!K252</f>
        <v>0</v>
      </c>
      <c r="M163" s="971">
        <f>capex_final!S252</f>
        <v>0</v>
      </c>
      <c r="N163" s="1069">
        <f>capex_final!U252</f>
        <v>0</v>
      </c>
      <c r="O163" s="971">
        <f>capex_final!V252</f>
        <v>0</v>
      </c>
      <c r="P163" s="770">
        <f>capex_final!Z252</f>
        <v>0</v>
      </c>
    </row>
    <row r="164" spans="2:16">
      <c r="B164" s="770">
        <f>capex_final!A253</f>
        <v>0</v>
      </c>
      <c r="C164" s="770">
        <f>capex_final!B253</f>
        <v>0</v>
      </c>
      <c r="D164" s="770">
        <f>capex_final!C253</f>
        <v>0</v>
      </c>
      <c r="E164" s="770">
        <f>capex_final!D253</f>
        <v>0</v>
      </c>
      <c r="F164" s="770">
        <f>capex_final!E253</f>
        <v>0</v>
      </c>
      <c r="G164" s="770">
        <f>capex_final!F253</f>
        <v>0</v>
      </c>
      <c r="H164" s="770">
        <f>capex_final!G253</f>
        <v>0</v>
      </c>
      <c r="I164" s="770">
        <f>capex_final!H253</f>
        <v>0</v>
      </c>
      <c r="J164" s="770">
        <f>capex_final!I253</f>
        <v>0</v>
      </c>
      <c r="K164" s="967">
        <f>capex_final!J253</f>
        <v>0</v>
      </c>
      <c r="L164" s="967">
        <f>capex_final!K253</f>
        <v>0</v>
      </c>
      <c r="M164" s="971">
        <f>capex_final!S253</f>
        <v>0</v>
      </c>
      <c r="N164" s="1069">
        <f>capex_final!U253</f>
        <v>0</v>
      </c>
      <c r="O164" s="971">
        <f>capex_final!V253</f>
        <v>0</v>
      </c>
      <c r="P164" s="770">
        <f>capex_final!Z253</f>
        <v>0</v>
      </c>
    </row>
    <row r="165" spans="2:16">
      <c r="B165" s="770">
        <f>capex_final!A254</f>
        <v>0</v>
      </c>
      <c r="C165" s="770">
        <f>capex_final!B254</f>
        <v>0</v>
      </c>
      <c r="D165" s="770">
        <f>capex_final!C254</f>
        <v>0</v>
      </c>
      <c r="E165" s="770">
        <f>capex_final!D254</f>
        <v>0</v>
      </c>
      <c r="F165" s="770">
        <f>capex_final!E254</f>
        <v>0</v>
      </c>
      <c r="G165" s="770">
        <f>capex_final!F254</f>
        <v>0</v>
      </c>
      <c r="H165" s="770">
        <f>capex_final!G254</f>
        <v>0</v>
      </c>
      <c r="I165" s="770">
        <f>capex_final!H254</f>
        <v>0</v>
      </c>
      <c r="J165" s="770">
        <f>capex_final!I254</f>
        <v>0</v>
      </c>
      <c r="K165" s="967">
        <f>capex_final!J254</f>
        <v>0</v>
      </c>
      <c r="L165" s="967">
        <f>capex_final!K254</f>
        <v>0</v>
      </c>
      <c r="M165" s="971">
        <f>capex_final!S254</f>
        <v>0</v>
      </c>
      <c r="N165" s="1069">
        <f>capex_final!U254</f>
        <v>0</v>
      </c>
      <c r="O165" s="971">
        <f>capex_final!V254</f>
        <v>0</v>
      </c>
      <c r="P165" s="770">
        <f>capex_final!Z254</f>
        <v>0</v>
      </c>
    </row>
    <row r="166" spans="2:16">
      <c r="B166" s="770">
        <f>capex_final!A255</f>
        <v>0</v>
      </c>
      <c r="C166" s="770">
        <f>capex_final!B255</f>
        <v>0</v>
      </c>
      <c r="D166" s="770">
        <f>capex_final!C255</f>
        <v>0</v>
      </c>
      <c r="E166" s="770">
        <f>capex_final!D255</f>
        <v>0</v>
      </c>
      <c r="F166" s="770">
        <f>capex_final!E255</f>
        <v>0</v>
      </c>
      <c r="G166" s="770">
        <f>capex_final!F255</f>
        <v>0</v>
      </c>
      <c r="H166" s="770">
        <f>capex_final!G255</f>
        <v>0</v>
      </c>
      <c r="I166" s="770">
        <f>capex_final!H255</f>
        <v>0</v>
      </c>
      <c r="J166" s="770">
        <f>capex_final!I255</f>
        <v>0</v>
      </c>
      <c r="K166" s="967">
        <f>capex_final!J255</f>
        <v>0</v>
      </c>
      <c r="L166" s="967">
        <f>capex_final!K255</f>
        <v>0</v>
      </c>
      <c r="M166" s="971">
        <f>capex_final!S255</f>
        <v>0</v>
      </c>
      <c r="N166" s="1069">
        <f>capex_final!U255</f>
        <v>0</v>
      </c>
      <c r="O166" s="971">
        <f>capex_final!V255</f>
        <v>0</v>
      </c>
      <c r="P166" s="770">
        <f>capex_final!Z255</f>
        <v>0</v>
      </c>
    </row>
    <row r="167" spans="2:16">
      <c r="B167" s="770">
        <f>capex_final!A256</f>
        <v>0</v>
      </c>
      <c r="C167" s="770">
        <f>capex_final!B256</f>
        <v>0</v>
      </c>
      <c r="D167" s="770">
        <f>capex_final!C256</f>
        <v>0</v>
      </c>
      <c r="E167" s="770">
        <f>capex_final!D256</f>
        <v>0</v>
      </c>
      <c r="F167" s="770">
        <f>capex_final!E256</f>
        <v>0</v>
      </c>
      <c r="G167" s="770">
        <f>capex_final!F256</f>
        <v>0</v>
      </c>
      <c r="H167" s="770">
        <f>capex_final!G256</f>
        <v>0</v>
      </c>
      <c r="I167" s="770">
        <f>capex_final!H256</f>
        <v>0</v>
      </c>
      <c r="J167" s="770">
        <f>capex_final!I256</f>
        <v>0</v>
      </c>
      <c r="K167" s="967">
        <f>capex_final!J256</f>
        <v>0</v>
      </c>
      <c r="L167" s="967">
        <f>capex_final!K256</f>
        <v>0</v>
      </c>
      <c r="M167" s="971">
        <f>capex_final!S256</f>
        <v>0</v>
      </c>
      <c r="N167" s="1069">
        <f>capex_final!U256</f>
        <v>0</v>
      </c>
      <c r="O167" s="971">
        <f>capex_final!V256</f>
        <v>0</v>
      </c>
      <c r="P167" s="770">
        <f>capex_final!Z256</f>
        <v>0</v>
      </c>
    </row>
    <row r="168" spans="2:16">
      <c r="B168" s="770">
        <f>capex_final!A257</f>
        <v>0</v>
      </c>
      <c r="C168" s="770">
        <f>capex_final!B257</f>
        <v>0</v>
      </c>
      <c r="D168" s="770">
        <f>capex_final!C257</f>
        <v>0</v>
      </c>
      <c r="E168" s="770">
        <f>capex_final!D257</f>
        <v>0</v>
      </c>
      <c r="F168" s="770">
        <f>capex_final!E257</f>
        <v>0</v>
      </c>
      <c r="G168" s="770">
        <f>capex_final!F257</f>
        <v>0</v>
      </c>
      <c r="H168" s="770">
        <f>capex_final!G257</f>
        <v>0</v>
      </c>
      <c r="I168" s="770">
        <f>capex_final!H257</f>
        <v>0</v>
      </c>
      <c r="J168" s="770">
        <f>capex_final!I257</f>
        <v>0</v>
      </c>
      <c r="K168" s="967">
        <f>capex_final!J257</f>
        <v>0</v>
      </c>
      <c r="L168" s="967">
        <f>capex_final!K257</f>
        <v>0</v>
      </c>
      <c r="M168" s="971">
        <f>capex_final!S257</f>
        <v>0</v>
      </c>
      <c r="N168" s="1069">
        <f>capex_final!U257</f>
        <v>0</v>
      </c>
      <c r="O168" s="971">
        <f>capex_final!V257</f>
        <v>0</v>
      </c>
      <c r="P168" s="770">
        <f>capex_final!Z257</f>
        <v>0</v>
      </c>
    </row>
    <row r="169" spans="2:16">
      <c r="B169" s="770">
        <f>capex_final!A258</f>
        <v>0</v>
      </c>
      <c r="C169" s="770">
        <f>capex_final!B258</f>
        <v>0</v>
      </c>
      <c r="D169" s="770">
        <f>capex_final!C258</f>
        <v>0</v>
      </c>
      <c r="E169" s="770">
        <f>capex_final!D258</f>
        <v>0</v>
      </c>
      <c r="F169" s="770">
        <f>capex_final!E258</f>
        <v>0</v>
      </c>
      <c r="G169" s="770">
        <f>capex_final!F258</f>
        <v>0</v>
      </c>
      <c r="H169" s="770">
        <f>capex_final!G258</f>
        <v>0</v>
      </c>
      <c r="I169" s="770">
        <f>capex_final!H258</f>
        <v>0</v>
      </c>
      <c r="J169" s="770">
        <f>capex_final!I258</f>
        <v>0</v>
      </c>
      <c r="K169" s="967">
        <f>capex_final!J258</f>
        <v>0</v>
      </c>
      <c r="L169" s="967">
        <f>capex_final!K258</f>
        <v>0</v>
      </c>
      <c r="M169" s="971">
        <f>capex_final!S258</f>
        <v>0</v>
      </c>
      <c r="N169" s="1069">
        <f>capex_final!U258</f>
        <v>0</v>
      </c>
      <c r="O169" s="971">
        <f>capex_final!V258</f>
        <v>0</v>
      </c>
      <c r="P169" s="770">
        <f>capex_final!Z258</f>
        <v>0</v>
      </c>
    </row>
    <row r="170" spans="2:16">
      <c r="B170" s="770">
        <f>capex_final!A259</f>
        <v>0</v>
      </c>
      <c r="C170" s="770">
        <f>capex_final!B259</f>
        <v>0</v>
      </c>
      <c r="D170" s="770">
        <f>capex_final!C259</f>
        <v>0</v>
      </c>
      <c r="E170" s="770">
        <f>capex_final!D259</f>
        <v>0</v>
      </c>
      <c r="F170" s="770">
        <f>capex_final!E259</f>
        <v>0</v>
      </c>
      <c r="G170" s="770">
        <f>capex_final!F259</f>
        <v>0</v>
      </c>
      <c r="H170" s="770">
        <f>capex_final!G259</f>
        <v>0</v>
      </c>
      <c r="I170" s="770">
        <f>capex_final!H259</f>
        <v>0</v>
      </c>
      <c r="J170" s="770">
        <f>capex_final!I259</f>
        <v>0</v>
      </c>
      <c r="K170" s="967">
        <f>capex_final!J259</f>
        <v>0</v>
      </c>
      <c r="L170" s="967">
        <f>capex_final!K259</f>
        <v>0</v>
      </c>
      <c r="M170" s="971">
        <f>capex_final!S259</f>
        <v>0</v>
      </c>
      <c r="N170" s="1069">
        <f>capex_final!U259</f>
        <v>0</v>
      </c>
      <c r="O170" s="971">
        <f>capex_final!V259</f>
        <v>0</v>
      </c>
      <c r="P170" s="770">
        <f>capex_final!Z259</f>
        <v>0</v>
      </c>
    </row>
    <row r="171" spans="2:16">
      <c r="B171" s="770">
        <f>capex_final!A260</f>
        <v>0</v>
      </c>
      <c r="C171" s="770">
        <f>capex_final!B260</f>
        <v>0</v>
      </c>
      <c r="D171" s="770">
        <f>capex_final!C260</f>
        <v>0</v>
      </c>
      <c r="E171" s="770">
        <f>capex_final!D260</f>
        <v>0</v>
      </c>
      <c r="F171" s="770">
        <f>capex_final!E260</f>
        <v>0</v>
      </c>
      <c r="G171" s="770">
        <f>capex_final!F260</f>
        <v>0</v>
      </c>
      <c r="H171" s="770">
        <f>capex_final!G260</f>
        <v>0</v>
      </c>
      <c r="I171" s="770">
        <f>capex_final!H260</f>
        <v>0</v>
      </c>
      <c r="J171" s="770">
        <f>capex_final!I260</f>
        <v>0</v>
      </c>
      <c r="K171" s="967">
        <f>capex_final!J260</f>
        <v>0</v>
      </c>
      <c r="L171" s="967">
        <f>capex_final!K260</f>
        <v>0</v>
      </c>
      <c r="M171" s="971">
        <f>capex_final!S260</f>
        <v>0</v>
      </c>
      <c r="N171" s="1069">
        <f>capex_final!U260</f>
        <v>0</v>
      </c>
      <c r="O171" s="971">
        <f>capex_final!V260</f>
        <v>0</v>
      </c>
      <c r="P171" s="770">
        <f>capex_final!Z260</f>
        <v>0</v>
      </c>
    </row>
    <row r="172" spans="2:16">
      <c r="B172" s="770">
        <f>capex_final!A261</f>
        <v>0</v>
      </c>
      <c r="C172" s="770">
        <f>capex_final!B261</f>
        <v>0</v>
      </c>
      <c r="D172" s="770">
        <f>capex_final!C261</f>
        <v>0</v>
      </c>
      <c r="E172" s="770">
        <f>capex_final!D261</f>
        <v>0</v>
      </c>
      <c r="F172" s="770">
        <f>capex_final!E261</f>
        <v>0</v>
      </c>
      <c r="G172" s="770">
        <f>capex_final!F261</f>
        <v>0</v>
      </c>
      <c r="H172" s="770">
        <f>capex_final!G261</f>
        <v>0</v>
      </c>
      <c r="I172" s="770">
        <f>capex_final!H261</f>
        <v>0</v>
      </c>
      <c r="J172" s="770">
        <f>capex_final!I261</f>
        <v>0</v>
      </c>
      <c r="K172" s="967">
        <f>capex_final!J261</f>
        <v>0</v>
      </c>
      <c r="L172" s="967">
        <f>capex_final!K261</f>
        <v>0</v>
      </c>
      <c r="M172" s="971">
        <f>capex_final!S261</f>
        <v>0</v>
      </c>
      <c r="N172" s="1069">
        <f>capex_final!U261</f>
        <v>0</v>
      </c>
      <c r="O172" s="971">
        <f>capex_final!V261</f>
        <v>0</v>
      </c>
      <c r="P172" s="770">
        <f>capex_final!Z261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54F90-302A-4F93-9A26-2AED39727AF6}">
  <sheetPr>
    <tabColor rgb="FFDCEFF4"/>
  </sheetPr>
  <dimension ref="B1:AD99"/>
  <sheetViews>
    <sheetView topLeftCell="A70" workbookViewId="0">
      <selection activeCell="K102" sqref="K102"/>
    </sheetView>
  </sheetViews>
  <sheetFormatPr baseColWidth="10" defaultColWidth="8.83203125" defaultRowHeight="15"/>
  <cols>
    <col min="1" max="1" width="2.6640625" style="69" customWidth="1"/>
    <col min="2" max="2" width="38.1640625" style="69" customWidth="1"/>
    <col min="3" max="7" width="11.83203125" style="458" customWidth="1"/>
    <col min="8" max="28" width="11.83203125" style="69" customWidth="1"/>
    <col min="29" max="29" width="9.83203125" style="69" bestFit="1" customWidth="1"/>
    <col min="30" max="16384" width="8.83203125" style="69"/>
  </cols>
  <sheetData>
    <row r="1" spans="2:29" s="568" customFormat="1"/>
    <row r="2" spans="2:29" s="592" customFormat="1">
      <c r="B2" s="704"/>
      <c r="C2" s="705">
        <v>43100</v>
      </c>
      <c r="D2" s="705">
        <f>EOMONTH(C2,12)</f>
        <v>43465</v>
      </c>
      <c r="E2" s="705">
        <f t="shared" ref="E2:U2" si="0">EOMONTH(D2,12)</f>
        <v>43830</v>
      </c>
      <c r="F2" s="705">
        <f t="shared" si="0"/>
        <v>44196</v>
      </c>
      <c r="G2" s="706">
        <f t="shared" si="0"/>
        <v>44561</v>
      </c>
      <c r="H2" s="704">
        <f t="shared" si="0"/>
        <v>44926</v>
      </c>
      <c r="I2" s="704">
        <f t="shared" si="0"/>
        <v>45291</v>
      </c>
      <c r="J2" s="704">
        <f t="shared" si="0"/>
        <v>45657</v>
      </c>
      <c r="K2" s="704">
        <f t="shared" si="0"/>
        <v>46022</v>
      </c>
      <c r="L2" s="704">
        <f t="shared" si="0"/>
        <v>46387</v>
      </c>
      <c r="M2" s="704">
        <f t="shared" si="0"/>
        <v>46752</v>
      </c>
      <c r="N2" s="704">
        <f t="shared" si="0"/>
        <v>47118</v>
      </c>
      <c r="O2" s="704">
        <f t="shared" si="0"/>
        <v>47483</v>
      </c>
      <c r="P2" s="704">
        <f t="shared" si="0"/>
        <v>47848</v>
      </c>
      <c r="Q2" s="704">
        <f t="shared" si="0"/>
        <v>48213</v>
      </c>
      <c r="R2" s="704">
        <f t="shared" si="0"/>
        <v>48579</v>
      </c>
      <c r="S2" s="704">
        <f t="shared" si="0"/>
        <v>48944</v>
      </c>
      <c r="T2" s="704">
        <f t="shared" si="0"/>
        <v>49309</v>
      </c>
      <c r="U2" s="704">
        <f t="shared" si="0"/>
        <v>49674</v>
      </c>
      <c r="V2" s="704">
        <f t="shared" ref="V2" si="1">EOMONTH(U2,12)</f>
        <v>50040</v>
      </c>
      <c r="W2" s="704">
        <f t="shared" ref="W2" si="2">EOMONTH(V2,12)</f>
        <v>50405</v>
      </c>
      <c r="X2" s="704">
        <f t="shared" ref="X2" si="3">EOMONTH(W2,12)</f>
        <v>50770</v>
      </c>
      <c r="Y2" s="704">
        <f t="shared" ref="Y2" si="4">EOMONTH(X2,12)</f>
        <v>51135</v>
      </c>
      <c r="Z2" s="704">
        <f t="shared" ref="Z2" si="5">EOMONTH(Y2,12)</f>
        <v>51501</v>
      </c>
      <c r="AA2" s="704">
        <f t="shared" ref="AA2" si="6">EOMONTH(Z2,12)</f>
        <v>51866</v>
      </c>
      <c r="AB2" s="704">
        <f t="shared" ref="AB2" si="7">EOMONTH(AA2,12)</f>
        <v>52231</v>
      </c>
    </row>
    <row r="3" spans="2:29" s="457" customFormat="1">
      <c r="B3" s="598" t="s">
        <v>2992</v>
      </c>
      <c r="C3" s="608">
        <f>C6+C17</f>
        <v>37200873.170000002</v>
      </c>
      <c r="D3" s="608">
        <f>D6+D17</f>
        <v>39837612.020000003</v>
      </c>
      <c r="E3" s="608">
        <f>E6+E17</f>
        <v>47111293.770000003</v>
      </c>
      <c r="F3" s="608">
        <f>F6+F17</f>
        <v>49705294.820000008</v>
      </c>
      <c r="G3" s="609">
        <f>G6+G17</f>
        <v>56365612.129999995</v>
      </c>
      <c r="H3" s="598">
        <f t="shared" ref="H3:U3" si="8">H6+H17</f>
        <v>60204843.414226316</v>
      </c>
      <c r="I3" s="598">
        <f t="shared" si="8"/>
        <v>59824205.193306059</v>
      </c>
      <c r="J3" s="598">
        <f t="shared" si="8"/>
        <v>61289471.215384208</v>
      </c>
      <c r="K3" s="598">
        <f t="shared" si="8"/>
        <v>64103845.828485601</v>
      </c>
      <c r="L3" s="598">
        <f t="shared" si="8"/>
        <v>66141848.655696101</v>
      </c>
      <c r="M3" s="598">
        <f t="shared" si="8"/>
        <v>66383779.746312521</v>
      </c>
      <c r="N3" s="598">
        <f t="shared" si="8"/>
        <v>67816426.75616242</v>
      </c>
      <c r="O3" s="598">
        <f t="shared" si="8"/>
        <v>70059450.001213387</v>
      </c>
      <c r="P3" s="598">
        <f t="shared" si="8"/>
        <v>69218633.684047014</v>
      </c>
      <c r="Q3" s="598">
        <f t="shared" si="8"/>
        <v>69317235.407468334</v>
      </c>
      <c r="R3" s="598">
        <f t="shared" si="8"/>
        <v>69429158.240377218</v>
      </c>
      <c r="S3" s="598">
        <f t="shared" si="8"/>
        <v>69521450.728812605</v>
      </c>
      <c r="T3" s="598">
        <f t="shared" si="8"/>
        <v>69574584.093857989</v>
      </c>
      <c r="U3" s="598">
        <f t="shared" si="8"/>
        <v>69597723.979561836</v>
      </c>
      <c r="V3" s="598">
        <f t="shared" ref="V3:AB3" si="9">V6+V17</f>
        <v>69597723.979561836</v>
      </c>
      <c r="W3" s="598">
        <f t="shared" si="9"/>
        <v>69597723.979561836</v>
      </c>
      <c r="X3" s="598">
        <f t="shared" si="9"/>
        <v>69597723.979561836</v>
      </c>
      <c r="Y3" s="598">
        <f t="shared" si="9"/>
        <v>69597723.979561836</v>
      </c>
      <c r="Z3" s="598">
        <f t="shared" si="9"/>
        <v>69597723.979561836</v>
      </c>
      <c r="AA3" s="598">
        <f t="shared" si="9"/>
        <v>69597723.979561836</v>
      </c>
      <c r="AB3" s="598">
        <f t="shared" si="9"/>
        <v>69597723.979561836</v>
      </c>
    </row>
    <row r="4" spans="2:29" s="457" customFormat="1">
      <c r="B4" s="598" t="s">
        <v>2993</v>
      </c>
      <c r="C4" s="608">
        <f>C36</f>
        <v>4557201.59</v>
      </c>
      <c r="D4" s="608">
        <f t="shared" ref="D4:U4" si="10">D36</f>
        <v>4844338.1899999995</v>
      </c>
      <c r="E4" s="608">
        <f t="shared" si="10"/>
        <v>5479386.6899999995</v>
      </c>
      <c r="F4" s="608">
        <f t="shared" si="10"/>
        <v>6025849.8399999999</v>
      </c>
      <c r="G4" s="609">
        <f t="shared" si="10"/>
        <v>5666221.75</v>
      </c>
      <c r="H4" s="598">
        <f t="shared" si="10"/>
        <v>4625768.4790000003</v>
      </c>
      <c r="I4" s="598">
        <f t="shared" si="10"/>
        <v>4625768.4790000003</v>
      </c>
      <c r="J4" s="598">
        <f t="shared" si="10"/>
        <v>4625768.4790000003</v>
      </c>
      <c r="K4" s="598">
        <f t="shared" si="10"/>
        <v>4625768.4790000003</v>
      </c>
      <c r="L4" s="598">
        <f t="shared" si="10"/>
        <v>4625768.4790000003</v>
      </c>
      <c r="M4" s="598">
        <f t="shared" si="10"/>
        <v>4625768.4790000003</v>
      </c>
      <c r="N4" s="598">
        <f t="shared" si="10"/>
        <v>4625768.4790000003</v>
      </c>
      <c r="O4" s="598">
        <f t="shared" si="10"/>
        <v>4625768.4790000003</v>
      </c>
      <c r="P4" s="598">
        <f t="shared" si="10"/>
        <v>4298944.6817500005</v>
      </c>
      <c r="Q4" s="598">
        <f t="shared" si="10"/>
        <v>4298944.6817500005</v>
      </c>
      <c r="R4" s="598">
        <f t="shared" si="10"/>
        <v>4298944.6817500005</v>
      </c>
      <c r="S4" s="598">
        <f t="shared" si="10"/>
        <v>4298944.6817500005</v>
      </c>
      <c r="T4" s="598">
        <f t="shared" si="10"/>
        <v>4298944.6817500005</v>
      </c>
      <c r="U4" s="598">
        <f t="shared" si="10"/>
        <v>4298944.6817500005</v>
      </c>
      <c r="V4" s="598">
        <f t="shared" ref="V4:AB4" si="11">V36</f>
        <v>4298944.6817500005</v>
      </c>
      <c r="W4" s="598">
        <f t="shared" si="11"/>
        <v>4298944.6817500005</v>
      </c>
      <c r="X4" s="598">
        <f t="shared" si="11"/>
        <v>4298944.6817500005</v>
      </c>
      <c r="Y4" s="598">
        <f t="shared" si="11"/>
        <v>4298944.6817500005</v>
      </c>
      <c r="Z4" s="598">
        <f t="shared" si="11"/>
        <v>4298944.6817500005</v>
      </c>
      <c r="AA4" s="598">
        <f t="shared" si="11"/>
        <v>4298944.6817500005</v>
      </c>
      <c r="AB4" s="598">
        <f t="shared" si="11"/>
        <v>4298944.6817500005</v>
      </c>
    </row>
    <row r="5" spans="2:29">
      <c r="B5" s="552"/>
      <c r="H5" s="458"/>
      <c r="AC5" s="457"/>
    </row>
    <row r="6" spans="2:29" s="457" customFormat="1">
      <c r="B6" s="598" t="s">
        <v>2990</v>
      </c>
      <c r="C6" s="608">
        <f>SUM(C7,C12:C16)</f>
        <v>7098149.4300000025</v>
      </c>
      <c r="D6" s="608">
        <f>SUM(D7,D12:D16)</f>
        <v>7406515.4100000029</v>
      </c>
      <c r="E6" s="608">
        <f>SUM(E7,E12:E16)</f>
        <v>7405862.7499999981</v>
      </c>
      <c r="F6" s="608">
        <f>SUM(F7,F12:F16)</f>
        <v>7869579.1000000127</v>
      </c>
      <c r="G6" s="609">
        <f>SUM(G7,G12:G16)</f>
        <v>7081074.3600000013</v>
      </c>
      <c r="H6" s="598">
        <f t="shared" ref="H6:U6" si="12">SUM(H7,H12:H16)</f>
        <v>7530241.7771976292</v>
      </c>
      <c r="I6" s="598">
        <f t="shared" si="12"/>
        <v>7526965.6260955893</v>
      </c>
      <c r="J6" s="598">
        <f t="shared" si="12"/>
        <v>7566725.8726554736</v>
      </c>
      <c r="K6" s="598">
        <f t="shared" si="12"/>
        <v>7631769.7804209124</v>
      </c>
      <c r="L6" s="598">
        <f t="shared" si="12"/>
        <v>7678800.667156456</v>
      </c>
      <c r="M6" s="598">
        <f t="shared" si="12"/>
        <v>7684050.6320378948</v>
      </c>
      <c r="N6" s="598">
        <f t="shared" si="12"/>
        <v>7712599.4046312142</v>
      </c>
      <c r="O6" s="598">
        <f t="shared" si="12"/>
        <v>7764890.7713187356</v>
      </c>
      <c r="P6" s="598">
        <f t="shared" si="12"/>
        <v>7767958.0093864128</v>
      </c>
      <c r="Q6" s="598">
        <f t="shared" si="12"/>
        <v>7776752.5046802424</v>
      </c>
      <c r="R6" s="598">
        <f t="shared" si="12"/>
        <v>7785850.1736510657</v>
      </c>
      <c r="S6" s="598">
        <f t="shared" si="12"/>
        <v>7794466.1874009371</v>
      </c>
      <c r="T6" s="598">
        <f t="shared" si="12"/>
        <v>7802123.710094681</v>
      </c>
      <c r="U6" s="598">
        <f t="shared" si="12"/>
        <v>7809030.5598524828</v>
      </c>
      <c r="V6" s="598">
        <f t="shared" ref="V6" si="13">SUM(V7,V12:V16)</f>
        <v>7809030.5598524828</v>
      </c>
      <c r="W6" s="598">
        <f t="shared" ref="W6" si="14">SUM(W7,W12:W16)</f>
        <v>7809030.5598524828</v>
      </c>
      <c r="X6" s="598">
        <f t="shared" ref="X6" si="15">SUM(X7,X12:X16)</f>
        <v>7809030.5598524828</v>
      </c>
      <c r="Y6" s="598">
        <f t="shared" ref="Y6" si="16">SUM(Y7,Y12:Y16)</f>
        <v>7809030.5598524828</v>
      </c>
      <c r="Z6" s="598">
        <f t="shared" ref="Z6" si="17">SUM(Z7,Z12:Z16)</f>
        <v>7809030.5598524828</v>
      </c>
      <c r="AA6" s="598">
        <f t="shared" ref="AA6" si="18">SUM(AA7,AA12:AA16)</f>
        <v>7809030.5598524828</v>
      </c>
      <c r="AB6" s="598">
        <f t="shared" ref="AB6" si="19">SUM(AB7,AB12:AB16)</f>
        <v>7809030.5598524828</v>
      </c>
    </row>
    <row r="7" spans="2:29" s="457" customFormat="1">
      <c r="B7" s="593" t="s">
        <v>2987</v>
      </c>
      <c r="C7" s="610">
        <f>SUM(C8:C11)</f>
        <v>3935911.08</v>
      </c>
      <c r="D7" s="610">
        <f t="shared" ref="D7:U7" si="20">SUM(D8:D11)</f>
        <v>4160530.45</v>
      </c>
      <c r="E7" s="610">
        <f t="shared" si="20"/>
        <v>4660855.6400000006</v>
      </c>
      <c r="F7" s="610">
        <f t="shared" si="20"/>
        <v>5440074.4000000004</v>
      </c>
      <c r="G7" s="611">
        <f t="shared" si="20"/>
        <v>4076198.0999999996</v>
      </c>
      <c r="H7" s="457">
        <f t="shared" si="20"/>
        <v>4076198.0999999996</v>
      </c>
      <c r="I7" s="457">
        <f t="shared" si="20"/>
        <v>4076198.0999999996</v>
      </c>
      <c r="J7" s="457">
        <f t="shared" si="20"/>
        <v>4076198.0999999996</v>
      </c>
      <c r="K7" s="457">
        <f t="shared" si="20"/>
        <v>4076198.0999999996</v>
      </c>
      <c r="L7" s="457">
        <f t="shared" si="20"/>
        <v>4076198.0999999996</v>
      </c>
      <c r="M7" s="457">
        <f t="shared" si="20"/>
        <v>4076198.0999999996</v>
      </c>
      <c r="N7" s="457">
        <f t="shared" si="20"/>
        <v>4076198.0999999996</v>
      </c>
      <c r="O7" s="457">
        <f t="shared" si="20"/>
        <v>4076198.0999999996</v>
      </c>
      <c r="P7" s="457">
        <f t="shared" si="20"/>
        <v>4076198.0999999996</v>
      </c>
      <c r="Q7" s="457">
        <f t="shared" si="20"/>
        <v>4076198.0999999996</v>
      </c>
      <c r="R7" s="457">
        <f t="shared" si="20"/>
        <v>4076198.0999999996</v>
      </c>
      <c r="S7" s="457">
        <f t="shared" si="20"/>
        <v>4076198.0999999996</v>
      </c>
      <c r="T7" s="457">
        <f t="shared" si="20"/>
        <v>4076198.0999999996</v>
      </c>
      <c r="U7" s="457">
        <f t="shared" si="20"/>
        <v>4076198.0999999996</v>
      </c>
      <c r="V7" s="457">
        <f t="shared" ref="V7:AB7" si="21">SUM(V8:V11)</f>
        <v>4076198.0999999996</v>
      </c>
      <c r="W7" s="457">
        <f t="shared" si="21"/>
        <v>4076198.0999999996</v>
      </c>
      <c r="X7" s="457">
        <f t="shared" si="21"/>
        <v>4076198.0999999996</v>
      </c>
      <c r="Y7" s="457">
        <f t="shared" si="21"/>
        <v>4076198.0999999996</v>
      </c>
      <c r="Z7" s="457">
        <f t="shared" si="21"/>
        <v>4076198.0999999996</v>
      </c>
      <c r="AA7" s="457">
        <f t="shared" si="21"/>
        <v>4076198.0999999996</v>
      </c>
      <c r="AB7" s="457">
        <f t="shared" si="21"/>
        <v>4076198.0999999996</v>
      </c>
    </row>
    <row r="8" spans="2:29">
      <c r="B8" s="594" t="s">
        <v>2988</v>
      </c>
      <c r="C8" s="458">
        <f>Ucto_HK_summ!D438+Ucto_HK_summ!D442</f>
        <v>1223525.56</v>
      </c>
      <c r="D8" s="458">
        <f>Ucto_HK_summ!E438+Ucto_HK_summ!E442</f>
        <v>1331037.25</v>
      </c>
      <c r="E8" s="458">
        <f>Ucto_HK_summ!F438+Ucto_HK_summ!F442</f>
        <v>1490302.4100000001</v>
      </c>
      <c r="F8" s="458">
        <f>Ucto_HK_summ!G438+Ucto_HK_summ!G442</f>
        <v>2329817.64</v>
      </c>
      <c r="G8" s="607">
        <f>Ucto_HK_summ!H438+Ucto_HK_summ!H442</f>
        <v>1273564.75</v>
      </c>
      <c r="H8" s="69">
        <f t="shared" ref="H8:U8" si="22">G8*(1+H61)</f>
        <v>1273564.75</v>
      </c>
      <c r="I8" s="69">
        <f t="shared" si="22"/>
        <v>1273564.75</v>
      </c>
      <c r="J8" s="69">
        <f t="shared" si="22"/>
        <v>1273564.75</v>
      </c>
      <c r="K8" s="69">
        <f t="shared" si="22"/>
        <v>1273564.75</v>
      </c>
      <c r="L8" s="69">
        <f t="shared" si="22"/>
        <v>1273564.75</v>
      </c>
      <c r="M8" s="69">
        <f t="shared" si="22"/>
        <v>1273564.75</v>
      </c>
      <c r="N8" s="69">
        <f t="shared" si="22"/>
        <v>1273564.75</v>
      </c>
      <c r="O8" s="69">
        <f t="shared" si="22"/>
        <v>1273564.75</v>
      </c>
      <c r="P8" s="69">
        <f t="shared" si="22"/>
        <v>1273564.75</v>
      </c>
      <c r="Q8" s="69">
        <f t="shared" si="22"/>
        <v>1273564.75</v>
      </c>
      <c r="R8" s="69">
        <f t="shared" si="22"/>
        <v>1273564.75</v>
      </c>
      <c r="S8" s="69">
        <f t="shared" si="22"/>
        <v>1273564.75</v>
      </c>
      <c r="T8" s="69">
        <f t="shared" si="22"/>
        <v>1273564.75</v>
      </c>
      <c r="U8" s="69">
        <f t="shared" si="22"/>
        <v>1273564.75</v>
      </c>
      <c r="V8" s="69">
        <f t="shared" ref="V8:AB8" si="23">U8*(1+V61)</f>
        <v>1273564.75</v>
      </c>
      <c r="W8" s="69">
        <f t="shared" si="23"/>
        <v>1273564.75</v>
      </c>
      <c r="X8" s="69">
        <f t="shared" si="23"/>
        <v>1273564.75</v>
      </c>
      <c r="Y8" s="69">
        <f t="shared" si="23"/>
        <v>1273564.75</v>
      </c>
      <c r="Z8" s="69">
        <f t="shared" si="23"/>
        <v>1273564.75</v>
      </c>
      <c r="AA8" s="69">
        <f t="shared" si="23"/>
        <v>1273564.75</v>
      </c>
      <c r="AB8" s="69">
        <f t="shared" si="23"/>
        <v>1273564.75</v>
      </c>
      <c r="AC8" s="457"/>
    </row>
    <row r="9" spans="2:29">
      <c r="B9" s="594" t="s">
        <v>1891</v>
      </c>
      <c r="C9" s="458">
        <f>Ucto_HK_summ!D439+Ucto_HK_summ!D443</f>
        <v>1104214.27</v>
      </c>
      <c r="D9" s="458">
        <f>Ucto_HK_summ!E439+Ucto_HK_summ!E443</f>
        <v>1147790.0899999999</v>
      </c>
      <c r="E9" s="458">
        <f>Ucto_HK_summ!F439+Ucto_HK_summ!F443</f>
        <v>1385207.22</v>
      </c>
      <c r="F9" s="458">
        <f>Ucto_HK_summ!G439+Ucto_HK_summ!G443</f>
        <v>1283938.1600000001</v>
      </c>
      <c r="G9" s="607">
        <f>Ucto_HK_summ!H439+Ucto_HK_summ!H443</f>
        <v>747556.32</v>
      </c>
      <c r="H9" s="69">
        <f t="shared" ref="H9:U9" si="24">G9*(1+H62)</f>
        <v>747556.32</v>
      </c>
      <c r="I9" s="69">
        <f t="shared" si="24"/>
        <v>747556.32</v>
      </c>
      <c r="J9" s="69">
        <f t="shared" si="24"/>
        <v>747556.32</v>
      </c>
      <c r="K9" s="69">
        <f t="shared" si="24"/>
        <v>747556.32</v>
      </c>
      <c r="L9" s="69">
        <f t="shared" si="24"/>
        <v>747556.32</v>
      </c>
      <c r="M9" s="69">
        <f t="shared" si="24"/>
        <v>747556.32</v>
      </c>
      <c r="N9" s="69">
        <f t="shared" si="24"/>
        <v>747556.32</v>
      </c>
      <c r="O9" s="69">
        <f t="shared" si="24"/>
        <v>747556.32</v>
      </c>
      <c r="P9" s="69">
        <f t="shared" si="24"/>
        <v>747556.32</v>
      </c>
      <c r="Q9" s="69">
        <f t="shared" si="24"/>
        <v>747556.32</v>
      </c>
      <c r="R9" s="69">
        <f t="shared" si="24"/>
        <v>747556.32</v>
      </c>
      <c r="S9" s="69">
        <f t="shared" si="24"/>
        <v>747556.32</v>
      </c>
      <c r="T9" s="69">
        <f t="shared" si="24"/>
        <v>747556.32</v>
      </c>
      <c r="U9" s="69">
        <f t="shared" si="24"/>
        <v>747556.32</v>
      </c>
      <c r="V9" s="69">
        <f t="shared" ref="V9:AB9" si="25">U9*(1+V62)</f>
        <v>747556.32</v>
      </c>
      <c r="W9" s="69">
        <f t="shared" si="25"/>
        <v>747556.32</v>
      </c>
      <c r="X9" s="69">
        <f t="shared" si="25"/>
        <v>747556.32</v>
      </c>
      <c r="Y9" s="69">
        <f t="shared" si="25"/>
        <v>747556.32</v>
      </c>
      <c r="Z9" s="69">
        <f t="shared" si="25"/>
        <v>747556.32</v>
      </c>
      <c r="AA9" s="69">
        <f t="shared" si="25"/>
        <v>747556.32</v>
      </c>
      <c r="AB9" s="69">
        <f t="shared" si="25"/>
        <v>747556.32</v>
      </c>
      <c r="AC9" s="457"/>
    </row>
    <row r="10" spans="2:29">
      <c r="B10" s="594" t="s">
        <v>1893</v>
      </c>
      <c r="C10" s="458">
        <f>Ucto_HK_summ!D440+Ucto_HK_summ!D444</f>
        <v>411657.64</v>
      </c>
      <c r="D10" s="458">
        <f>Ucto_HK_summ!E440+Ucto_HK_summ!E444</f>
        <v>417616.24</v>
      </c>
      <c r="E10" s="458">
        <f>Ucto_HK_summ!F440+Ucto_HK_summ!F444</f>
        <v>373076.81</v>
      </c>
      <c r="F10" s="458">
        <f>Ucto_HK_summ!G440+Ucto_HK_summ!G444</f>
        <v>344647.32</v>
      </c>
      <c r="G10" s="607">
        <f>Ucto_HK_summ!H440+Ucto_HK_summ!H444</f>
        <v>351139.4</v>
      </c>
      <c r="H10" s="69">
        <f t="shared" ref="H10:U10" si="26">G10*(1+H63)</f>
        <v>351139.4</v>
      </c>
      <c r="I10" s="69">
        <f t="shared" si="26"/>
        <v>351139.4</v>
      </c>
      <c r="J10" s="69">
        <f t="shared" si="26"/>
        <v>351139.4</v>
      </c>
      <c r="K10" s="69">
        <f t="shared" si="26"/>
        <v>351139.4</v>
      </c>
      <c r="L10" s="69">
        <f t="shared" si="26"/>
        <v>351139.4</v>
      </c>
      <c r="M10" s="69">
        <f t="shared" si="26"/>
        <v>351139.4</v>
      </c>
      <c r="N10" s="69">
        <f t="shared" si="26"/>
        <v>351139.4</v>
      </c>
      <c r="O10" s="69">
        <f t="shared" si="26"/>
        <v>351139.4</v>
      </c>
      <c r="P10" s="69">
        <f t="shared" si="26"/>
        <v>351139.4</v>
      </c>
      <c r="Q10" s="69">
        <f t="shared" si="26"/>
        <v>351139.4</v>
      </c>
      <c r="R10" s="69">
        <f t="shared" si="26"/>
        <v>351139.4</v>
      </c>
      <c r="S10" s="69">
        <f t="shared" si="26"/>
        <v>351139.4</v>
      </c>
      <c r="T10" s="69">
        <f t="shared" si="26"/>
        <v>351139.4</v>
      </c>
      <c r="U10" s="69">
        <f t="shared" si="26"/>
        <v>351139.4</v>
      </c>
      <c r="V10" s="69">
        <f t="shared" ref="V10:AB10" si="27">U10*(1+V63)</f>
        <v>351139.4</v>
      </c>
      <c r="W10" s="69">
        <f t="shared" si="27"/>
        <v>351139.4</v>
      </c>
      <c r="X10" s="69">
        <f t="shared" si="27"/>
        <v>351139.4</v>
      </c>
      <c r="Y10" s="69">
        <f t="shared" si="27"/>
        <v>351139.4</v>
      </c>
      <c r="Z10" s="69">
        <f t="shared" si="27"/>
        <v>351139.4</v>
      </c>
      <c r="AA10" s="69">
        <f t="shared" si="27"/>
        <v>351139.4</v>
      </c>
      <c r="AB10" s="69">
        <f t="shared" si="27"/>
        <v>351139.4</v>
      </c>
      <c r="AC10" s="457"/>
    </row>
    <row r="11" spans="2:29">
      <c r="B11" s="672" t="s">
        <v>2989</v>
      </c>
      <c r="C11" s="673">
        <f>Ucto_HK_summ!D441+Ucto_HK_summ!D445</f>
        <v>1196513.6100000001</v>
      </c>
      <c r="D11" s="673">
        <f>Ucto_HK_summ!E441+Ucto_HK_summ!E445</f>
        <v>1264086.8699999999</v>
      </c>
      <c r="E11" s="673">
        <f>Ucto_HK_summ!F441+Ucto_HK_summ!F445</f>
        <v>1412269.2000000002</v>
      </c>
      <c r="F11" s="673">
        <f>Ucto_HK_summ!G441+Ucto_HK_summ!G445</f>
        <v>1481671.2799999998</v>
      </c>
      <c r="G11" s="674">
        <f>Ucto_HK_summ!H441+Ucto_HK_summ!H445</f>
        <v>1703937.63</v>
      </c>
      <c r="H11" s="675">
        <f t="shared" ref="H11:U11" si="28">G11*(1+H64)</f>
        <v>1703937.63</v>
      </c>
      <c r="I11" s="675">
        <f t="shared" si="28"/>
        <v>1703937.63</v>
      </c>
      <c r="J11" s="675">
        <f t="shared" si="28"/>
        <v>1703937.63</v>
      </c>
      <c r="K11" s="675">
        <f t="shared" si="28"/>
        <v>1703937.63</v>
      </c>
      <c r="L11" s="675">
        <f t="shared" si="28"/>
        <v>1703937.63</v>
      </c>
      <c r="M11" s="675">
        <f t="shared" si="28"/>
        <v>1703937.63</v>
      </c>
      <c r="N11" s="675">
        <f t="shared" si="28"/>
        <v>1703937.63</v>
      </c>
      <c r="O11" s="675">
        <f t="shared" si="28"/>
        <v>1703937.63</v>
      </c>
      <c r="P11" s="675">
        <f t="shared" si="28"/>
        <v>1703937.63</v>
      </c>
      <c r="Q11" s="675">
        <f t="shared" si="28"/>
        <v>1703937.63</v>
      </c>
      <c r="R11" s="675">
        <f t="shared" si="28"/>
        <v>1703937.63</v>
      </c>
      <c r="S11" s="675">
        <f t="shared" si="28"/>
        <v>1703937.63</v>
      </c>
      <c r="T11" s="675">
        <f t="shared" si="28"/>
        <v>1703937.63</v>
      </c>
      <c r="U11" s="675">
        <f t="shared" si="28"/>
        <v>1703937.63</v>
      </c>
      <c r="V11" s="675">
        <f t="shared" ref="V11:AB11" si="29">U11*(1+V64)</f>
        <v>1703937.63</v>
      </c>
      <c r="W11" s="675">
        <f t="shared" si="29"/>
        <v>1703937.63</v>
      </c>
      <c r="X11" s="675">
        <f t="shared" si="29"/>
        <v>1703937.63</v>
      </c>
      <c r="Y11" s="675">
        <f t="shared" si="29"/>
        <v>1703937.63</v>
      </c>
      <c r="Z11" s="675">
        <f t="shared" si="29"/>
        <v>1703937.63</v>
      </c>
      <c r="AA11" s="675">
        <f t="shared" si="29"/>
        <v>1703937.63</v>
      </c>
      <c r="AB11" s="675">
        <f t="shared" si="29"/>
        <v>1703937.63</v>
      </c>
      <c r="AC11" s="457"/>
    </row>
    <row r="12" spans="2:29">
      <c r="B12" s="676" t="s">
        <v>3005</v>
      </c>
      <c r="C12" s="458">
        <f>SUM(Ucto_HK_summ!D396:D397)</f>
        <v>704506.29</v>
      </c>
      <c r="D12" s="458">
        <f>SUM(Ucto_HK_summ!E396:E397)</f>
        <v>676907.91999999993</v>
      </c>
      <c r="E12" s="458">
        <f>SUM(Ucto_HK_summ!F396:F397)</f>
        <v>679180.33</v>
      </c>
      <c r="F12" s="458">
        <f>SUM(Ucto_HK_summ!G396:G397)</f>
        <v>605337.79</v>
      </c>
      <c r="G12" s="607">
        <f>SUM(Ucto_HK_summ!H396:H397)</f>
        <v>618281.62</v>
      </c>
      <c r="H12" s="69">
        <f>'Revenues"A"'!H81*H65</f>
        <v>830881.56787702255</v>
      </c>
      <c r="I12" s="69">
        <f>'Revenues"A"'!I81*I65</f>
        <v>829759.71601975476</v>
      </c>
      <c r="J12" s="69">
        <f>'Revenues"A"'!J81*J65</f>
        <v>861362.18209653883</v>
      </c>
      <c r="K12" s="69">
        <f>'Revenues"A"'!K81*K65</f>
        <v>917565.05023920012</v>
      </c>
      <c r="L12" s="69">
        <f>'Revenues"A"'!L81*L65</f>
        <v>960408.55434077443</v>
      </c>
      <c r="M12" s="69">
        <f>'Revenues"A"'!M81*M65</f>
        <v>971105.07516554266</v>
      </c>
      <c r="N12" s="69">
        <f>'Revenues"A"'!N81*N65</f>
        <v>1003661.3696515021</v>
      </c>
      <c r="O12" s="69">
        <f>'Revenues"A"'!O81*O65</f>
        <v>1051328.9911001297</v>
      </c>
      <c r="P12" s="69">
        <f>'Revenues"A"'!P81*P65</f>
        <v>1060334.360827002</v>
      </c>
      <c r="Q12" s="69">
        <f>'Revenues"A"'!Q81*Q65</f>
        <v>1068677.7434041235</v>
      </c>
      <c r="R12" s="69">
        <f>'Revenues"A"'!R81*R65</f>
        <v>1077259.0329261336</v>
      </c>
      <c r="S12" s="69">
        <f>'Revenues"A"'!S81*S65</f>
        <v>1085454.6466627375</v>
      </c>
      <c r="T12" s="69">
        <f>'Revenues"A"'!T81*T65</f>
        <v>1092883.254781673</v>
      </c>
      <c r="U12" s="69">
        <f>'Revenues"A"'!U81*U65</f>
        <v>1099707.7725886982</v>
      </c>
      <c r="V12" s="69">
        <f>'Revenues"A"'!V81*V65</f>
        <v>1099707.7725886982</v>
      </c>
      <c r="W12" s="69">
        <f>'Revenues"A"'!W81*W65</f>
        <v>1099707.7725886982</v>
      </c>
      <c r="X12" s="69">
        <f>'Revenues"A"'!X81*X65</f>
        <v>1099707.7725886982</v>
      </c>
      <c r="Y12" s="69">
        <f>'Revenues"A"'!Y81*Y65</f>
        <v>1099707.7725886982</v>
      </c>
      <c r="Z12" s="69">
        <f>'Revenues"A"'!Z81*Z65</f>
        <v>1099707.7725886982</v>
      </c>
      <c r="AA12" s="69">
        <f>'Revenues"A"'!AA81*AA65</f>
        <v>1099707.7725886982</v>
      </c>
      <c r="AB12" s="69">
        <f>'Revenues"A"'!AB81*AB65</f>
        <v>1099707.7725886982</v>
      </c>
      <c r="AC12" s="457"/>
    </row>
    <row r="13" spans="2:29">
      <c r="B13" s="676" t="s">
        <v>3007</v>
      </c>
      <c r="C13" s="458">
        <f>SUM(Ucto_HK_summ!D398:D402)</f>
        <v>235325.39</v>
      </c>
      <c r="D13" s="458">
        <f>SUM(Ucto_HK_summ!E398:E402)</f>
        <v>230619.26</v>
      </c>
      <c r="E13" s="458">
        <f>SUM(Ucto_HK_summ!F398:F402)</f>
        <v>238361.66</v>
      </c>
      <c r="F13" s="458">
        <f>SUM(Ucto_HK_summ!G398:G402)</f>
        <v>175927.96000000002</v>
      </c>
      <c r="G13" s="607">
        <f>SUM(Ucto_HK_summ!H398:H402)</f>
        <v>274713.75999999995</v>
      </c>
      <c r="H13" s="69">
        <f>H67*'PL"A"'!I18</f>
        <v>346878.94082060352</v>
      </c>
      <c r="I13" s="69">
        <f>I67*'PL"A"'!J18</f>
        <v>344724.64157583175</v>
      </c>
      <c r="J13" s="69">
        <f>J67*'PL"A"'!K18</f>
        <v>352882.4220589319</v>
      </c>
      <c r="K13" s="69">
        <f>K67*'PL"A"'!L18</f>
        <v>361723.46168170951</v>
      </c>
      <c r="L13" s="69">
        <f>L67*'PL"A"'!M18</f>
        <v>365910.84431567998</v>
      </c>
      <c r="M13" s="69">
        <f>M67*'PL"A"'!N18</f>
        <v>360464.28837235039</v>
      </c>
      <c r="N13" s="69">
        <f>N67*'PL"A"'!O18</f>
        <v>356456.76647971012</v>
      </c>
      <c r="O13" s="69">
        <f>O67*'PL"A"'!P18</f>
        <v>361080.51171860407</v>
      </c>
      <c r="P13" s="69">
        <f>P67*'PL"A"'!Q18</f>
        <v>355142.38005940866</v>
      </c>
      <c r="Q13" s="69">
        <f>Q67*'PL"A"'!R18</f>
        <v>355593.49277611566</v>
      </c>
      <c r="R13" s="69">
        <f>R67*'PL"A"'!S18</f>
        <v>356109.87222492869</v>
      </c>
      <c r="S13" s="69">
        <f>S67*'PL"A"'!T18</f>
        <v>356530.27223819762</v>
      </c>
      <c r="T13" s="69">
        <f>T67*'PL"A"'!U18</f>
        <v>356759.18681300624</v>
      </c>
      <c r="U13" s="69">
        <f>U67*'PL"A"'!V18</f>
        <v>356841.51876378118</v>
      </c>
      <c r="V13" s="69">
        <f>V67*'PL"A"'!W18</f>
        <v>356841.51876378118</v>
      </c>
      <c r="W13" s="69">
        <f>W67*'PL"A"'!X18</f>
        <v>356841.51876378118</v>
      </c>
      <c r="X13" s="69">
        <f>X67*'PL"A"'!Y18</f>
        <v>356841.51876378118</v>
      </c>
      <c r="Y13" s="69">
        <f>Y67*'PL"A"'!Z18</f>
        <v>356841.51876378118</v>
      </c>
      <c r="Z13" s="69">
        <f>Z67*'PL"A"'!AA18</f>
        <v>356841.51876378118</v>
      </c>
      <c r="AA13" s="69">
        <f>AA67*'PL"A"'!AB18</f>
        <v>356841.51876378118</v>
      </c>
      <c r="AB13" s="69">
        <f>AB67*'PL"A"'!AC18</f>
        <v>356841.51876378118</v>
      </c>
      <c r="AC13" s="457"/>
    </row>
    <row r="14" spans="2:29">
      <c r="B14" s="676" t="s">
        <v>3010</v>
      </c>
      <c r="C14" s="458">
        <f>Ucto_HK_summ!D415+Ucto_HK_summ!D424+Ucto_HK_summ!D417</f>
        <v>1708737.5999999999</v>
      </c>
      <c r="D14" s="458">
        <f>Ucto_HK_summ!E415+Ucto_HK_summ!E424+Ucto_HK_summ!E417</f>
        <v>1817334.35</v>
      </c>
      <c r="E14" s="458">
        <f>Ucto_HK_summ!F415+Ucto_HK_summ!F424+Ucto_HK_summ!F417</f>
        <v>1142633.3599999999</v>
      </c>
      <c r="F14" s="458">
        <f>Ucto_HK_summ!G415+Ucto_HK_summ!G424+Ucto_HK_summ!G417</f>
        <v>864677.59</v>
      </c>
      <c r="G14" s="607">
        <f>Ucto_HK_summ!H415+Ucto_HK_summ!H424+Ucto_HK_summ!H417</f>
        <v>1042303.5</v>
      </c>
      <c r="H14" s="69">
        <f t="shared" ref="H14:U14" si="30">G14*(1+H68)</f>
        <v>1146533.8500000001</v>
      </c>
      <c r="I14" s="69">
        <f t="shared" si="30"/>
        <v>1146533.8500000001</v>
      </c>
      <c r="J14" s="69">
        <f t="shared" si="30"/>
        <v>1146533.8500000001</v>
      </c>
      <c r="K14" s="69">
        <f t="shared" si="30"/>
        <v>1146533.8500000001</v>
      </c>
      <c r="L14" s="69">
        <f t="shared" si="30"/>
        <v>1146533.8500000001</v>
      </c>
      <c r="M14" s="69">
        <f t="shared" si="30"/>
        <v>1146533.8500000001</v>
      </c>
      <c r="N14" s="69">
        <f t="shared" si="30"/>
        <v>1146533.8500000001</v>
      </c>
      <c r="O14" s="69">
        <f t="shared" si="30"/>
        <v>1146533.8500000001</v>
      </c>
      <c r="P14" s="69">
        <f t="shared" si="30"/>
        <v>1146533.8500000001</v>
      </c>
      <c r="Q14" s="69">
        <f t="shared" si="30"/>
        <v>1146533.8500000001</v>
      </c>
      <c r="R14" s="69">
        <f t="shared" si="30"/>
        <v>1146533.8500000001</v>
      </c>
      <c r="S14" s="69">
        <f t="shared" si="30"/>
        <v>1146533.8500000001</v>
      </c>
      <c r="T14" s="69">
        <f t="shared" si="30"/>
        <v>1146533.8500000001</v>
      </c>
      <c r="U14" s="69">
        <f t="shared" si="30"/>
        <v>1146533.8500000001</v>
      </c>
      <c r="V14" s="69">
        <f t="shared" ref="V14:AB14" si="31">U14*(1+V68)</f>
        <v>1146533.8500000001</v>
      </c>
      <c r="W14" s="69">
        <f t="shared" si="31"/>
        <v>1146533.8500000001</v>
      </c>
      <c r="X14" s="69">
        <f t="shared" si="31"/>
        <v>1146533.8500000001</v>
      </c>
      <c r="Y14" s="69">
        <f t="shared" si="31"/>
        <v>1146533.8500000001</v>
      </c>
      <c r="Z14" s="69">
        <f t="shared" si="31"/>
        <v>1146533.8500000001</v>
      </c>
      <c r="AA14" s="69">
        <f t="shared" si="31"/>
        <v>1146533.8500000001</v>
      </c>
      <c r="AB14" s="69">
        <f t="shared" si="31"/>
        <v>1146533.8500000001</v>
      </c>
      <c r="AC14" s="457"/>
    </row>
    <row r="15" spans="2:29">
      <c r="B15" s="676" t="s">
        <v>3008</v>
      </c>
      <c r="C15" s="458">
        <f>SUM(Ucto_HK_summ!D430:D436)</f>
        <v>209187.05</v>
      </c>
      <c r="D15" s="458">
        <f>SUM(Ucto_HK_summ!E430:E436)</f>
        <v>214246.94</v>
      </c>
      <c r="E15" s="458">
        <f>SUM(Ucto_HK_summ!F430:F436)</f>
        <v>230244.18</v>
      </c>
      <c r="F15" s="458">
        <f>SUM(Ucto_HK_summ!G430:G436)</f>
        <v>88256.420000000013</v>
      </c>
      <c r="G15" s="607">
        <f>SUM(Ucto_HK_summ!H430:H436)</f>
        <v>133861.39000000001</v>
      </c>
      <c r="H15" s="69">
        <f t="shared" ref="H15:U15" si="32">G15*(1+H69)</f>
        <v>147247.52900000004</v>
      </c>
      <c r="I15" s="69">
        <f t="shared" si="32"/>
        <v>147247.52900000004</v>
      </c>
      <c r="J15" s="69">
        <f t="shared" si="32"/>
        <v>147247.52900000004</v>
      </c>
      <c r="K15" s="69">
        <f t="shared" si="32"/>
        <v>147247.52900000004</v>
      </c>
      <c r="L15" s="69">
        <f t="shared" si="32"/>
        <v>147247.52900000004</v>
      </c>
      <c r="M15" s="69">
        <f t="shared" si="32"/>
        <v>147247.52900000004</v>
      </c>
      <c r="N15" s="69">
        <f t="shared" si="32"/>
        <v>147247.52900000004</v>
      </c>
      <c r="O15" s="69">
        <f t="shared" si="32"/>
        <v>147247.52900000004</v>
      </c>
      <c r="P15" s="69">
        <f t="shared" si="32"/>
        <v>147247.52900000004</v>
      </c>
      <c r="Q15" s="69">
        <f t="shared" si="32"/>
        <v>147247.52900000004</v>
      </c>
      <c r="R15" s="69">
        <f t="shared" si="32"/>
        <v>147247.52900000004</v>
      </c>
      <c r="S15" s="69">
        <f t="shared" si="32"/>
        <v>147247.52900000004</v>
      </c>
      <c r="T15" s="69">
        <f t="shared" si="32"/>
        <v>147247.52900000004</v>
      </c>
      <c r="U15" s="69">
        <f t="shared" si="32"/>
        <v>147247.52900000004</v>
      </c>
      <c r="V15" s="69">
        <f t="shared" ref="V15:AB15" si="33">U15*(1+V69)</f>
        <v>147247.52900000004</v>
      </c>
      <c r="W15" s="69">
        <f t="shared" si="33"/>
        <v>147247.52900000004</v>
      </c>
      <c r="X15" s="69">
        <f t="shared" si="33"/>
        <v>147247.52900000004</v>
      </c>
      <c r="Y15" s="69">
        <f t="shared" si="33"/>
        <v>147247.52900000004</v>
      </c>
      <c r="Z15" s="69">
        <f t="shared" si="33"/>
        <v>147247.52900000004</v>
      </c>
      <c r="AA15" s="69">
        <f t="shared" si="33"/>
        <v>147247.52900000004</v>
      </c>
      <c r="AB15" s="69">
        <f t="shared" si="33"/>
        <v>147247.52900000004</v>
      </c>
      <c r="AC15" s="457"/>
    </row>
    <row r="16" spans="2:29">
      <c r="B16" s="676" t="s">
        <v>3011</v>
      </c>
      <c r="C16" s="458">
        <f>Ucto_HK_summ!D437+Ucto_HK_summ!D446-C7-SUM(C12:C15)-C17</f>
        <v>304482.02000000328</v>
      </c>
      <c r="D16" s="458">
        <f>Ucto_HK_summ!E437+Ucto_HK_summ!E446-D7-SUM(D12:D15)-D17</f>
        <v>306876.49000000209</v>
      </c>
      <c r="E16" s="458">
        <f>Ucto_HK_summ!F437+Ucto_HK_summ!F446-E7-SUM(E12:E15)-E17</f>
        <v>454587.57999999821</v>
      </c>
      <c r="F16" s="458">
        <f>Ucto_HK_summ!G437+Ucto_HK_summ!G446-F7-SUM(F12:F15)-F17</f>
        <v>695304.94000001252</v>
      </c>
      <c r="G16" s="607">
        <f>Ucto_HK_summ!H437+Ucto_HK_summ!H446-G7-SUM(G12:G15)-G17</f>
        <v>935715.99000000209</v>
      </c>
      <c r="H16" s="69">
        <f t="shared" ref="H16:U16" si="34">G16*(1+H70)</f>
        <v>982501.78950000228</v>
      </c>
      <c r="I16" s="69">
        <f t="shared" si="34"/>
        <v>982501.78950000228</v>
      </c>
      <c r="J16" s="69">
        <f t="shared" si="34"/>
        <v>982501.78950000228</v>
      </c>
      <c r="K16" s="69">
        <f t="shared" si="34"/>
        <v>982501.78950000228</v>
      </c>
      <c r="L16" s="69">
        <f t="shared" si="34"/>
        <v>982501.78950000228</v>
      </c>
      <c r="M16" s="69">
        <f t="shared" si="34"/>
        <v>982501.78950000228</v>
      </c>
      <c r="N16" s="69">
        <f t="shared" si="34"/>
        <v>982501.78950000228</v>
      </c>
      <c r="O16" s="69">
        <f t="shared" si="34"/>
        <v>982501.78950000228</v>
      </c>
      <c r="P16" s="69">
        <f t="shared" si="34"/>
        <v>982501.78950000228</v>
      </c>
      <c r="Q16" s="69">
        <f t="shared" si="34"/>
        <v>982501.78950000228</v>
      </c>
      <c r="R16" s="69">
        <f t="shared" si="34"/>
        <v>982501.78950000228</v>
      </c>
      <c r="S16" s="69">
        <f t="shared" si="34"/>
        <v>982501.78950000228</v>
      </c>
      <c r="T16" s="69">
        <f t="shared" si="34"/>
        <v>982501.78950000228</v>
      </c>
      <c r="U16" s="69">
        <f t="shared" si="34"/>
        <v>982501.78950000228</v>
      </c>
      <c r="V16" s="69">
        <f t="shared" ref="V16:AB16" si="35">U16*(1+V70)</f>
        <v>982501.78950000228</v>
      </c>
      <c r="W16" s="69">
        <f t="shared" si="35"/>
        <v>982501.78950000228</v>
      </c>
      <c r="X16" s="69">
        <f t="shared" si="35"/>
        <v>982501.78950000228</v>
      </c>
      <c r="Y16" s="69">
        <f t="shared" si="35"/>
        <v>982501.78950000228</v>
      </c>
      <c r="Z16" s="69">
        <f t="shared" si="35"/>
        <v>982501.78950000228</v>
      </c>
      <c r="AA16" s="69">
        <f t="shared" si="35"/>
        <v>982501.78950000228</v>
      </c>
      <c r="AB16" s="69">
        <f t="shared" si="35"/>
        <v>982501.78950000228</v>
      </c>
      <c r="AC16" s="457"/>
    </row>
    <row r="17" spans="2:29" s="457" customFormat="1">
      <c r="B17" s="598" t="s">
        <v>2991</v>
      </c>
      <c r="C17" s="608">
        <f>SUM(C18:C19,C23,C26,C31:C34)</f>
        <v>30102723.740000002</v>
      </c>
      <c r="D17" s="608">
        <f t="shared" ref="D17:F17" si="36">SUM(D18:D19,D23,D26,D31:D34)</f>
        <v>32431096.609999999</v>
      </c>
      <c r="E17" s="608">
        <f t="shared" si="36"/>
        <v>39705431.020000003</v>
      </c>
      <c r="F17" s="608">
        <f t="shared" si="36"/>
        <v>41835715.719999991</v>
      </c>
      <c r="G17" s="608">
        <f>SUM(G18:G19,G23,G26,G31:G34)</f>
        <v>49284537.769999996</v>
      </c>
      <c r="H17" s="598">
        <f t="shared" ref="H17:U17" si="37">SUM(H18:H19,H23,H26,H31:H34)</f>
        <v>52674601.637028687</v>
      </c>
      <c r="I17" s="598">
        <f t="shared" si="37"/>
        <v>52297239.567210466</v>
      </c>
      <c r="J17" s="598">
        <f t="shared" si="37"/>
        <v>53722745.342728734</v>
      </c>
      <c r="K17" s="598">
        <f t="shared" si="37"/>
        <v>56472076.048064686</v>
      </c>
      <c r="L17" s="598">
        <f t="shared" si="37"/>
        <v>58463047.988539644</v>
      </c>
      <c r="M17" s="598">
        <f t="shared" si="37"/>
        <v>58699729.114274628</v>
      </c>
      <c r="N17" s="598">
        <f t="shared" si="37"/>
        <v>60103827.351531208</v>
      </c>
      <c r="O17" s="598">
        <f t="shared" si="37"/>
        <v>62294559.229894646</v>
      </c>
      <c r="P17" s="598">
        <f t="shared" si="37"/>
        <v>61450675.674660601</v>
      </c>
      <c r="Q17" s="598">
        <f t="shared" si="37"/>
        <v>61540482.902788088</v>
      </c>
      <c r="R17" s="598">
        <f t="shared" si="37"/>
        <v>61643308.066726148</v>
      </c>
      <c r="S17" s="598">
        <f t="shared" si="37"/>
        <v>61726984.541411676</v>
      </c>
      <c r="T17" s="598">
        <f t="shared" si="37"/>
        <v>61772460.383763313</v>
      </c>
      <c r="U17" s="598">
        <f t="shared" si="37"/>
        <v>61788693.419709355</v>
      </c>
      <c r="V17" s="598">
        <f t="shared" ref="V17" si="38">SUM(V18:V19,V23,V26,V31:V34)</f>
        <v>61788693.419709355</v>
      </c>
      <c r="W17" s="598">
        <f t="shared" ref="W17" si="39">SUM(W18:W19,W23,W26,W31:W34)</f>
        <v>61788693.419709355</v>
      </c>
      <c r="X17" s="598">
        <f t="shared" ref="X17" si="40">SUM(X18:X19,X23,X26,X31:X34)</f>
        <v>61788693.419709355</v>
      </c>
      <c r="Y17" s="598">
        <f t="shared" ref="Y17" si="41">SUM(Y18:Y19,Y23,Y26,Y31:Y34)</f>
        <v>61788693.419709355</v>
      </c>
      <c r="Z17" s="598">
        <f t="shared" ref="Z17" si="42">SUM(Z18:Z19,Z23,Z26,Z31:Z34)</f>
        <v>61788693.419709355</v>
      </c>
      <c r="AA17" s="598">
        <f t="shared" ref="AA17" si="43">SUM(AA18:AA19,AA23,AA26,AA31:AA34)</f>
        <v>61788693.419709355</v>
      </c>
      <c r="AB17" s="598">
        <f t="shared" ref="AB17" si="44">SUM(AB18:AB19,AB23,AB26,AB31:AB34)</f>
        <v>61788693.419709355</v>
      </c>
    </row>
    <row r="18" spans="2:29" s="552" customFormat="1">
      <c r="B18" s="552" t="s">
        <v>1292</v>
      </c>
      <c r="C18" s="458">
        <f>Ucto_HK_summ!D375</f>
        <v>2082687.56</v>
      </c>
      <c r="D18" s="458">
        <f>Ucto_HK_summ!E375</f>
        <v>2286266.9300000002</v>
      </c>
      <c r="E18" s="458">
        <f>Ucto_HK_summ!F375</f>
        <v>2334448.7999999998</v>
      </c>
      <c r="F18" s="458">
        <f>Ucto_HK_summ!G375</f>
        <v>1843687.9</v>
      </c>
      <c r="G18" s="607">
        <f>Ucto_HK_summ!H375</f>
        <v>2001749.67</v>
      </c>
      <c r="H18" s="552">
        <f>H71*'Revenues"A"'!H56</f>
        <v>2116159.5754814073</v>
      </c>
      <c r="I18" s="552">
        <f>I71*'Revenues"A"'!I56</f>
        <v>2094464.587298804</v>
      </c>
      <c r="J18" s="552">
        <f>J71*'Revenues"A"'!J56</f>
        <v>2154980.4665613854</v>
      </c>
      <c r="K18" s="552">
        <f>K71*'Revenues"A"'!K56</f>
        <v>2275391.939119386</v>
      </c>
      <c r="L18" s="552">
        <f>L71*'Revenues"A"'!L56</f>
        <v>2360813.1981207961</v>
      </c>
      <c r="M18" s="552">
        <f>M71*'Revenues"A"'!M56</f>
        <v>2366366.5356224375</v>
      </c>
      <c r="N18" s="552">
        <f>N71*'Revenues"A"'!N56</f>
        <v>2424580.5956813931</v>
      </c>
      <c r="O18" s="552">
        <f>O71*'Revenues"A"'!O56</f>
        <v>2517935.6949507394</v>
      </c>
      <c r="P18" s="552">
        <f>P71*'Revenues"A"'!P56</f>
        <v>2517838.5673169848</v>
      </c>
      <c r="Q18" s="552">
        <f>Q71*'Revenues"A"'!Q56</f>
        <v>2516128.799597688</v>
      </c>
      <c r="R18" s="552">
        <f>R71*'Revenues"A"'!R56</f>
        <v>2514947.0707903593</v>
      </c>
      <c r="S18" s="552">
        <f>S71*'Revenues"A"'!S56</f>
        <v>2512835.607491421</v>
      </c>
      <c r="T18" s="552">
        <f>T71*'Revenues"A"'!T56</f>
        <v>2508941.2955281925</v>
      </c>
      <c r="U18" s="552">
        <f>U71*'Revenues"A"'!U56</f>
        <v>2503678.4864687934</v>
      </c>
      <c r="V18" s="552">
        <f>V71*'Revenues"A"'!V56</f>
        <v>2503678.4864687934</v>
      </c>
      <c r="W18" s="552">
        <f>W71*'Revenues"A"'!W56</f>
        <v>2503678.4864687934</v>
      </c>
      <c r="X18" s="552">
        <f>X71*'Revenues"A"'!X56</f>
        <v>2503678.4864687934</v>
      </c>
      <c r="Y18" s="552">
        <f>Y71*'Revenues"A"'!Y56</f>
        <v>2503678.4864687934</v>
      </c>
      <c r="Z18" s="552">
        <f>Z71*'Revenues"A"'!Z56</f>
        <v>2503678.4864687934</v>
      </c>
      <c r="AA18" s="552">
        <f>AA71*'Revenues"A"'!AA56</f>
        <v>2503678.4864687934</v>
      </c>
      <c r="AB18" s="552">
        <f>AB71*'Revenues"A"'!AB56</f>
        <v>2503678.4864687934</v>
      </c>
      <c r="AC18" s="457"/>
    </row>
    <row r="19" spans="2:29" s="552" customFormat="1">
      <c r="B19" s="552" t="s">
        <v>3012</v>
      </c>
      <c r="C19" s="458">
        <f>SUM(C20:C22)</f>
        <v>6029654.6799999997</v>
      </c>
      <c r="D19" s="458">
        <f t="shared" ref="D19:G19" si="45">SUM(D20:D22)</f>
        <v>6166948.1600000001</v>
      </c>
      <c r="E19" s="458">
        <f t="shared" si="45"/>
        <v>9186260.8900000006</v>
      </c>
      <c r="F19" s="458">
        <f t="shared" si="45"/>
        <v>12488631.129999999</v>
      </c>
      <c r="G19" s="607">
        <f t="shared" si="45"/>
        <v>14104253.310000001</v>
      </c>
      <c r="H19" s="552">
        <f>H73*('Revenues"A"'!H10+'Revenues"A"'!H14)</f>
        <v>14267195.663728261</v>
      </c>
      <c r="I19" s="552">
        <f>I73*('Revenues"A"'!I10+'Revenues"A"'!I14)</f>
        <v>14201342.281571938</v>
      </c>
      <c r="J19" s="552">
        <f>J73*('Revenues"A"'!J10+'Revenues"A"'!J14)</f>
        <v>14695351.047615737</v>
      </c>
      <c r="K19" s="552">
        <f>K73*('Revenues"A"'!K10+'Revenues"A"'!K14)</f>
        <v>15605846.920505114</v>
      </c>
      <c r="L19" s="552">
        <f>L73*('Revenues"A"'!L10+'Revenues"A"'!L14)</f>
        <v>16285521.215997979</v>
      </c>
      <c r="M19" s="552">
        <f>M73*('Revenues"A"'!M10+'Revenues"A"'!M14)</f>
        <v>16418956.126194723</v>
      </c>
      <c r="N19" s="552">
        <f>N73*('Revenues"A"'!N10+'Revenues"A"'!N14)</f>
        <v>16921481.758343946</v>
      </c>
      <c r="O19" s="552">
        <f>O73*('Revenues"A"'!O10+'Revenues"A"'!O14)</f>
        <v>17676633.568970367</v>
      </c>
      <c r="P19" s="552">
        <f>P73*('Revenues"A"'!P10+'Revenues"A"'!P14)</f>
        <v>17780790.479496539</v>
      </c>
      <c r="Q19" s="552">
        <f>Q73*('Revenues"A"'!Q10+'Revenues"A"'!Q14)</f>
        <v>17874734.008559953</v>
      </c>
      <c r="R19" s="552">
        <f>R73*('Revenues"A"'!R10+'Revenues"A"'!R14)</f>
        <v>17973579.039529882</v>
      </c>
      <c r="S19" s="552">
        <f>S73*('Revenues"A"'!S10+'Revenues"A"'!S14)</f>
        <v>18066933.182123143</v>
      </c>
      <c r="T19" s="552">
        <f>T73*('Revenues"A"'!T10+'Revenues"A"'!T14)</f>
        <v>18148525.325325038</v>
      </c>
      <c r="U19" s="552">
        <f>U73*('Revenues"A"'!U10+'Revenues"A"'!U14)</f>
        <v>18221155.334891766</v>
      </c>
      <c r="V19" s="552">
        <f>V73*('Revenues"A"'!V10+'Revenues"A"'!V14)</f>
        <v>18221155.334891766</v>
      </c>
      <c r="W19" s="552">
        <f>W73*('Revenues"A"'!W10+'Revenues"A"'!W14)</f>
        <v>18221155.334891766</v>
      </c>
      <c r="X19" s="552">
        <f>X73*('Revenues"A"'!X10+'Revenues"A"'!X14)</f>
        <v>18221155.334891766</v>
      </c>
      <c r="Y19" s="552">
        <f>Y73*('Revenues"A"'!Y10+'Revenues"A"'!Y14)</f>
        <v>18221155.334891766</v>
      </c>
      <c r="Z19" s="552">
        <f>Z73*('Revenues"A"'!Z10+'Revenues"A"'!Z14)</f>
        <v>18221155.334891766</v>
      </c>
      <c r="AA19" s="552">
        <f>AA73*('Revenues"A"'!AA10+'Revenues"A"'!AA14)</f>
        <v>18221155.334891766</v>
      </c>
      <c r="AB19" s="552">
        <f>AB73*('Revenues"A"'!AB10+'Revenues"A"'!AB14)</f>
        <v>18221155.334891766</v>
      </c>
      <c r="AC19" s="457"/>
    </row>
    <row r="20" spans="2:29" s="677" customFormat="1">
      <c r="B20" s="680" t="s">
        <v>2996</v>
      </c>
      <c r="C20" s="678">
        <f>Ucto_HK_summ!D377+Ucto_HK_summ!D386</f>
        <v>2967581.06</v>
      </c>
      <c r="D20" s="678">
        <f>Ucto_HK_summ!E377+Ucto_HK_summ!E386</f>
        <v>2847101.52</v>
      </c>
      <c r="E20" s="678">
        <f>Ucto_HK_summ!F377+Ucto_HK_summ!F386</f>
        <v>5547324.0899999999</v>
      </c>
      <c r="F20" s="678">
        <f>Ucto_HK_summ!G377+Ucto_HK_summ!G386</f>
        <v>7775747.7800000003</v>
      </c>
      <c r="G20" s="679">
        <f>Ucto_HK_summ!H377+Ucto_HK_summ!H386</f>
        <v>8024900.6400000006</v>
      </c>
      <c r="H20" s="677">
        <f>G20/G19*H19</f>
        <v>8117609.9929857375</v>
      </c>
      <c r="I20" s="677">
        <f t="shared" ref="I20:U20" si="46">H20/H19*I19</f>
        <v>8080141.37717197</v>
      </c>
      <c r="J20" s="677">
        <f t="shared" si="46"/>
        <v>8361217.6720779706</v>
      </c>
      <c r="K20" s="677">
        <f t="shared" si="46"/>
        <v>8879262.7434811387</v>
      </c>
      <c r="L20" s="677">
        <f t="shared" si="46"/>
        <v>9265977.2025177684</v>
      </c>
      <c r="M20" s="677">
        <f t="shared" si="46"/>
        <v>9341897.6977542639</v>
      </c>
      <c r="N20" s="677">
        <f t="shared" si="46"/>
        <v>9627819.8361627888</v>
      </c>
      <c r="O20" s="677">
        <f t="shared" si="46"/>
        <v>10057478.75643307</v>
      </c>
      <c r="P20" s="677">
        <f t="shared" si="46"/>
        <v>10116740.940653007</v>
      </c>
      <c r="Q20" s="677">
        <f t="shared" si="46"/>
        <v>10170192.014590424</v>
      </c>
      <c r="R20" s="677">
        <f t="shared" si="46"/>
        <v>10226431.897330547</v>
      </c>
      <c r="S20" s="677">
        <f t="shared" si="46"/>
        <v>10279547.627896175</v>
      </c>
      <c r="T20" s="677">
        <f t="shared" si="46"/>
        <v>10325971.130637409</v>
      </c>
      <c r="U20" s="677">
        <f t="shared" si="46"/>
        <v>10367295.445894992</v>
      </c>
      <c r="V20" s="677">
        <f t="shared" ref="V20" si="47">U20/U19*V19</f>
        <v>10367295.445894992</v>
      </c>
      <c r="W20" s="677">
        <f t="shared" ref="W20" si="48">V20/V19*W19</f>
        <v>10367295.445894992</v>
      </c>
      <c r="X20" s="677">
        <f t="shared" ref="X20" si="49">W20/W19*X19</f>
        <v>10367295.445894992</v>
      </c>
      <c r="Y20" s="677">
        <f t="shared" ref="Y20" si="50">X20/X19*Y19</f>
        <v>10367295.445894992</v>
      </c>
      <c r="Z20" s="677">
        <f t="shared" ref="Z20" si="51">Y20/Y19*Z19</f>
        <v>10367295.445894992</v>
      </c>
      <c r="AA20" s="677">
        <f t="shared" ref="AA20" si="52">Z20/Z19*AA19</f>
        <v>10367295.445894992</v>
      </c>
      <c r="AB20" s="677">
        <f t="shared" ref="AB20" si="53">AA20/AA19*AB19</f>
        <v>10367295.445894992</v>
      </c>
      <c r="AC20" s="457"/>
    </row>
    <row r="21" spans="2:29" s="677" customFormat="1">
      <c r="B21" s="680" t="s">
        <v>2997</v>
      </c>
      <c r="C21" s="678">
        <f>Ucto_HK_summ!D369</f>
        <v>238119.88</v>
      </c>
      <c r="D21" s="678">
        <f>Ucto_HK_summ!E369</f>
        <v>220739.8</v>
      </c>
      <c r="E21" s="678">
        <f>Ucto_HK_summ!F369</f>
        <v>217116.56</v>
      </c>
      <c r="F21" s="678">
        <f>Ucto_HK_summ!G369</f>
        <v>234111.8</v>
      </c>
      <c r="G21" s="679">
        <f>Ucto_HK_summ!H369</f>
        <v>193858.39</v>
      </c>
      <c r="H21" s="677">
        <f>G21/G19*H19</f>
        <v>196097.97983593805</v>
      </c>
      <c r="I21" s="677">
        <f t="shared" ref="I21:U21" si="54">H21/H19*I19</f>
        <v>195192.84644388329</v>
      </c>
      <c r="J21" s="677">
        <f t="shared" si="54"/>
        <v>201982.83680538918</v>
      </c>
      <c r="K21" s="677">
        <f t="shared" si="54"/>
        <v>214497.30745055512</v>
      </c>
      <c r="L21" s="677">
        <f t="shared" si="54"/>
        <v>223839.21033280215</v>
      </c>
      <c r="M21" s="677">
        <f t="shared" si="54"/>
        <v>225673.22992192814</v>
      </c>
      <c r="N21" s="677">
        <f t="shared" si="54"/>
        <v>232580.28184740015</v>
      </c>
      <c r="O21" s="677">
        <f t="shared" si="54"/>
        <v>242959.5987099121</v>
      </c>
      <c r="P21" s="677">
        <f t="shared" si="54"/>
        <v>244391.20168372296</v>
      </c>
      <c r="Q21" s="677">
        <f t="shared" si="54"/>
        <v>245682.42503988883</v>
      </c>
      <c r="R21" s="677">
        <f t="shared" si="54"/>
        <v>247041.01795098925</v>
      </c>
      <c r="S21" s="677">
        <f t="shared" si="54"/>
        <v>248324.1403811663</v>
      </c>
      <c r="T21" s="677">
        <f t="shared" si="54"/>
        <v>249445.59794223792</v>
      </c>
      <c r="U21" s="677">
        <f t="shared" si="54"/>
        <v>250443.87388147588</v>
      </c>
      <c r="V21" s="677">
        <f t="shared" ref="V21:AB21" si="55">U21/U19*V19</f>
        <v>250443.87388147588</v>
      </c>
      <c r="W21" s="677">
        <f t="shared" si="55"/>
        <v>250443.87388147588</v>
      </c>
      <c r="X21" s="677">
        <f t="shared" si="55"/>
        <v>250443.87388147588</v>
      </c>
      <c r="Y21" s="677">
        <f t="shared" si="55"/>
        <v>250443.87388147588</v>
      </c>
      <c r="Z21" s="677">
        <f t="shared" si="55"/>
        <v>250443.87388147588</v>
      </c>
      <c r="AA21" s="677">
        <f t="shared" si="55"/>
        <v>250443.87388147588</v>
      </c>
      <c r="AB21" s="677">
        <f t="shared" si="55"/>
        <v>250443.87388147588</v>
      </c>
      <c r="AC21" s="457"/>
    </row>
    <row r="22" spans="2:29" s="677" customFormat="1">
      <c r="B22" s="680" t="s">
        <v>3002</v>
      </c>
      <c r="C22" s="678">
        <f>Ucto_HK_summ!D366+Ucto_HK_summ!D393+Ucto_HK_summ!D394</f>
        <v>2823953.74</v>
      </c>
      <c r="D22" s="678">
        <f>Ucto_HK_summ!E366+Ucto_HK_summ!E393+Ucto_HK_summ!E394</f>
        <v>3099106.8400000003</v>
      </c>
      <c r="E22" s="678">
        <f>Ucto_HK_summ!F366+Ucto_HK_summ!F393+Ucto_HK_summ!F394</f>
        <v>3421820.24</v>
      </c>
      <c r="F22" s="678">
        <f>Ucto_HK_summ!G366+Ucto_HK_summ!G393+Ucto_HK_summ!G394</f>
        <v>4478771.55</v>
      </c>
      <c r="G22" s="679">
        <f>Ucto_HK_summ!H366+Ucto_HK_summ!H393+Ucto_HK_summ!H394</f>
        <v>5885494.2800000003</v>
      </c>
      <c r="H22" s="677">
        <f>G22/G19*H19</f>
        <v>5953487.6909065871</v>
      </c>
      <c r="I22" s="677">
        <f t="shared" ref="I22:U22" si="56">H22/H19*I19</f>
        <v>5926008.0579560855</v>
      </c>
      <c r="J22" s="677">
        <f t="shared" si="56"/>
        <v>6132150.5387323787</v>
      </c>
      <c r="K22" s="677">
        <f t="shared" si="56"/>
        <v>6512086.8695734227</v>
      </c>
      <c r="L22" s="677">
        <f t="shared" si="56"/>
        <v>6795704.8031474119</v>
      </c>
      <c r="M22" s="677">
        <f t="shared" si="56"/>
        <v>6851385.1985185333</v>
      </c>
      <c r="N22" s="677">
        <f t="shared" si="56"/>
        <v>7061081.6403337605</v>
      </c>
      <c r="O22" s="677">
        <f t="shared" si="56"/>
        <v>7376195.2138273893</v>
      </c>
      <c r="P22" s="677">
        <f t="shared" si="56"/>
        <v>7419658.3371598115</v>
      </c>
      <c r="Q22" s="677">
        <f t="shared" si="56"/>
        <v>7458859.5689296443</v>
      </c>
      <c r="R22" s="677">
        <f t="shared" si="56"/>
        <v>7500106.1242483491</v>
      </c>
      <c r="S22" s="677">
        <f t="shared" si="56"/>
        <v>7539061.4138458064</v>
      </c>
      <c r="T22" s="677">
        <f t="shared" si="56"/>
        <v>7573108.5967453942</v>
      </c>
      <c r="U22" s="677">
        <f t="shared" si="56"/>
        <v>7603416.0151153021</v>
      </c>
      <c r="V22" s="677">
        <f t="shared" ref="V22:AB22" si="57">U22/U19*V19</f>
        <v>7603416.0151153021</v>
      </c>
      <c r="W22" s="677">
        <f t="shared" si="57"/>
        <v>7603416.0151153021</v>
      </c>
      <c r="X22" s="677">
        <f t="shared" si="57"/>
        <v>7603416.0151153021</v>
      </c>
      <c r="Y22" s="677">
        <f t="shared" si="57"/>
        <v>7603416.0151153021</v>
      </c>
      <c r="Z22" s="677">
        <f t="shared" si="57"/>
        <v>7603416.0151153021</v>
      </c>
      <c r="AA22" s="677">
        <f t="shared" si="57"/>
        <v>7603416.0151153021</v>
      </c>
      <c r="AB22" s="677">
        <f t="shared" si="57"/>
        <v>7603416.0151153021</v>
      </c>
      <c r="AC22" s="457"/>
    </row>
    <row r="23" spans="2:29" s="552" customFormat="1">
      <c r="B23" s="552" t="s">
        <v>3013</v>
      </c>
      <c r="C23" s="458">
        <f>SUM(C24:C25)</f>
        <v>6608919.1000000006</v>
      </c>
      <c r="D23" s="458">
        <f t="shared" ref="D23:G23" si="58">SUM(D24:D25)</f>
        <v>6496327.4500000002</v>
      </c>
      <c r="E23" s="458">
        <f t="shared" si="58"/>
        <v>7071248.6900000004</v>
      </c>
      <c r="F23" s="458">
        <f t="shared" si="58"/>
        <v>5779705.8300000001</v>
      </c>
      <c r="G23" s="607">
        <f t="shared" si="58"/>
        <v>5685647.4699999997</v>
      </c>
      <c r="H23" s="552">
        <f>H74*'Revenues"A"'!H13</f>
        <v>9132914.8421449531</v>
      </c>
      <c r="I23" s="552">
        <f>I74*'Revenues"A"'!I13</f>
        <v>9053622.4828103259</v>
      </c>
      <c r="J23" s="552">
        <f>J74*'Revenues"A"'!J13</f>
        <v>9330133.1076325756</v>
      </c>
      <c r="K23" s="552">
        <f>K74*'Revenues"A"'!K13</f>
        <v>9867400.0819304157</v>
      </c>
      <c r="L23" s="552">
        <f>L74*'Revenues"A"'!L13</f>
        <v>10254562.797245363</v>
      </c>
      <c r="M23" s="552">
        <f>M74*'Revenues"A"'!M13</f>
        <v>10295646.661100816</v>
      </c>
      <c r="N23" s="552">
        <f>N74*'Revenues"A"'!N13</f>
        <v>10566508.938490123</v>
      </c>
      <c r="O23" s="552">
        <f>O74*'Revenues"A"'!O13</f>
        <v>10991833.082047908</v>
      </c>
      <c r="P23" s="552">
        <f>P74*'Revenues"A"'!P13</f>
        <v>11010102.95198602</v>
      </c>
      <c r="Q23" s="552">
        <f>Q74*'Revenues"A"'!Q13</f>
        <v>11021530.514917029</v>
      </c>
      <c r="R23" s="552">
        <f>R74*'Revenues"A"'!R13</f>
        <v>11035476.181666106</v>
      </c>
      <c r="S23" s="552">
        <f>S74*'Revenues"A"'!S13</f>
        <v>11045547.922394089</v>
      </c>
      <c r="T23" s="552">
        <f>T74*'Revenues"A"'!T13</f>
        <v>11047971.255788961</v>
      </c>
      <c r="U23" s="552">
        <f>U74*'Revenues"A"'!U13</f>
        <v>11044535.562068203</v>
      </c>
      <c r="V23" s="552">
        <f>V74*'Revenues"A"'!V13</f>
        <v>11044535.562068203</v>
      </c>
      <c r="W23" s="552">
        <f>W74*'Revenues"A"'!W13</f>
        <v>11044535.562068203</v>
      </c>
      <c r="X23" s="552">
        <f>X74*'Revenues"A"'!X13</f>
        <v>11044535.562068203</v>
      </c>
      <c r="Y23" s="552">
        <f>Y74*'Revenues"A"'!Y13</f>
        <v>11044535.562068203</v>
      </c>
      <c r="Z23" s="552">
        <f>Z74*'Revenues"A"'!Z13</f>
        <v>11044535.562068203</v>
      </c>
      <c r="AA23" s="552">
        <f>AA74*'Revenues"A"'!AA13</f>
        <v>11044535.562068203</v>
      </c>
      <c r="AB23" s="552">
        <f>AB74*'Revenues"A"'!AB13</f>
        <v>11044535.562068203</v>
      </c>
      <c r="AC23" s="457"/>
    </row>
    <row r="24" spans="2:29" s="677" customFormat="1">
      <c r="B24" s="680" t="s">
        <v>2994</v>
      </c>
      <c r="C24" s="678">
        <f>Ucto_HK_summ!D376</f>
        <v>4784985.49</v>
      </c>
      <c r="D24" s="678">
        <f>Ucto_HK_summ!E376</f>
        <v>4691374.0800000001</v>
      </c>
      <c r="E24" s="678">
        <f>Ucto_HK_summ!F376</f>
        <v>5132662.49</v>
      </c>
      <c r="F24" s="678">
        <f>Ucto_HK_summ!G376</f>
        <v>4106303.69</v>
      </c>
      <c r="G24" s="679">
        <f>Ucto_HK_summ!H376</f>
        <v>4007271.44</v>
      </c>
      <c r="H24" s="677">
        <f>G24/G23*H23</f>
        <v>6436921.9168067025</v>
      </c>
      <c r="I24" s="677">
        <f t="shared" ref="I24:U24" si="59">H24/H23*I23</f>
        <v>6381036.2839656873</v>
      </c>
      <c r="J24" s="677">
        <f t="shared" si="59"/>
        <v>6575922.2904501436</v>
      </c>
      <c r="K24" s="677">
        <f t="shared" si="59"/>
        <v>6954590.6150550367</v>
      </c>
      <c r="L24" s="677">
        <f t="shared" si="59"/>
        <v>7227464.7423906941</v>
      </c>
      <c r="M24" s="677">
        <f t="shared" si="59"/>
        <v>7256420.8454803582</v>
      </c>
      <c r="N24" s="677">
        <f t="shared" si="59"/>
        <v>7447325.8697687397</v>
      </c>
      <c r="O24" s="677">
        <f t="shared" si="59"/>
        <v>7747096.3536432125</v>
      </c>
      <c r="P24" s="677">
        <f t="shared" si="59"/>
        <v>7759973.0450669806</v>
      </c>
      <c r="Q24" s="677">
        <f t="shared" si="59"/>
        <v>7768027.2458952693</v>
      </c>
      <c r="R24" s="677">
        <f t="shared" si="59"/>
        <v>7777856.2182981847</v>
      </c>
      <c r="S24" s="677">
        <f t="shared" si="59"/>
        <v>7784954.8291746574</v>
      </c>
      <c r="T24" s="677">
        <f t="shared" si="59"/>
        <v>7786662.8061032491</v>
      </c>
      <c r="U24" s="677">
        <f t="shared" si="59"/>
        <v>7784241.3127911109</v>
      </c>
      <c r="V24" s="677">
        <f t="shared" ref="V24" si="60">U24/U23*V23</f>
        <v>7784241.3127911109</v>
      </c>
      <c r="W24" s="677">
        <f t="shared" ref="W24" si="61">V24/V23*W23</f>
        <v>7784241.3127911109</v>
      </c>
      <c r="X24" s="677">
        <f t="shared" ref="X24" si="62">W24/W23*X23</f>
        <v>7784241.3127911109</v>
      </c>
      <c r="Y24" s="677">
        <f t="shared" ref="Y24" si="63">X24/X23*Y23</f>
        <v>7784241.3127911109</v>
      </c>
      <c r="Z24" s="677">
        <f t="shared" ref="Z24" si="64">Y24/Y23*Z23</f>
        <v>7784241.3127911109</v>
      </c>
      <c r="AA24" s="677">
        <f t="shared" ref="AA24" si="65">Z24/Z23*AA23</f>
        <v>7784241.3127911109</v>
      </c>
      <c r="AB24" s="677">
        <f t="shared" ref="AB24" si="66">AA24/AA23*AB23</f>
        <v>7784241.3127911109</v>
      </c>
      <c r="AC24" s="457"/>
    </row>
    <row r="25" spans="2:29" s="677" customFormat="1">
      <c r="B25" s="680" t="s">
        <v>2995</v>
      </c>
      <c r="C25" s="678">
        <f>Ucto_HK_summ!D382</f>
        <v>1823933.61</v>
      </c>
      <c r="D25" s="678">
        <f>Ucto_HK_summ!E382</f>
        <v>1804953.37</v>
      </c>
      <c r="E25" s="678">
        <f>Ucto_HK_summ!F382</f>
        <v>1938586.2</v>
      </c>
      <c r="F25" s="678">
        <f>Ucto_HK_summ!G382</f>
        <v>1673402.14</v>
      </c>
      <c r="G25" s="679">
        <f>Ucto_HK_summ!H382</f>
        <v>1678376.03</v>
      </c>
      <c r="H25" s="677">
        <f>G25/G23*H23</f>
        <v>2695992.9253382511</v>
      </c>
      <c r="I25" s="677">
        <f t="shared" ref="I25:U25" si="67">H25/H23*I23</f>
        <v>2672586.1988446391</v>
      </c>
      <c r="J25" s="677">
        <f t="shared" si="67"/>
        <v>2754210.8171824319</v>
      </c>
      <c r="K25" s="677">
        <f t="shared" si="67"/>
        <v>2912809.466875379</v>
      </c>
      <c r="L25" s="677">
        <f t="shared" si="67"/>
        <v>3027098.0548546687</v>
      </c>
      <c r="M25" s="677">
        <f t="shared" si="67"/>
        <v>3039225.8156204582</v>
      </c>
      <c r="N25" s="677">
        <f t="shared" si="67"/>
        <v>3119183.0687213833</v>
      </c>
      <c r="O25" s="677">
        <f t="shared" si="67"/>
        <v>3244736.7284046956</v>
      </c>
      <c r="P25" s="677">
        <f t="shared" si="67"/>
        <v>3250129.9069190407</v>
      </c>
      <c r="Q25" s="677">
        <f t="shared" si="67"/>
        <v>3253503.2690217602</v>
      </c>
      <c r="R25" s="677">
        <f t="shared" si="67"/>
        <v>3257619.9633679222</v>
      </c>
      <c r="S25" s="677">
        <f t="shared" si="67"/>
        <v>3260593.093219433</v>
      </c>
      <c r="T25" s="677">
        <f t="shared" si="67"/>
        <v>3261308.4496857128</v>
      </c>
      <c r="U25" s="677">
        <f t="shared" si="67"/>
        <v>3260294.249277093</v>
      </c>
      <c r="V25" s="677">
        <f t="shared" ref="V25:AB25" si="68">U25/U23*V23</f>
        <v>3260294.249277093</v>
      </c>
      <c r="W25" s="677">
        <f t="shared" si="68"/>
        <v>3260294.249277093</v>
      </c>
      <c r="X25" s="677">
        <f t="shared" si="68"/>
        <v>3260294.249277093</v>
      </c>
      <c r="Y25" s="677">
        <f t="shared" si="68"/>
        <v>3260294.249277093</v>
      </c>
      <c r="Z25" s="677">
        <f t="shared" si="68"/>
        <v>3260294.249277093</v>
      </c>
      <c r="AA25" s="677">
        <f t="shared" si="68"/>
        <v>3260294.249277093</v>
      </c>
      <c r="AB25" s="677">
        <f t="shared" si="68"/>
        <v>3260294.249277093</v>
      </c>
      <c r="AC25" s="457"/>
    </row>
    <row r="26" spans="2:29" s="552" customFormat="1">
      <c r="B26" s="552" t="s">
        <v>1180</v>
      </c>
      <c r="C26" s="458">
        <f>SUM(C27:C30)</f>
        <v>8924248.4699999988</v>
      </c>
      <c r="D26" s="458">
        <f t="shared" ref="D26:G26" si="69">SUM(D27:D30)</f>
        <v>10507805.67</v>
      </c>
      <c r="E26" s="458">
        <f t="shared" si="69"/>
        <v>11407808.530000001</v>
      </c>
      <c r="F26" s="458">
        <f t="shared" si="69"/>
        <v>10744461.539999999</v>
      </c>
      <c r="G26" s="607">
        <f t="shared" si="69"/>
        <v>14107736.899999999</v>
      </c>
      <c r="H26" s="552">
        <f>H75*('Revenues"A"'!H5+'Revenues"A"'!H11)</f>
        <v>14173738.963340295</v>
      </c>
      <c r="I26" s="552">
        <f>I75*('Revenues"A"'!I5+'Revenues"A"'!I11)</f>
        <v>14030306.030597389</v>
      </c>
      <c r="J26" s="552">
        <f>J75*('Revenues"A"'!J5+'Revenues"A"'!J11)</f>
        <v>14437640.505855432</v>
      </c>
      <c r="K26" s="552">
        <f>K75*('Revenues"A"'!K5+'Revenues"A"'!K11)</f>
        <v>15246442.969940191</v>
      </c>
      <c r="L26" s="552">
        <f>L75*('Revenues"A"'!L5+'Revenues"A"'!L11)</f>
        <v>15821004.561958848</v>
      </c>
      <c r="M26" s="552">
        <f>M75*('Revenues"A"'!M5+'Revenues"A"'!M11)</f>
        <v>15860440.735776421</v>
      </c>
      <c r="N26" s="552">
        <f>N75*('Revenues"A"'!N5+'Revenues"A"'!N11)</f>
        <v>16252918.994443091</v>
      </c>
      <c r="O26" s="552">
        <f>O75*('Revenues"A"'!O5+'Revenues"A"'!O11)</f>
        <v>16881133.562412001</v>
      </c>
      <c r="P26" s="552">
        <f>P75*('Revenues"A"'!P5+'Revenues"A"'!P11)</f>
        <v>16882929.536127862</v>
      </c>
      <c r="Q26" s="552">
        <f>Q75*('Revenues"A"'!Q5+'Revenues"A"'!Q11)</f>
        <v>16873939.657695461</v>
      </c>
      <c r="R26" s="552">
        <f>R75*('Revenues"A"'!R5+'Revenues"A"'!R11)</f>
        <v>16868517.821797706</v>
      </c>
      <c r="S26" s="552">
        <f>S75*('Revenues"A"'!S5+'Revenues"A"'!S11)</f>
        <v>16856886.901314553</v>
      </c>
      <c r="T26" s="552">
        <f>T75*('Revenues"A"'!T5+'Revenues"A"'!T11)</f>
        <v>16833320.733836174</v>
      </c>
      <c r="U26" s="552">
        <f>U75*('Revenues"A"'!U5+'Revenues"A"'!U11)</f>
        <v>16800594.734852295</v>
      </c>
      <c r="V26" s="552">
        <f>V75*('Revenues"A"'!V5+'Revenues"A"'!V11)</f>
        <v>16800594.734852295</v>
      </c>
      <c r="W26" s="552">
        <f>W75*('Revenues"A"'!W5+'Revenues"A"'!W11)</f>
        <v>16800594.734852295</v>
      </c>
      <c r="X26" s="552">
        <f>X75*('Revenues"A"'!X5+'Revenues"A"'!X11)</f>
        <v>16800594.734852295</v>
      </c>
      <c r="Y26" s="552">
        <f>Y75*('Revenues"A"'!Y5+'Revenues"A"'!Y11)</f>
        <v>16800594.734852295</v>
      </c>
      <c r="Z26" s="552">
        <f>Z75*('Revenues"A"'!Z5+'Revenues"A"'!Z11)</f>
        <v>16800594.734852295</v>
      </c>
      <c r="AA26" s="552">
        <f>AA75*('Revenues"A"'!AA5+'Revenues"A"'!AA11)</f>
        <v>16800594.734852295</v>
      </c>
      <c r="AB26" s="552">
        <f>AB75*('Revenues"A"'!AB5+'Revenues"A"'!AB11)</f>
        <v>16800594.734852295</v>
      </c>
      <c r="AC26" s="457"/>
    </row>
    <row r="27" spans="2:29" s="677" customFormat="1">
      <c r="B27" s="680" t="s">
        <v>2998</v>
      </c>
      <c r="C27" s="678">
        <f>Ucto_HK_summ!D361</f>
        <v>2305155.86</v>
      </c>
      <c r="D27" s="678">
        <f>Ucto_HK_summ!E361</f>
        <v>3916991.05</v>
      </c>
      <c r="E27" s="678">
        <f>Ucto_HK_summ!F361</f>
        <v>4062686.62</v>
      </c>
      <c r="F27" s="678">
        <f>Ucto_HK_summ!G361</f>
        <v>4311918.1399999997</v>
      </c>
      <c r="G27" s="679">
        <f>Ucto_HK_summ!H361</f>
        <v>7585677.2999999998</v>
      </c>
      <c r="H27" s="677">
        <f>G27/G26*H26</f>
        <v>7621166.3622913193</v>
      </c>
      <c r="I27" s="677">
        <f t="shared" ref="I27:U27" si="70">H27/H26*I26</f>
        <v>7544043.0114879524</v>
      </c>
      <c r="J27" s="677">
        <f t="shared" si="70"/>
        <v>7763065.2334342916</v>
      </c>
      <c r="K27" s="677">
        <f t="shared" si="70"/>
        <v>8197955.2895418601</v>
      </c>
      <c r="L27" s="677">
        <f t="shared" si="70"/>
        <v>8506894.905932622</v>
      </c>
      <c r="M27" s="677">
        <f t="shared" si="70"/>
        <v>8528099.5889124144</v>
      </c>
      <c r="N27" s="677">
        <f t="shared" si="70"/>
        <v>8739133.6788316332</v>
      </c>
      <c r="O27" s="677">
        <f t="shared" si="70"/>
        <v>9076922.2994693685</v>
      </c>
      <c r="P27" s="677">
        <f t="shared" si="70"/>
        <v>9077887.9878107626</v>
      </c>
      <c r="Q27" s="677">
        <f t="shared" si="70"/>
        <v>9073054.1638432611</v>
      </c>
      <c r="R27" s="677">
        <f t="shared" si="70"/>
        <v>9070138.8629849125</v>
      </c>
      <c r="S27" s="677">
        <f t="shared" si="70"/>
        <v>9063884.9605969861</v>
      </c>
      <c r="T27" s="677">
        <f t="shared" si="70"/>
        <v>9051213.5205952413</v>
      </c>
      <c r="U27" s="677">
        <f t="shared" si="70"/>
        <v>9033616.8734950367</v>
      </c>
      <c r="V27" s="677">
        <f t="shared" ref="V27" si="71">U27/U26*V26</f>
        <v>9033616.8734950367</v>
      </c>
      <c r="W27" s="677">
        <f t="shared" ref="W27" si="72">V27/V26*W26</f>
        <v>9033616.8734950367</v>
      </c>
      <c r="X27" s="677">
        <f t="shared" ref="X27" si="73">W27/W26*X26</f>
        <v>9033616.8734950367</v>
      </c>
      <c r="Y27" s="677">
        <f t="shared" ref="Y27" si="74">X27/X26*Y26</f>
        <v>9033616.8734950367</v>
      </c>
      <c r="Z27" s="677">
        <f t="shared" ref="Z27" si="75">Y27/Y26*Z26</f>
        <v>9033616.8734950367</v>
      </c>
      <c r="AA27" s="677">
        <f t="shared" ref="AA27" si="76">Z27/Z26*AA26</f>
        <v>9033616.8734950367</v>
      </c>
      <c r="AB27" s="677">
        <f t="shared" ref="AB27" si="77">AA27/AA26*AB26</f>
        <v>9033616.8734950367</v>
      </c>
      <c r="AC27" s="457"/>
    </row>
    <row r="28" spans="2:29" s="677" customFormat="1">
      <c r="B28" s="680" t="s">
        <v>2999</v>
      </c>
      <c r="C28" s="678">
        <f>Ucto_HK_summ!D360</f>
        <v>1831844.34</v>
      </c>
      <c r="D28" s="678">
        <f>Ucto_HK_summ!E360</f>
        <v>1610247.22</v>
      </c>
      <c r="E28" s="678">
        <f>Ucto_HK_summ!F360</f>
        <v>1604683.29</v>
      </c>
      <c r="F28" s="678">
        <f>Ucto_HK_summ!G360</f>
        <v>2277529.0699999998</v>
      </c>
      <c r="G28" s="679">
        <f>Ucto_HK_summ!H360</f>
        <v>2325935.19</v>
      </c>
      <c r="H28" s="677">
        <f>G28/G26*H26</f>
        <v>2336816.9155966691</v>
      </c>
      <c r="I28" s="677">
        <f t="shared" ref="I28:U28" si="78">H28/H26*I26</f>
        <v>2313169.2031367333</v>
      </c>
      <c r="J28" s="677">
        <f t="shared" si="78"/>
        <v>2380326.2246220764</v>
      </c>
      <c r="K28" s="677">
        <f t="shared" si="78"/>
        <v>2513673.0630489718</v>
      </c>
      <c r="L28" s="677">
        <f t="shared" si="78"/>
        <v>2608400.7316446779</v>
      </c>
      <c r="M28" s="677">
        <f t="shared" si="78"/>
        <v>2614902.5529567306</v>
      </c>
      <c r="N28" s="677">
        <f t="shared" si="78"/>
        <v>2679610.2377975737</v>
      </c>
      <c r="O28" s="677">
        <f t="shared" si="78"/>
        <v>2783183.6444230922</v>
      </c>
      <c r="P28" s="677">
        <f t="shared" si="78"/>
        <v>2783479.7456685044</v>
      </c>
      <c r="Q28" s="677">
        <f t="shared" si="78"/>
        <v>2781997.5891222092</v>
      </c>
      <c r="R28" s="677">
        <f t="shared" si="78"/>
        <v>2781103.693878884</v>
      </c>
      <c r="S28" s="677">
        <f t="shared" si="78"/>
        <v>2779186.1101136343</v>
      </c>
      <c r="T28" s="677">
        <f t="shared" si="78"/>
        <v>2775300.7684305613</v>
      </c>
      <c r="U28" s="677">
        <f t="shared" si="78"/>
        <v>2769905.2501270901</v>
      </c>
      <c r="V28" s="677">
        <f t="shared" ref="V28:AB28" si="79">U28/U26*V26</f>
        <v>2769905.2501270901</v>
      </c>
      <c r="W28" s="677">
        <f t="shared" si="79"/>
        <v>2769905.2501270901</v>
      </c>
      <c r="X28" s="677">
        <f t="shared" si="79"/>
        <v>2769905.2501270901</v>
      </c>
      <c r="Y28" s="677">
        <f t="shared" si="79"/>
        <v>2769905.2501270901</v>
      </c>
      <c r="Z28" s="677">
        <f t="shared" si="79"/>
        <v>2769905.2501270901</v>
      </c>
      <c r="AA28" s="677">
        <f t="shared" si="79"/>
        <v>2769905.2501270901</v>
      </c>
      <c r="AB28" s="677">
        <f t="shared" si="79"/>
        <v>2769905.2501270901</v>
      </c>
      <c r="AC28" s="457"/>
    </row>
    <row r="29" spans="2:29" s="677" customFormat="1">
      <c r="B29" s="680" t="s">
        <v>3000</v>
      </c>
      <c r="C29" s="678">
        <f>Ucto_HK_summ!D355</f>
        <v>1906854.38</v>
      </c>
      <c r="D29" s="678">
        <f>Ucto_HK_summ!E355</f>
        <v>1591076.3</v>
      </c>
      <c r="E29" s="678">
        <f>Ucto_HK_summ!F355</f>
        <v>1674471.41</v>
      </c>
      <c r="F29" s="678">
        <f>Ucto_HK_summ!G355</f>
        <v>1557902.81</v>
      </c>
      <c r="G29" s="679">
        <f>Ucto_HK_summ!H355</f>
        <v>1685043.1</v>
      </c>
      <c r="H29" s="677">
        <f>G29/G26*H26</f>
        <v>1692926.4566436394</v>
      </c>
      <c r="I29" s="677">
        <f t="shared" ref="I29:U29" si="80">H29/H26*I26</f>
        <v>1675794.6746048632</v>
      </c>
      <c r="J29" s="677">
        <f t="shared" si="80"/>
        <v>1724447.1375612488</v>
      </c>
      <c r="K29" s="677">
        <f t="shared" si="80"/>
        <v>1821051.3640952029</v>
      </c>
      <c r="L29" s="677">
        <f t="shared" si="80"/>
        <v>1889677.6117363856</v>
      </c>
      <c r="M29" s="677">
        <f t="shared" si="80"/>
        <v>1894387.9102805625</v>
      </c>
      <c r="N29" s="677">
        <f t="shared" si="80"/>
        <v>1941265.9309265451</v>
      </c>
      <c r="O29" s="677">
        <f t="shared" si="80"/>
        <v>2016300.5470792956</v>
      </c>
      <c r="P29" s="677">
        <f t="shared" si="80"/>
        <v>2016515.0600900743</v>
      </c>
      <c r="Q29" s="677">
        <f t="shared" si="80"/>
        <v>2015441.2994486808</v>
      </c>
      <c r="R29" s="677">
        <f t="shared" si="80"/>
        <v>2014793.7096025131</v>
      </c>
      <c r="S29" s="677">
        <f t="shared" si="80"/>
        <v>2013404.5000896263</v>
      </c>
      <c r="T29" s="677">
        <f t="shared" si="80"/>
        <v>2010589.7319815757</v>
      </c>
      <c r="U29" s="677">
        <f t="shared" si="80"/>
        <v>2006680.9038563226</v>
      </c>
      <c r="V29" s="677">
        <f t="shared" ref="V29:AB29" si="81">U29/U26*V26</f>
        <v>2006680.9038563226</v>
      </c>
      <c r="W29" s="677">
        <f t="shared" si="81"/>
        <v>2006680.9038563226</v>
      </c>
      <c r="X29" s="677">
        <f t="shared" si="81"/>
        <v>2006680.9038563226</v>
      </c>
      <c r="Y29" s="677">
        <f t="shared" si="81"/>
        <v>2006680.9038563226</v>
      </c>
      <c r="Z29" s="677">
        <f t="shared" si="81"/>
        <v>2006680.9038563226</v>
      </c>
      <c r="AA29" s="677">
        <f t="shared" si="81"/>
        <v>2006680.9038563226</v>
      </c>
      <c r="AB29" s="677">
        <f t="shared" si="81"/>
        <v>2006680.9038563226</v>
      </c>
      <c r="AC29" s="457"/>
    </row>
    <row r="30" spans="2:29" s="677" customFormat="1">
      <c r="B30" s="680" t="s">
        <v>3001</v>
      </c>
      <c r="C30" s="678">
        <f>SUM(Ucto_HK_summ!D354,Ucto_HK_summ!D356:D359,Ucto_HK_summ!D362:D365,Ucto_HK_summ!D367:D368)</f>
        <v>2880393.8899999997</v>
      </c>
      <c r="D30" s="678">
        <f>SUM(Ucto_HK_summ!E354,Ucto_HK_summ!E356:E359,Ucto_HK_summ!E362:E365,Ucto_HK_summ!E367:E368)</f>
        <v>3389491.1</v>
      </c>
      <c r="E30" s="678">
        <f>SUM(Ucto_HK_summ!F354,Ucto_HK_summ!F356:F359,Ucto_HK_summ!F362:F365,Ucto_HK_summ!F367:F368)</f>
        <v>4065967.21</v>
      </c>
      <c r="F30" s="678">
        <f>SUM(Ucto_HK_summ!G354,Ucto_HK_summ!G356:G359,Ucto_HK_summ!G362:G365,Ucto_HK_summ!G367:G368)</f>
        <v>2597111.52</v>
      </c>
      <c r="G30" s="679">
        <f>SUM(Ucto_HK_summ!H354,Ucto_HK_summ!H356:H359,Ucto_HK_summ!H362:H365,Ucto_HK_summ!H367:H368)</f>
        <v>2511081.3099999996</v>
      </c>
      <c r="H30" s="677">
        <f>G30/G26*H26</f>
        <v>2522829.228808668</v>
      </c>
      <c r="I30" s="677">
        <f t="shared" ref="I30:U30" si="82">H30/H26*I26</f>
        <v>2497299.1413678396</v>
      </c>
      <c r="J30" s="677">
        <f t="shared" si="82"/>
        <v>2569801.9102378157</v>
      </c>
      <c r="K30" s="677">
        <f t="shared" si="82"/>
        <v>2713763.2532541561</v>
      </c>
      <c r="L30" s="677">
        <f t="shared" si="82"/>
        <v>2816031.3126451625</v>
      </c>
      <c r="M30" s="677">
        <f t="shared" si="82"/>
        <v>2823050.6836267137</v>
      </c>
      <c r="N30" s="677">
        <f t="shared" si="82"/>
        <v>2892909.1468873392</v>
      </c>
      <c r="O30" s="677">
        <f t="shared" si="82"/>
        <v>3004727.071440246</v>
      </c>
      <c r="P30" s="677">
        <f t="shared" si="82"/>
        <v>3005046.7425585208</v>
      </c>
      <c r="Q30" s="677">
        <f t="shared" si="82"/>
        <v>3003446.6052813097</v>
      </c>
      <c r="R30" s="677">
        <f t="shared" si="82"/>
        <v>3002481.5553313959</v>
      </c>
      <c r="S30" s="677">
        <f t="shared" si="82"/>
        <v>3000411.3305143071</v>
      </c>
      <c r="T30" s="677">
        <f t="shared" si="82"/>
        <v>2996216.7128287954</v>
      </c>
      <c r="U30" s="677">
        <f t="shared" si="82"/>
        <v>2990391.7073738454</v>
      </c>
      <c r="V30" s="677">
        <f t="shared" ref="V30:AB30" si="83">U30/U26*V26</f>
        <v>2990391.7073738454</v>
      </c>
      <c r="W30" s="677">
        <f t="shared" si="83"/>
        <v>2990391.7073738454</v>
      </c>
      <c r="X30" s="677">
        <f t="shared" si="83"/>
        <v>2990391.7073738454</v>
      </c>
      <c r="Y30" s="677">
        <f t="shared" si="83"/>
        <v>2990391.7073738454</v>
      </c>
      <c r="Z30" s="677">
        <f t="shared" si="83"/>
        <v>2990391.7073738454</v>
      </c>
      <c r="AA30" s="677">
        <f t="shared" si="83"/>
        <v>2990391.7073738454</v>
      </c>
      <c r="AB30" s="677">
        <f t="shared" si="83"/>
        <v>2990391.7073738454</v>
      </c>
      <c r="AC30" s="457"/>
    </row>
    <row r="31" spans="2:29">
      <c r="B31" s="552" t="s">
        <v>3003</v>
      </c>
      <c r="C31" s="458">
        <f>Ucto_HK_summ!D391</f>
        <v>3826235.53</v>
      </c>
      <c r="D31" s="458">
        <f>Ucto_HK_summ!E391</f>
        <v>3879186.01</v>
      </c>
      <c r="E31" s="458">
        <f>Ucto_HK_summ!F391</f>
        <v>4283857.4400000004</v>
      </c>
      <c r="F31" s="458">
        <f>Ucto_HK_summ!G391</f>
        <v>5243009.3600000003</v>
      </c>
      <c r="G31" s="607">
        <f>Ucto_HK_summ!H391</f>
        <v>6944455.1799999997</v>
      </c>
      <c r="H31" s="69">
        <f>H76*'Revenues"A"'!H5</f>
        <v>6543897.352333772</v>
      </c>
      <c r="I31" s="69">
        <f>I76*'Revenues"A"'!I5</f>
        <v>6476808.9449320035</v>
      </c>
      <c r="J31" s="69">
        <f>J76*'Revenues"A"'!J5</f>
        <v>6663944.9750635996</v>
      </c>
      <c r="K31" s="69">
        <f>K76*'Revenues"A"'!K5</f>
        <v>7036298.8965695705</v>
      </c>
      <c r="L31" s="69">
        <f>L76*'Revenues"A"'!L5</f>
        <v>7300450.9752166551</v>
      </c>
      <c r="M31" s="69">
        <f>M76*'Revenues"A"'!M5</f>
        <v>7317623.8155802358</v>
      </c>
      <c r="N31" s="69">
        <f>N76*'Revenues"A"'!N5</f>
        <v>7497641.8245726507</v>
      </c>
      <c r="O31" s="69">
        <f>O76*'Revenues"A"'!O5</f>
        <v>7786328.0815136274</v>
      </c>
      <c r="P31" s="69">
        <f>P76*'Revenues"A"'!P5</f>
        <v>7163145.510933185</v>
      </c>
      <c r="Q31" s="69">
        <f>Q76*'Revenues"A"'!Q5</f>
        <v>7158281.2932179607</v>
      </c>
      <c r="R31" s="69">
        <f>R76*'Revenues"A"'!R5</f>
        <v>7154919.3241420882</v>
      </c>
      <c r="S31" s="69">
        <f>S76*'Revenues"A"'!S5</f>
        <v>7148912.2992884619</v>
      </c>
      <c r="T31" s="69">
        <f>T76*'Revenues"A"'!T5</f>
        <v>7137833.1444849437</v>
      </c>
      <c r="U31" s="69">
        <f>U76*'Revenues"A"'!U5</f>
        <v>7122860.6726282975</v>
      </c>
      <c r="V31" s="69">
        <f>V76*'Revenues"A"'!V5</f>
        <v>7122860.6726282975</v>
      </c>
      <c r="W31" s="69">
        <f>W76*'Revenues"A"'!W5</f>
        <v>7122860.6726282975</v>
      </c>
      <c r="X31" s="69">
        <f>X76*'Revenues"A"'!X5</f>
        <v>7122860.6726282975</v>
      </c>
      <c r="Y31" s="69">
        <f>Y76*'Revenues"A"'!Y5</f>
        <v>7122860.6726282975</v>
      </c>
      <c r="Z31" s="69">
        <f>Z76*'Revenues"A"'!Z5</f>
        <v>7122860.6726282975</v>
      </c>
      <c r="AA31" s="69">
        <f>AA76*'Revenues"A"'!AA5</f>
        <v>7122860.6726282975</v>
      </c>
      <c r="AB31" s="69">
        <f>AB76*'Revenues"A"'!AB5</f>
        <v>7122860.6726282975</v>
      </c>
      <c r="AC31" s="457"/>
    </row>
    <row r="32" spans="2:29">
      <c r="B32" s="552" t="s">
        <v>3004</v>
      </c>
      <c r="C32" s="458">
        <f>SUM(Ucto_HK_summ!D370:D374,Ucto_HK_summ!D378:D381,Ucto_HK_summ!D383:D385,Ucto_HK_summ!D387:D390,Ucto_HK_summ!D392,Ucto_HK_summ!D395)</f>
        <v>2201975.2800000003</v>
      </c>
      <c r="D32" s="458">
        <f>SUM(Ucto_HK_summ!E370:E374,Ucto_HK_summ!E378:E381,Ucto_HK_summ!E383:E385,Ucto_HK_summ!E387:E390,Ucto_HK_summ!E392,Ucto_HK_summ!E395)</f>
        <v>2696638.12</v>
      </c>
      <c r="E32" s="458">
        <f>SUM(Ucto_HK_summ!F370:F374,Ucto_HK_summ!F378:F381,Ucto_HK_summ!F383:F385,Ucto_HK_summ!F387:F390,Ucto_HK_summ!F392,Ucto_HK_summ!F395)</f>
        <v>3550443.1700000004</v>
      </c>
      <c r="F32" s="458">
        <f>SUM(Ucto_HK_summ!G370:G374,Ucto_HK_summ!G378:G381,Ucto_HK_summ!G383:G385,Ucto_HK_summ!G387:G390,Ucto_HK_summ!G392,Ucto_HK_summ!G395)</f>
        <v>3542062.4400000004</v>
      </c>
      <c r="G32" s="607">
        <f>SUM(Ucto_HK_summ!H370:H374,Ucto_HK_summ!H378:H381,Ucto_HK_summ!H383:H385,Ucto_HK_summ!H387:H390,Ucto_HK_summ!H392,Ucto_HK_summ!H395)</f>
        <v>4310332.6399999997</v>
      </c>
      <c r="H32" s="69">
        <f t="shared" ref="H32:U32" si="84">G32*(1+H77)</f>
        <v>4310332.6399999997</v>
      </c>
      <c r="I32" s="69">
        <f t="shared" si="84"/>
        <v>4310332.6399999997</v>
      </c>
      <c r="J32" s="69">
        <f t="shared" si="84"/>
        <v>4310332.6399999997</v>
      </c>
      <c r="K32" s="69">
        <f t="shared" si="84"/>
        <v>4310332.6399999997</v>
      </c>
      <c r="L32" s="69">
        <f t="shared" si="84"/>
        <v>4310332.6399999997</v>
      </c>
      <c r="M32" s="69">
        <f t="shared" si="84"/>
        <v>4310332.6399999997</v>
      </c>
      <c r="N32" s="69">
        <f t="shared" si="84"/>
        <v>4310332.6399999997</v>
      </c>
      <c r="O32" s="69">
        <f t="shared" si="84"/>
        <v>4310332.6399999997</v>
      </c>
      <c r="P32" s="69">
        <f t="shared" si="84"/>
        <v>3965506.0288</v>
      </c>
      <c r="Q32" s="69">
        <f t="shared" si="84"/>
        <v>3965506.0288</v>
      </c>
      <c r="R32" s="69">
        <f t="shared" si="84"/>
        <v>3965506.0288</v>
      </c>
      <c r="S32" s="69">
        <f t="shared" si="84"/>
        <v>3965506.0288</v>
      </c>
      <c r="T32" s="69">
        <f t="shared" si="84"/>
        <v>3965506.0288</v>
      </c>
      <c r="U32" s="69">
        <f t="shared" si="84"/>
        <v>3965506.0288</v>
      </c>
      <c r="V32" s="69">
        <f t="shared" ref="V32:AB32" si="85">U32*(1+V77)</f>
        <v>3965506.0288</v>
      </c>
      <c r="W32" s="69">
        <f t="shared" si="85"/>
        <v>3965506.0288</v>
      </c>
      <c r="X32" s="69">
        <f t="shared" si="85"/>
        <v>3965506.0288</v>
      </c>
      <c r="Y32" s="69">
        <f t="shared" si="85"/>
        <v>3965506.0288</v>
      </c>
      <c r="Z32" s="69">
        <f t="shared" si="85"/>
        <v>3965506.0288</v>
      </c>
      <c r="AA32" s="69">
        <f t="shared" si="85"/>
        <v>3965506.0288</v>
      </c>
      <c r="AB32" s="69">
        <f t="shared" si="85"/>
        <v>3965506.0288</v>
      </c>
      <c r="AC32" s="457"/>
    </row>
    <row r="33" spans="2:29">
      <c r="B33" s="552" t="s">
        <v>3009</v>
      </c>
      <c r="C33" s="458">
        <f>Ucto_HK_summ!D416+Ucto_HK_summ!D413</f>
        <v>0</v>
      </c>
      <c r="D33" s="458">
        <f>Ucto_HK_summ!E416+Ucto_HK_summ!E413</f>
        <v>109.88</v>
      </c>
      <c r="E33" s="458">
        <f>Ucto_HK_summ!F416+Ucto_HK_summ!F413</f>
        <v>1435132.95</v>
      </c>
      <c r="F33" s="458">
        <f>Ucto_HK_summ!G416+Ucto_HK_summ!G413</f>
        <v>1628388.3599999999</v>
      </c>
      <c r="G33" s="607">
        <f>Ucto_HK_summ!H416+Ucto_HK_summ!H413</f>
        <v>1524424.27</v>
      </c>
      <c r="H33" s="69">
        <f t="shared" ref="H33:U33" si="86">G33*(1+H78)</f>
        <v>1524424.27</v>
      </c>
      <c r="I33" s="69">
        <f t="shared" si="86"/>
        <v>1524424.27</v>
      </c>
      <c r="J33" s="69">
        <f t="shared" si="86"/>
        <v>1524424.27</v>
      </c>
      <c r="K33" s="69">
        <f t="shared" si="86"/>
        <v>1524424.27</v>
      </c>
      <c r="L33" s="69">
        <f t="shared" si="86"/>
        <v>1524424.27</v>
      </c>
      <c r="M33" s="69">
        <f t="shared" si="86"/>
        <v>1524424.27</v>
      </c>
      <c r="N33" s="69">
        <f t="shared" si="86"/>
        <v>1524424.27</v>
      </c>
      <c r="O33" s="69">
        <f t="shared" si="86"/>
        <v>1524424.27</v>
      </c>
      <c r="P33" s="69">
        <f t="shared" si="86"/>
        <v>1524424.27</v>
      </c>
      <c r="Q33" s="69">
        <f t="shared" si="86"/>
        <v>1524424.27</v>
      </c>
      <c r="R33" s="69">
        <f t="shared" si="86"/>
        <v>1524424.27</v>
      </c>
      <c r="S33" s="69">
        <f t="shared" si="86"/>
        <v>1524424.27</v>
      </c>
      <c r="T33" s="69">
        <f t="shared" si="86"/>
        <v>1524424.27</v>
      </c>
      <c r="U33" s="69">
        <f t="shared" si="86"/>
        <v>1524424.27</v>
      </c>
      <c r="V33" s="69">
        <f t="shared" ref="V33:AB33" si="87">U33*(1+V78)</f>
        <v>1524424.27</v>
      </c>
      <c r="W33" s="69">
        <f t="shared" si="87"/>
        <v>1524424.27</v>
      </c>
      <c r="X33" s="69">
        <f t="shared" si="87"/>
        <v>1524424.27</v>
      </c>
      <c r="Y33" s="69">
        <f t="shared" si="87"/>
        <v>1524424.27</v>
      </c>
      <c r="Z33" s="69">
        <f t="shared" si="87"/>
        <v>1524424.27</v>
      </c>
      <c r="AA33" s="69">
        <f t="shared" si="87"/>
        <v>1524424.27</v>
      </c>
      <c r="AB33" s="69">
        <f t="shared" si="87"/>
        <v>1524424.27</v>
      </c>
      <c r="AC33" s="457"/>
    </row>
    <row r="34" spans="2:29">
      <c r="B34" s="552" t="s">
        <v>3006</v>
      </c>
      <c r="C34" s="458">
        <f>SUM(Ucto_HK_summ!D403:D404,Ucto_HK_summ!D409)</f>
        <v>429003.12</v>
      </c>
      <c r="D34" s="458">
        <f>SUM(Ucto_HK_summ!E403:E404,Ucto_HK_summ!E409)</f>
        <v>397814.39</v>
      </c>
      <c r="E34" s="458">
        <f>SUM(Ucto_HK_summ!F403:F404,Ucto_HK_summ!F409)</f>
        <v>436230.55</v>
      </c>
      <c r="F34" s="458">
        <f>SUM(Ucto_HK_summ!G403:G404,Ucto_HK_summ!G409)</f>
        <v>565769.16</v>
      </c>
      <c r="G34" s="607">
        <f>SUM(Ucto_HK_summ!H403:H404,Ucto_HK_summ!H409)</f>
        <v>605938.32999999996</v>
      </c>
      <c r="H34" s="69">
        <f t="shared" ref="H34:U34" si="88">G34*(1+H79)</f>
        <v>605938.32999999996</v>
      </c>
      <c r="I34" s="69">
        <f t="shared" si="88"/>
        <v>605938.32999999996</v>
      </c>
      <c r="J34" s="69">
        <f t="shared" si="88"/>
        <v>605938.32999999996</v>
      </c>
      <c r="K34" s="69">
        <f t="shared" si="88"/>
        <v>605938.32999999996</v>
      </c>
      <c r="L34" s="69">
        <f t="shared" si="88"/>
        <v>605938.32999999996</v>
      </c>
      <c r="M34" s="69">
        <f t="shared" si="88"/>
        <v>605938.32999999996</v>
      </c>
      <c r="N34" s="69">
        <f t="shared" si="88"/>
        <v>605938.32999999996</v>
      </c>
      <c r="O34" s="69">
        <f t="shared" si="88"/>
        <v>605938.32999999996</v>
      </c>
      <c r="P34" s="69">
        <f t="shared" si="88"/>
        <v>605938.32999999996</v>
      </c>
      <c r="Q34" s="69">
        <f t="shared" si="88"/>
        <v>605938.32999999996</v>
      </c>
      <c r="R34" s="69">
        <f t="shared" si="88"/>
        <v>605938.32999999996</v>
      </c>
      <c r="S34" s="69">
        <f t="shared" si="88"/>
        <v>605938.32999999996</v>
      </c>
      <c r="T34" s="69">
        <f t="shared" si="88"/>
        <v>605938.32999999996</v>
      </c>
      <c r="U34" s="69">
        <f t="shared" si="88"/>
        <v>605938.32999999996</v>
      </c>
      <c r="V34" s="69">
        <f t="shared" ref="V34:AB34" si="89">U34*(1+V79)</f>
        <v>605938.32999999996</v>
      </c>
      <c r="W34" s="69">
        <f t="shared" si="89"/>
        <v>605938.32999999996</v>
      </c>
      <c r="X34" s="69">
        <f t="shared" si="89"/>
        <v>605938.32999999996</v>
      </c>
      <c r="Y34" s="69">
        <f t="shared" si="89"/>
        <v>605938.32999999996</v>
      </c>
      <c r="Z34" s="69">
        <f t="shared" si="89"/>
        <v>605938.32999999996</v>
      </c>
      <c r="AA34" s="69">
        <f t="shared" si="89"/>
        <v>605938.32999999996</v>
      </c>
      <c r="AB34" s="69">
        <f t="shared" si="89"/>
        <v>605938.32999999996</v>
      </c>
      <c r="AC34" s="457"/>
    </row>
    <row r="35" spans="2:29" s="457" customFormat="1">
      <c r="B35" s="598" t="s">
        <v>2986</v>
      </c>
      <c r="C35" s="608">
        <f>Ucto_HK_summ!D451</f>
        <v>0</v>
      </c>
      <c r="D35" s="608">
        <f>Ucto_HK_summ!E451</f>
        <v>0</v>
      </c>
      <c r="E35" s="608">
        <f>Ucto_HK_summ!F451</f>
        <v>162991.97</v>
      </c>
      <c r="F35" s="608">
        <f>Ucto_HK_summ!G451</f>
        <v>2138186.7799999998</v>
      </c>
      <c r="G35" s="609">
        <f>Ucto_HK_summ!H451</f>
        <v>2875276.47</v>
      </c>
      <c r="H35" s="598">
        <f>'Revenues"A"'!H27-H80*'Revenues"A"'!H27</f>
        <v>2809131.4463573173</v>
      </c>
      <c r="I35" s="598">
        <f>'Revenues"A"'!I27-I80*'Revenues"A"'!I27</f>
        <v>2896385.1090269485</v>
      </c>
      <c r="J35" s="598">
        <f>'Revenues"A"'!J27-J80*'Revenues"A"'!J27</f>
        <v>3100845.0198631017</v>
      </c>
      <c r="K35" s="598">
        <f>'Revenues"A"'!K27-K80*'Revenues"A"'!K27</f>
        <v>3403098.963472093</v>
      </c>
      <c r="L35" s="598">
        <f>'Revenues"A"'!L27-L80*'Revenues"A"'!L27</f>
        <v>3666240.5903518507</v>
      </c>
      <c r="M35" s="598">
        <f>'Revenues"A"'!M27-M80*'Revenues"A"'!M27</f>
        <v>3812149.4955023937</v>
      </c>
      <c r="N35" s="598">
        <f>'Revenues"A"'!N27-N80*'Revenues"A"'!N27</f>
        <v>4048241.8167523048</v>
      </c>
      <c r="O35" s="598">
        <f>'Revenues"A"'!O27-O80*'Revenues"A"'!O27</f>
        <v>4353647.1408003028</v>
      </c>
      <c r="P35" s="598">
        <f>'Revenues"A"'!P27-P80*'Revenues"A"'!P27</f>
        <v>4504780.5870102793</v>
      </c>
      <c r="Q35" s="598">
        <f>'Revenues"A"'!Q27-Q80*'Revenues"A"'!Q27</f>
        <v>4654724.471198773</v>
      </c>
      <c r="R35" s="598">
        <f>'Revenues"A"'!R27-R80*'Revenues"A"'!R27</f>
        <v>4807305.2677270798</v>
      </c>
      <c r="S35" s="598">
        <f>'Revenues"A"'!S27-S80*'Revenues"A"'!S27</f>
        <v>4959773.8056891924</v>
      </c>
      <c r="T35" s="598">
        <f>'Revenues"A"'!T27-T80*'Revenues"A"'!T27</f>
        <v>5110248.0216879062</v>
      </c>
      <c r="U35" s="598">
        <f>'Revenues"A"'!U27-U80*'Revenues"A"'!U27</f>
        <v>5259287.0429827161</v>
      </c>
      <c r="V35" s="598">
        <f>'Revenues"A"'!V27-V80*'Revenues"A"'!V27</f>
        <v>5259287.0429827161</v>
      </c>
      <c r="W35" s="598">
        <f>'Revenues"A"'!W27-W80*'Revenues"A"'!W27</f>
        <v>5259287.0429827161</v>
      </c>
      <c r="X35" s="598">
        <f>'Revenues"A"'!X27-X80*'Revenues"A"'!X27</f>
        <v>5259287.0429827161</v>
      </c>
      <c r="Y35" s="598">
        <f>'Revenues"A"'!Y27-Y80*'Revenues"A"'!Y27</f>
        <v>5259287.0429827161</v>
      </c>
      <c r="Z35" s="598">
        <f>'Revenues"A"'!Z27-Z80*'Revenues"A"'!Z27</f>
        <v>5259287.0429827161</v>
      </c>
      <c r="AA35" s="598">
        <f>'Revenues"A"'!AA27-AA80*'Revenues"A"'!AA27</f>
        <v>5259287.0429827161</v>
      </c>
      <c r="AB35" s="598">
        <f>'Revenues"A"'!AB27-AB80*'Revenues"A"'!AB27</f>
        <v>5259287.0429827161</v>
      </c>
    </row>
    <row r="36" spans="2:29">
      <c r="B36" s="598" t="s">
        <v>2993</v>
      </c>
      <c r="C36" s="608">
        <f t="shared" ref="C36:U36" si="90">SUM(C37:C43)</f>
        <v>4557201.59</v>
      </c>
      <c r="D36" s="608">
        <f t="shared" si="90"/>
        <v>4844338.1899999995</v>
      </c>
      <c r="E36" s="608">
        <f t="shared" si="90"/>
        <v>5479386.6899999995</v>
      </c>
      <c r="F36" s="608">
        <f t="shared" si="90"/>
        <v>6025849.8399999999</v>
      </c>
      <c r="G36" s="609">
        <f t="shared" si="90"/>
        <v>5666221.75</v>
      </c>
      <c r="H36" s="598">
        <f t="shared" si="90"/>
        <v>4625768.4790000003</v>
      </c>
      <c r="I36" s="598">
        <f t="shared" si="90"/>
        <v>4625768.4790000003</v>
      </c>
      <c r="J36" s="598">
        <f t="shared" si="90"/>
        <v>4625768.4790000003</v>
      </c>
      <c r="K36" s="598">
        <f t="shared" si="90"/>
        <v>4625768.4790000003</v>
      </c>
      <c r="L36" s="598">
        <f t="shared" si="90"/>
        <v>4625768.4790000003</v>
      </c>
      <c r="M36" s="598">
        <f t="shared" si="90"/>
        <v>4625768.4790000003</v>
      </c>
      <c r="N36" s="598">
        <f t="shared" si="90"/>
        <v>4625768.4790000003</v>
      </c>
      <c r="O36" s="598">
        <f t="shared" si="90"/>
        <v>4625768.4790000003</v>
      </c>
      <c r="P36" s="598">
        <f t="shared" si="90"/>
        <v>4298944.6817500005</v>
      </c>
      <c r="Q36" s="598">
        <f t="shared" si="90"/>
        <v>4298944.6817500005</v>
      </c>
      <c r="R36" s="598">
        <f t="shared" si="90"/>
        <v>4298944.6817500005</v>
      </c>
      <c r="S36" s="598">
        <f t="shared" si="90"/>
        <v>4298944.6817500005</v>
      </c>
      <c r="T36" s="598">
        <f t="shared" si="90"/>
        <v>4298944.6817500005</v>
      </c>
      <c r="U36" s="598">
        <f t="shared" si="90"/>
        <v>4298944.6817500005</v>
      </c>
      <c r="V36" s="598">
        <f t="shared" ref="V36:AB36" si="91">SUM(V37:V43)</f>
        <v>4298944.6817500005</v>
      </c>
      <c r="W36" s="598">
        <f t="shared" si="91"/>
        <v>4298944.6817500005</v>
      </c>
      <c r="X36" s="598">
        <f t="shared" si="91"/>
        <v>4298944.6817500005</v>
      </c>
      <c r="Y36" s="598">
        <f t="shared" si="91"/>
        <v>4298944.6817500005</v>
      </c>
      <c r="Z36" s="598">
        <f t="shared" si="91"/>
        <v>4298944.6817500005</v>
      </c>
      <c r="AA36" s="598">
        <f t="shared" si="91"/>
        <v>4298944.6817500005</v>
      </c>
      <c r="AB36" s="598">
        <f t="shared" si="91"/>
        <v>4298944.6817500005</v>
      </c>
      <c r="AC36" s="457"/>
    </row>
    <row r="37" spans="2:29" s="552" customFormat="1">
      <c r="B37" s="552" t="s">
        <v>3015</v>
      </c>
      <c r="C37" s="458">
        <f>SUM(Ucto_HK_summ!D453)</f>
        <v>1211677.03</v>
      </c>
      <c r="D37" s="458">
        <f>SUM(Ucto_HK_summ!E453)</f>
        <v>1210845.75</v>
      </c>
      <c r="E37" s="458">
        <f>SUM(Ucto_HK_summ!F453)</f>
        <v>1186640.3999999999</v>
      </c>
      <c r="F37" s="458">
        <f>SUM(Ucto_HK_summ!G453)</f>
        <v>1283909.18</v>
      </c>
      <c r="G37" s="607">
        <f>SUM(Ucto_HK_summ!H453)</f>
        <v>952677.78</v>
      </c>
      <c r="H37" s="552">
        <f t="shared" ref="H37:H43" si="92">G37*(1+H81)</f>
        <v>1047945.5580000001</v>
      </c>
      <c r="I37" s="552">
        <f t="shared" ref="I37:U43" si="93">H37*(1+I81)</f>
        <v>1047945.5580000001</v>
      </c>
      <c r="J37" s="552">
        <f t="shared" si="93"/>
        <v>1047945.5580000001</v>
      </c>
      <c r="K37" s="552">
        <f t="shared" si="93"/>
        <v>1047945.5580000001</v>
      </c>
      <c r="L37" s="552">
        <f t="shared" si="93"/>
        <v>1047945.5580000001</v>
      </c>
      <c r="M37" s="552">
        <f t="shared" si="93"/>
        <v>1047945.5580000001</v>
      </c>
      <c r="N37" s="552">
        <f t="shared" si="93"/>
        <v>1047945.5580000001</v>
      </c>
      <c r="O37" s="552">
        <f t="shared" si="93"/>
        <v>1047945.5580000001</v>
      </c>
      <c r="P37" s="552">
        <f t="shared" si="93"/>
        <v>890753.7243</v>
      </c>
      <c r="Q37" s="552">
        <f t="shared" si="93"/>
        <v>890753.7243</v>
      </c>
      <c r="R37" s="552">
        <f t="shared" si="93"/>
        <v>890753.7243</v>
      </c>
      <c r="S37" s="552">
        <f t="shared" si="93"/>
        <v>890753.7243</v>
      </c>
      <c r="T37" s="552">
        <f t="shared" si="93"/>
        <v>890753.7243</v>
      </c>
      <c r="U37" s="552">
        <f t="shared" si="93"/>
        <v>890753.7243</v>
      </c>
      <c r="V37" s="552">
        <f t="shared" ref="V37:AB37" si="94">U37*(1+V81)</f>
        <v>890753.7243</v>
      </c>
      <c r="W37" s="552">
        <f t="shared" si="94"/>
        <v>890753.7243</v>
      </c>
      <c r="X37" s="552">
        <f t="shared" si="94"/>
        <v>890753.7243</v>
      </c>
      <c r="Y37" s="552">
        <f t="shared" si="94"/>
        <v>890753.7243</v>
      </c>
      <c r="Z37" s="552">
        <f t="shared" si="94"/>
        <v>890753.7243</v>
      </c>
      <c r="AA37" s="552">
        <f t="shared" si="94"/>
        <v>890753.7243</v>
      </c>
      <c r="AB37" s="552">
        <f t="shared" si="94"/>
        <v>890753.7243</v>
      </c>
      <c r="AC37" s="457"/>
    </row>
    <row r="38" spans="2:29" s="552" customFormat="1">
      <c r="B38" s="552" t="s">
        <v>3016</v>
      </c>
      <c r="C38" s="458">
        <f>SUM(Ucto_HK_summ!D454:D464)</f>
        <v>278571.82000000007</v>
      </c>
      <c r="D38" s="458">
        <f>SUM(Ucto_HK_summ!E454:E464)</f>
        <v>437151.68999999994</v>
      </c>
      <c r="E38" s="458">
        <f>SUM(Ucto_HK_summ!F454:F464)</f>
        <v>887130.53999999992</v>
      </c>
      <c r="F38" s="458">
        <f>SUM(Ucto_HK_summ!G454:G464)</f>
        <v>627729.16999999993</v>
      </c>
      <c r="G38" s="607">
        <f>SUM(Ucto_HK_summ!H454:H464)</f>
        <v>1077028.3399999999</v>
      </c>
      <c r="H38" s="552">
        <f t="shared" si="92"/>
        <v>1130879.757</v>
      </c>
      <c r="I38" s="552">
        <f t="shared" si="93"/>
        <v>1130879.757</v>
      </c>
      <c r="J38" s="552">
        <f t="shared" si="93"/>
        <v>1130879.757</v>
      </c>
      <c r="K38" s="552">
        <f t="shared" si="93"/>
        <v>1130879.757</v>
      </c>
      <c r="L38" s="552">
        <f t="shared" si="93"/>
        <v>1130879.757</v>
      </c>
      <c r="M38" s="552">
        <f t="shared" si="93"/>
        <v>1130879.757</v>
      </c>
      <c r="N38" s="552">
        <f t="shared" si="93"/>
        <v>1130879.757</v>
      </c>
      <c r="O38" s="552">
        <f t="shared" si="93"/>
        <v>1130879.757</v>
      </c>
      <c r="P38" s="552">
        <f t="shared" si="93"/>
        <v>961247.79345</v>
      </c>
      <c r="Q38" s="552">
        <f t="shared" si="93"/>
        <v>961247.79345</v>
      </c>
      <c r="R38" s="552">
        <f t="shared" si="93"/>
        <v>961247.79345</v>
      </c>
      <c r="S38" s="552">
        <f t="shared" si="93"/>
        <v>961247.79345</v>
      </c>
      <c r="T38" s="552">
        <f t="shared" si="93"/>
        <v>961247.79345</v>
      </c>
      <c r="U38" s="552">
        <f t="shared" si="93"/>
        <v>961247.79345</v>
      </c>
      <c r="V38" s="552">
        <f t="shared" ref="V38:AB38" si="95">U38*(1+V82)</f>
        <v>961247.79345</v>
      </c>
      <c r="W38" s="552">
        <f t="shared" si="95"/>
        <v>961247.79345</v>
      </c>
      <c r="X38" s="552">
        <f t="shared" si="95"/>
        <v>961247.79345</v>
      </c>
      <c r="Y38" s="552">
        <f t="shared" si="95"/>
        <v>961247.79345</v>
      </c>
      <c r="Z38" s="552">
        <f t="shared" si="95"/>
        <v>961247.79345</v>
      </c>
      <c r="AA38" s="552">
        <f t="shared" si="95"/>
        <v>961247.79345</v>
      </c>
      <c r="AB38" s="552">
        <f t="shared" si="95"/>
        <v>961247.79345</v>
      </c>
      <c r="AC38" s="457"/>
    </row>
    <row r="39" spans="2:29" s="552" customFormat="1">
      <c r="B39" s="552" t="s">
        <v>1944</v>
      </c>
      <c r="C39" s="458">
        <f>Ucto_HK_summ!D479</f>
        <v>1667518.19</v>
      </c>
      <c r="D39" s="458">
        <f>Ucto_HK_summ!E479</f>
        <v>1657302.91</v>
      </c>
      <c r="E39" s="458">
        <f>Ucto_HK_summ!F479</f>
        <v>1662794.15</v>
      </c>
      <c r="F39" s="458">
        <f>Ucto_HK_summ!G479</f>
        <v>2219702.11</v>
      </c>
      <c r="G39" s="607">
        <f>Ucto_HK_summ!H479</f>
        <v>1351967.9</v>
      </c>
      <c r="H39" s="843">
        <f t="shared" si="92"/>
        <v>0</v>
      </c>
      <c r="I39" s="552">
        <f t="shared" si="93"/>
        <v>0</v>
      </c>
      <c r="J39" s="552">
        <f t="shared" si="93"/>
        <v>0</v>
      </c>
      <c r="K39" s="552">
        <f t="shared" si="93"/>
        <v>0</v>
      </c>
      <c r="L39" s="552">
        <f t="shared" si="93"/>
        <v>0</v>
      </c>
      <c r="M39" s="552">
        <f t="shared" si="93"/>
        <v>0</v>
      </c>
      <c r="N39" s="552">
        <f t="shared" si="93"/>
        <v>0</v>
      </c>
      <c r="O39" s="552">
        <f t="shared" si="93"/>
        <v>0</v>
      </c>
      <c r="P39" s="552">
        <f t="shared" si="93"/>
        <v>0</v>
      </c>
      <c r="Q39" s="552">
        <f t="shared" si="93"/>
        <v>0</v>
      </c>
      <c r="R39" s="552">
        <f t="shared" si="93"/>
        <v>0</v>
      </c>
      <c r="S39" s="552">
        <f t="shared" si="93"/>
        <v>0</v>
      </c>
      <c r="T39" s="552">
        <f t="shared" si="93"/>
        <v>0</v>
      </c>
      <c r="U39" s="552">
        <f t="shared" si="93"/>
        <v>0</v>
      </c>
      <c r="V39" s="552">
        <f t="shared" ref="V39:AB39" si="96">U39*(1+V83)</f>
        <v>0</v>
      </c>
      <c r="W39" s="552">
        <f t="shared" si="96"/>
        <v>0</v>
      </c>
      <c r="X39" s="552">
        <f t="shared" si="96"/>
        <v>0</v>
      </c>
      <c r="Y39" s="552">
        <f t="shared" si="96"/>
        <v>0</v>
      </c>
      <c r="Z39" s="552">
        <f t="shared" si="96"/>
        <v>0</v>
      </c>
      <c r="AA39" s="552">
        <f t="shared" si="96"/>
        <v>0</v>
      </c>
      <c r="AB39" s="552">
        <f t="shared" si="96"/>
        <v>0</v>
      </c>
      <c r="AC39" s="457"/>
    </row>
    <row r="40" spans="2:29" s="552" customFormat="1">
      <c r="B40" s="552" t="s">
        <v>3017</v>
      </c>
      <c r="C40" s="458">
        <f>Ucto_HK_summ!D481+Ucto_HK_summ!D484</f>
        <v>532337.46</v>
      </c>
      <c r="D40" s="458">
        <f>Ucto_HK_summ!E481+Ucto_HK_summ!E484</f>
        <v>640802.25</v>
      </c>
      <c r="E40" s="458">
        <f>Ucto_HK_summ!F481+Ucto_HK_summ!F484</f>
        <v>699360.72</v>
      </c>
      <c r="F40" s="458">
        <f>Ucto_HK_summ!G481+Ucto_HK_summ!G484</f>
        <v>666740.46</v>
      </c>
      <c r="G40" s="607">
        <f>Ucto_HK_summ!H481+Ucto_HK_summ!H484</f>
        <v>765284.72</v>
      </c>
      <c r="H40" s="552">
        <f t="shared" si="92"/>
        <v>803548.95600000001</v>
      </c>
      <c r="I40" s="552">
        <f t="shared" si="93"/>
        <v>803548.95600000001</v>
      </c>
      <c r="J40" s="552">
        <f t="shared" si="93"/>
        <v>803548.95600000001</v>
      </c>
      <c r="K40" s="552">
        <f t="shared" si="93"/>
        <v>803548.95600000001</v>
      </c>
      <c r="L40" s="552">
        <f t="shared" si="93"/>
        <v>803548.95600000001</v>
      </c>
      <c r="M40" s="552">
        <f t="shared" si="93"/>
        <v>803548.95600000001</v>
      </c>
      <c r="N40" s="552">
        <f t="shared" si="93"/>
        <v>803548.95600000001</v>
      </c>
      <c r="O40" s="552">
        <f t="shared" si="93"/>
        <v>803548.95600000001</v>
      </c>
      <c r="P40" s="552">
        <f t="shared" si="93"/>
        <v>803548.95600000001</v>
      </c>
      <c r="Q40" s="552">
        <f t="shared" si="93"/>
        <v>803548.95600000001</v>
      </c>
      <c r="R40" s="552">
        <f t="shared" si="93"/>
        <v>803548.95600000001</v>
      </c>
      <c r="S40" s="552">
        <f t="shared" si="93"/>
        <v>803548.95600000001</v>
      </c>
      <c r="T40" s="552">
        <f t="shared" si="93"/>
        <v>803548.95600000001</v>
      </c>
      <c r="U40" s="552">
        <f t="shared" si="93"/>
        <v>803548.95600000001</v>
      </c>
      <c r="V40" s="552">
        <f t="shared" ref="V40:AB40" si="97">U40*(1+V84)</f>
        <v>803548.95600000001</v>
      </c>
      <c r="W40" s="552">
        <f t="shared" si="97"/>
        <v>803548.95600000001</v>
      </c>
      <c r="X40" s="552">
        <f t="shared" si="97"/>
        <v>803548.95600000001</v>
      </c>
      <c r="Y40" s="552">
        <f t="shared" si="97"/>
        <v>803548.95600000001</v>
      </c>
      <c r="Z40" s="552">
        <f t="shared" si="97"/>
        <v>803548.95600000001</v>
      </c>
      <c r="AA40" s="552">
        <f t="shared" si="97"/>
        <v>803548.95600000001</v>
      </c>
      <c r="AB40" s="552">
        <f t="shared" si="97"/>
        <v>803548.95600000001</v>
      </c>
      <c r="AC40" s="457"/>
    </row>
    <row r="41" spans="2:29" s="552" customFormat="1">
      <c r="B41" s="552" t="s">
        <v>3018</v>
      </c>
      <c r="C41" s="458">
        <f>Ucto_HK_summ!D495</f>
        <v>241922.97</v>
      </c>
      <c r="D41" s="458">
        <f>Ucto_HK_summ!E495</f>
        <v>241575.2</v>
      </c>
      <c r="E41" s="458">
        <f>Ucto_HK_summ!F495</f>
        <v>288745.2</v>
      </c>
      <c r="F41" s="458">
        <f>Ucto_HK_summ!G495</f>
        <v>380229.97</v>
      </c>
      <c r="G41" s="607">
        <f>Ucto_HK_summ!H495</f>
        <v>403414.99</v>
      </c>
      <c r="H41" s="552">
        <f t="shared" si="92"/>
        <v>423585.73950000003</v>
      </c>
      <c r="I41" s="552">
        <f t="shared" si="93"/>
        <v>423585.73950000003</v>
      </c>
      <c r="J41" s="552">
        <f t="shared" si="93"/>
        <v>423585.73950000003</v>
      </c>
      <c r="K41" s="552">
        <f t="shared" si="93"/>
        <v>423585.73950000003</v>
      </c>
      <c r="L41" s="552">
        <f t="shared" si="93"/>
        <v>423585.73950000003</v>
      </c>
      <c r="M41" s="552">
        <f t="shared" si="93"/>
        <v>423585.73950000003</v>
      </c>
      <c r="N41" s="552">
        <f t="shared" si="93"/>
        <v>423585.73950000003</v>
      </c>
      <c r="O41" s="552">
        <f t="shared" si="93"/>
        <v>423585.73950000003</v>
      </c>
      <c r="P41" s="552">
        <f t="shared" si="93"/>
        <v>423585.73950000003</v>
      </c>
      <c r="Q41" s="552">
        <f t="shared" si="93"/>
        <v>423585.73950000003</v>
      </c>
      <c r="R41" s="552">
        <f t="shared" si="93"/>
        <v>423585.73950000003</v>
      </c>
      <c r="S41" s="552">
        <f t="shared" si="93"/>
        <v>423585.73950000003</v>
      </c>
      <c r="T41" s="552">
        <f t="shared" si="93"/>
        <v>423585.73950000003</v>
      </c>
      <c r="U41" s="552">
        <f t="shared" si="93"/>
        <v>423585.73950000003</v>
      </c>
      <c r="V41" s="552">
        <f t="shared" ref="V41:AB41" si="98">U41*(1+V85)</f>
        <v>423585.73950000003</v>
      </c>
      <c r="W41" s="552">
        <f t="shared" si="98"/>
        <v>423585.73950000003</v>
      </c>
      <c r="X41" s="552">
        <f t="shared" si="98"/>
        <v>423585.73950000003</v>
      </c>
      <c r="Y41" s="552">
        <f t="shared" si="98"/>
        <v>423585.73950000003</v>
      </c>
      <c r="Z41" s="552">
        <f t="shared" si="98"/>
        <v>423585.73950000003</v>
      </c>
      <c r="AA41" s="552">
        <f t="shared" si="98"/>
        <v>423585.73950000003</v>
      </c>
      <c r="AB41" s="552">
        <f t="shared" si="98"/>
        <v>423585.73950000003</v>
      </c>
      <c r="AC41" s="457"/>
    </row>
    <row r="42" spans="2:29" s="552" customFormat="1">
      <c r="B42" s="552" t="s">
        <v>3019</v>
      </c>
      <c r="C42" s="458">
        <f>Ucto_HK_summ!D493</f>
        <v>89116.3</v>
      </c>
      <c r="D42" s="458">
        <f>Ucto_HK_summ!E493</f>
        <v>99496.76</v>
      </c>
      <c r="E42" s="458">
        <f>Ucto_HK_summ!F493</f>
        <v>101089.79</v>
      </c>
      <c r="F42" s="458">
        <f>Ucto_HK_summ!G493</f>
        <v>107773.79</v>
      </c>
      <c r="G42" s="607">
        <f>Ucto_HK_summ!H493</f>
        <v>152487.07</v>
      </c>
      <c r="H42" s="552">
        <f t="shared" si="92"/>
        <v>160111.4235</v>
      </c>
      <c r="I42" s="552">
        <f t="shared" si="93"/>
        <v>160111.4235</v>
      </c>
      <c r="J42" s="552">
        <f t="shared" si="93"/>
        <v>160111.4235</v>
      </c>
      <c r="K42" s="552">
        <f t="shared" si="93"/>
        <v>160111.4235</v>
      </c>
      <c r="L42" s="552">
        <f t="shared" si="93"/>
        <v>160111.4235</v>
      </c>
      <c r="M42" s="552">
        <f t="shared" si="93"/>
        <v>160111.4235</v>
      </c>
      <c r="N42" s="552">
        <f t="shared" si="93"/>
        <v>160111.4235</v>
      </c>
      <c r="O42" s="552">
        <f t="shared" si="93"/>
        <v>160111.4235</v>
      </c>
      <c r="P42" s="552">
        <f t="shared" si="93"/>
        <v>160111.4235</v>
      </c>
      <c r="Q42" s="552">
        <f t="shared" si="93"/>
        <v>160111.4235</v>
      </c>
      <c r="R42" s="552">
        <f t="shared" si="93"/>
        <v>160111.4235</v>
      </c>
      <c r="S42" s="552">
        <f t="shared" si="93"/>
        <v>160111.4235</v>
      </c>
      <c r="T42" s="552">
        <f t="shared" si="93"/>
        <v>160111.4235</v>
      </c>
      <c r="U42" s="552">
        <f t="shared" si="93"/>
        <v>160111.4235</v>
      </c>
      <c r="V42" s="552">
        <f t="shared" ref="V42:AB42" si="99">U42*(1+V86)</f>
        <v>160111.4235</v>
      </c>
      <c r="W42" s="552">
        <f t="shared" si="99"/>
        <v>160111.4235</v>
      </c>
      <c r="X42" s="552">
        <f t="shared" si="99"/>
        <v>160111.4235</v>
      </c>
      <c r="Y42" s="552">
        <f t="shared" si="99"/>
        <v>160111.4235</v>
      </c>
      <c r="Z42" s="552">
        <f t="shared" si="99"/>
        <v>160111.4235</v>
      </c>
      <c r="AA42" s="552">
        <f t="shared" si="99"/>
        <v>160111.4235</v>
      </c>
      <c r="AB42" s="552">
        <f t="shared" si="99"/>
        <v>160111.4235</v>
      </c>
      <c r="AC42" s="457"/>
    </row>
    <row r="43" spans="2:29" s="552" customFormat="1">
      <c r="B43" s="552" t="s">
        <v>3026</v>
      </c>
      <c r="C43" s="458">
        <f>SUM(Ucto_HK_summ!D466:D478,Ucto_HK_summ!D480,Ucto_HK_summ!D482:D483,Ucto_HK_summ!D485:D492,Ucto_HK_summ!D494,Ucto_HK_summ!D496:D511)</f>
        <v>536057.81999999995</v>
      </c>
      <c r="D43" s="458">
        <f>SUM(Ucto_HK_summ!E466:E478,Ucto_HK_summ!E480,Ucto_HK_summ!E482:E483,Ucto_HK_summ!E485:E492,Ucto_HK_summ!E494,Ucto_HK_summ!E496:E511)</f>
        <v>557163.62999999977</v>
      </c>
      <c r="E43" s="458">
        <f>SUM(Ucto_HK_summ!F466:F478,Ucto_HK_summ!F480,Ucto_HK_summ!F482:F483,Ucto_HK_summ!F485:F492,Ucto_HK_summ!F494,Ucto_HK_summ!F496:F511)</f>
        <v>653625.89</v>
      </c>
      <c r="F43" s="458">
        <f>SUM(Ucto_HK_summ!G466:G478,Ucto_HK_summ!G480,Ucto_HK_summ!G482:G483,Ucto_HK_summ!G485:G492,Ucto_HK_summ!G494,Ucto_HK_summ!G496:G511)</f>
        <v>739765.16</v>
      </c>
      <c r="G43" s="607">
        <f>SUM(Ucto_HK_summ!H466:H478,Ucto_HK_summ!H480,Ucto_HK_summ!H482:H483,Ucto_HK_summ!H485:H492,Ucto_HK_summ!H494,Ucto_HK_summ!H496:H511)</f>
        <v>963360.95000000007</v>
      </c>
      <c r="H43" s="552">
        <f t="shared" si="92"/>
        <v>1059697.0450000002</v>
      </c>
      <c r="I43" s="552">
        <f t="shared" si="93"/>
        <v>1059697.0450000002</v>
      </c>
      <c r="J43" s="552">
        <f t="shared" si="93"/>
        <v>1059697.0450000002</v>
      </c>
      <c r="K43" s="552">
        <f t="shared" si="93"/>
        <v>1059697.0450000002</v>
      </c>
      <c r="L43" s="552">
        <f t="shared" si="93"/>
        <v>1059697.0450000002</v>
      </c>
      <c r="M43" s="552">
        <f t="shared" si="93"/>
        <v>1059697.0450000002</v>
      </c>
      <c r="N43" s="552">
        <f t="shared" si="93"/>
        <v>1059697.0450000002</v>
      </c>
      <c r="O43" s="552">
        <f t="shared" si="93"/>
        <v>1059697.0450000002</v>
      </c>
      <c r="P43" s="552">
        <f t="shared" si="93"/>
        <v>1059697.0450000002</v>
      </c>
      <c r="Q43" s="552">
        <f t="shared" si="93"/>
        <v>1059697.0450000002</v>
      </c>
      <c r="R43" s="552">
        <f t="shared" si="93"/>
        <v>1059697.0450000002</v>
      </c>
      <c r="S43" s="552">
        <f t="shared" si="93"/>
        <v>1059697.0450000002</v>
      </c>
      <c r="T43" s="552">
        <f t="shared" si="93"/>
        <v>1059697.0450000002</v>
      </c>
      <c r="U43" s="552">
        <f t="shared" si="93"/>
        <v>1059697.0450000002</v>
      </c>
      <c r="V43" s="552">
        <f t="shared" ref="V43:AB43" si="100">U43*(1+V87)</f>
        <v>1059697.0450000002</v>
      </c>
      <c r="W43" s="552">
        <f t="shared" si="100"/>
        <v>1059697.0450000002</v>
      </c>
      <c r="X43" s="552">
        <f t="shared" si="100"/>
        <v>1059697.0450000002</v>
      </c>
      <c r="Y43" s="552">
        <f t="shared" si="100"/>
        <v>1059697.0450000002</v>
      </c>
      <c r="Z43" s="552">
        <f t="shared" si="100"/>
        <v>1059697.0450000002</v>
      </c>
      <c r="AA43" s="552">
        <f t="shared" si="100"/>
        <v>1059697.0450000002</v>
      </c>
      <c r="AB43" s="552">
        <f t="shared" si="100"/>
        <v>1059697.0450000002</v>
      </c>
      <c r="AC43" s="457"/>
    </row>
    <row r="44" spans="2:29">
      <c r="B44" s="598" t="s">
        <v>3014</v>
      </c>
      <c r="C44" s="608">
        <f>SUM(C45:C49,C53:C57)</f>
        <v>7780292.1600000001</v>
      </c>
      <c r="D44" s="608">
        <f t="shared" ref="D44:U44" si="101">SUM(D45:D49,D53:D57)</f>
        <v>10764914.959999993</v>
      </c>
      <c r="E44" s="608">
        <f t="shared" si="101"/>
        <v>10144030.650000006</v>
      </c>
      <c r="F44" s="608">
        <f t="shared" si="101"/>
        <v>33734719.62999998</v>
      </c>
      <c r="G44" s="609">
        <f t="shared" si="101"/>
        <v>21001194.379999988</v>
      </c>
      <c r="H44" s="598">
        <f t="shared" si="101"/>
        <v>8139757.5641797036</v>
      </c>
      <c r="I44" s="598">
        <f t="shared" si="101"/>
        <v>8780525.2583662402</v>
      </c>
      <c r="J44" s="598">
        <f t="shared" si="101"/>
        <v>12118856.846553156</v>
      </c>
      <c r="K44" s="598">
        <f t="shared" si="101"/>
        <v>16822925.901088126</v>
      </c>
      <c r="L44" s="598">
        <f t="shared" si="101"/>
        <v>26159073.903374467</v>
      </c>
      <c r="M44" s="598">
        <f t="shared" si="101"/>
        <v>28159341.304267935</v>
      </c>
      <c r="N44" s="598">
        <f t="shared" si="101"/>
        <v>33170437.473559543</v>
      </c>
      <c r="O44" s="598">
        <f t="shared" si="101"/>
        <v>44174461.706437334</v>
      </c>
      <c r="P44" s="598">
        <f>SUM(P45:P49,P53:P57)</f>
        <v>43405766.260537647</v>
      </c>
      <c r="Q44" s="598">
        <f t="shared" si="101"/>
        <v>41684674.163919322</v>
      </c>
      <c r="R44" s="598">
        <f t="shared" si="101"/>
        <v>41394685.524649985</v>
      </c>
      <c r="S44" s="598">
        <f t="shared" si="101"/>
        <v>33745799.747650772</v>
      </c>
      <c r="T44" s="598">
        <f t="shared" si="101"/>
        <v>33993712.095889822</v>
      </c>
      <c r="U44" s="598">
        <f t="shared" si="101"/>
        <v>34246418.649324641</v>
      </c>
      <c r="V44" s="598">
        <f t="shared" ref="V44:AB44" si="102">SUM(V45:V49,V53:V57)</f>
        <v>23851102.365913127</v>
      </c>
      <c r="W44" s="598">
        <f t="shared" si="102"/>
        <v>23885122.120433606</v>
      </c>
      <c r="X44" s="598">
        <f t="shared" si="102"/>
        <v>23295838.330044504</v>
      </c>
      <c r="Y44" s="598">
        <f t="shared" si="102"/>
        <v>22402003.262647599</v>
      </c>
      <c r="Z44" s="598">
        <f t="shared" si="102"/>
        <v>22438105.29830277</v>
      </c>
      <c r="AA44" s="598">
        <f t="shared" si="102"/>
        <v>22474929.374671038</v>
      </c>
      <c r="AB44" s="598">
        <f t="shared" si="102"/>
        <v>22512489.932566676</v>
      </c>
      <c r="AC44" s="457"/>
    </row>
    <row r="45" spans="2:29">
      <c r="B45" s="552" t="s">
        <v>3020</v>
      </c>
      <c r="C45" s="458">
        <f>Ucto_HK_summ!D624</f>
        <v>197310.22</v>
      </c>
      <c r="D45" s="458">
        <f>Ucto_HK_summ!E624</f>
        <v>196038.3</v>
      </c>
      <c r="E45" s="458">
        <f>Ucto_HK_summ!F624</f>
        <v>268723.15999999997</v>
      </c>
      <c r="F45" s="458">
        <f>Ucto_HK_summ!G624</f>
        <v>350685.5</v>
      </c>
      <c r="G45" s="607">
        <f>Ucto_HK_summ!H624</f>
        <v>295644.63</v>
      </c>
      <c r="H45" s="69">
        <f>G45*(1+H88)</f>
        <v>295644.63</v>
      </c>
      <c r="I45" s="69">
        <f t="shared" ref="I45:U45" si="103">H45*(1+I88)</f>
        <v>295644.63</v>
      </c>
      <c r="J45" s="69">
        <f t="shared" si="103"/>
        <v>295644.63</v>
      </c>
      <c r="K45" s="69">
        <f t="shared" si="103"/>
        <v>295644.63</v>
      </c>
      <c r="L45" s="69">
        <f t="shared" si="103"/>
        <v>295644.63</v>
      </c>
      <c r="M45" s="69">
        <f t="shared" si="103"/>
        <v>295644.63</v>
      </c>
      <c r="N45" s="69">
        <f t="shared" si="103"/>
        <v>295644.63</v>
      </c>
      <c r="O45" s="69">
        <f t="shared" si="103"/>
        <v>295644.63</v>
      </c>
      <c r="P45" s="69">
        <f t="shared" si="103"/>
        <v>295644.63</v>
      </c>
      <c r="Q45" s="69">
        <f t="shared" si="103"/>
        <v>295644.63</v>
      </c>
      <c r="R45" s="69">
        <f t="shared" si="103"/>
        <v>295644.63</v>
      </c>
      <c r="S45" s="69">
        <f t="shared" si="103"/>
        <v>295644.63</v>
      </c>
      <c r="T45" s="69">
        <f t="shared" si="103"/>
        <v>295644.63</v>
      </c>
      <c r="U45" s="69">
        <f t="shared" si="103"/>
        <v>295644.63</v>
      </c>
      <c r="V45" s="69">
        <f t="shared" ref="V45:AB45" si="104">U45*(1+V88)</f>
        <v>295644.63</v>
      </c>
      <c r="W45" s="69">
        <f t="shared" si="104"/>
        <v>295644.63</v>
      </c>
      <c r="X45" s="69">
        <f t="shared" si="104"/>
        <v>295644.63</v>
      </c>
      <c r="Y45" s="69">
        <f t="shared" si="104"/>
        <v>295644.63</v>
      </c>
      <c r="Z45" s="69">
        <f t="shared" si="104"/>
        <v>295644.63</v>
      </c>
      <c r="AA45" s="69">
        <f t="shared" si="104"/>
        <v>295644.63</v>
      </c>
      <c r="AB45" s="69">
        <f t="shared" si="104"/>
        <v>295644.63</v>
      </c>
      <c r="AC45" s="457"/>
    </row>
    <row r="46" spans="2:29">
      <c r="B46" s="552" t="s">
        <v>3021</v>
      </c>
      <c r="C46" s="458">
        <f>Ucto_HK_summ!D641</f>
        <v>1591328.6</v>
      </c>
      <c r="D46" s="458">
        <f>Ucto_HK_summ!E641</f>
        <v>1688873.43</v>
      </c>
      <c r="E46" s="458">
        <f>Ucto_HK_summ!F641</f>
        <v>1806527.96</v>
      </c>
      <c r="F46" s="458">
        <f>Ucto_HK_summ!G641</f>
        <v>1785685.05</v>
      </c>
      <c r="G46" s="607">
        <f>Ucto_HK_summ!H641</f>
        <v>1612698</v>
      </c>
      <c r="H46" s="69">
        <f t="shared" ref="H46:U46" si="105">H89*(H36+H7)</f>
        <v>1440468.0063157144</v>
      </c>
      <c r="I46" s="69">
        <f t="shared" si="105"/>
        <v>1440468.0063157144</v>
      </c>
      <c r="J46" s="69">
        <f t="shared" si="105"/>
        <v>1440468.0063157144</v>
      </c>
      <c r="K46" s="69">
        <f t="shared" si="105"/>
        <v>1440468.0063157144</v>
      </c>
      <c r="L46" s="69">
        <f t="shared" si="105"/>
        <v>1440468.0063157144</v>
      </c>
      <c r="M46" s="69">
        <f t="shared" si="105"/>
        <v>1440468.0063157144</v>
      </c>
      <c r="N46" s="69">
        <f t="shared" si="105"/>
        <v>1440468.0063157144</v>
      </c>
      <c r="O46" s="69">
        <f t="shared" si="105"/>
        <v>1440468.0063157144</v>
      </c>
      <c r="P46" s="69">
        <f t="shared" si="105"/>
        <v>1386367.68090452</v>
      </c>
      <c r="Q46" s="69">
        <f t="shared" si="105"/>
        <v>1386367.68090452</v>
      </c>
      <c r="R46" s="69">
        <f t="shared" si="105"/>
        <v>1386367.68090452</v>
      </c>
      <c r="S46" s="69">
        <f t="shared" si="105"/>
        <v>1386367.68090452</v>
      </c>
      <c r="T46" s="69">
        <f t="shared" si="105"/>
        <v>1386367.68090452</v>
      </c>
      <c r="U46" s="69">
        <f t="shared" si="105"/>
        <v>1386367.68090452</v>
      </c>
      <c r="V46" s="69">
        <f t="shared" ref="V46:AB46" si="106">V89*(V36+V7)</f>
        <v>1386367.68090452</v>
      </c>
      <c r="W46" s="69">
        <f t="shared" si="106"/>
        <v>1386367.68090452</v>
      </c>
      <c r="X46" s="69">
        <f t="shared" si="106"/>
        <v>1386367.68090452</v>
      </c>
      <c r="Y46" s="69">
        <f t="shared" si="106"/>
        <v>1386367.68090452</v>
      </c>
      <c r="Z46" s="69">
        <f t="shared" si="106"/>
        <v>1386367.68090452</v>
      </c>
      <c r="AA46" s="69">
        <f t="shared" si="106"/>
        <v>1386367.68090452</v>
      </c>
      <c r="AB46" s="69">
        <f t="shared" si="106"/>
        <v>1386367.68090452</v>
      </c>
      <c r="AC46" s="457"/>
    </row>
    <row r="47" spans="2:29">
      <c r="B47" s="552" t="s">
        <v>3027</v>
      </c>
      <c r="C47" s="458">
        <f>Ucto_HK_summ!D680</f>
        <v>104009.74</v>
      </c>
      <c r="D47" s="458">
        <f>Ucto_HK_summ!E680</f>
        <v>105916.07</v>
      </c>
      <c r="E47" s="458">
        <f>Ucto_HK_summ!F680</f>
        <v>109878.91</v>
      </c>
      <c r="F47" s="458">
        <f>Ucto_HK_summ!G680</f>
        <v>114787.38</v>
      </c>
      <c r="G47" s="607">
        <f>Ucto_HK_summ!H680</f>
        <v>115968.67</v>
      </c>
      <c r="H47" s="69">
        <f>G47*(1+H90)</f>
        <v>117128.3567</v>
      </c>
      <c r="I47" s="69">
        <f t="shared" ref="I47:U48" si="107">H47*(1+I90)</f>
        <v>117128.3567</v>
      </c>
      <c r="J47" s="69">
        <f t="shared" si="107"/>
        <v>117128.3567</v>
      </c>
      <c r="K47" s="69">
        <f t="shared" si="107"/>
        <v>117128.3567</v>
      </c>
      <c r="L47" s="69">
        <f t="shared" si="107"/>
        <v>117128.3567</v>
      </c>
      <c r="M47" s="69">
        <f t="shared" si="107"/>
        <v>117128.3567</v>
      </c>
      <c r="N47" s="69">
        <f t="shared" si="107"/>
        <v>117128.3567</v>
      </c>
      <c r="O47" s="69">
        <f t="shared" si="107"/>
        <v>117128.3567</v>
      </c>
      <c r="P47" s="69">
        <f t="shared" si="107"/>
        <v>117128.3567</v>
      </c>
      <c r="Q47" s="69">
        <f t="shared" si="107"/>
        <v>117128.3567</v>
      </c>
      <c r="R47" s="69">
        <f t="shared" si="107"/>
        <v>117128.3567</v>
      </c>
      <c r="S47" s="69">
        <f t="shared" si="107"/>
        <v>117128.3567</v>
      </c>
      <c r="T47" s="69">
        <f t="shared" si="107"/>
        <v>117128.3567</v>
      </c>
      <c r="U47" s="69">
        <f t="shared" si="107"/>
        <v>117128.3567</v>
      </c>
      <c r="V47" s="69">
        <f t="shared" ref="V47:AB47" si="108">U47*(1+V90)</f>
        <v>117128.3567</v>
      </c>
      <c r="W47" s="69">
        <f t="shared" si="108"/>
        <v>117128.3567</v>
      </c>
      <c r="X47" s="69">
        <f t="shared" si="108"/>
        <v>117128.3567</v>
      </c>
      <c r="Y47" s="69">
        <f t="shared" si="108"/>
        <v>117128.3567</v>
      </c>
      <c r="Z47" s="69">
        <f t="shared" si="108"/>
        <v>117128.3567</v>
      </c>
      <c r="AA47" s="69">
        <f t="shared" si="108"/>
        <v>117128.3567</v>
      </c>
      <c r="AB47" s="69">
        <f t="shared" si="108"/>
        <v>117128.3567</v>
      </c>
      <c r="AC47" s="457"/>
    </row>
    <row r="48" spans="2:29">
      <c r="B48" s="552" t="s">
        <v>3028</v>
      </c>
      <c r="C48" s="458">
        <f>Ucto_HK_summ!D683</f>
        <v>0</v>
      </c>
      <c r="D48" s="458">
        <f>Ucto_HK_summ!E683</f>
        <v>0</v>
      </c>
      <c r="E48" s="458">
        <f>Ucto_HK_summ!F683</f>
        <v>0</v>
      </c>
      <c r="F48" s="458">
        <f>Ucto_HK_summ!G683</f>
        <v>371449.38</v>
      </c>
      <c r="G48" s="607">
        <f>Ucto_HK_summ!H683</f>
        <v>531205.93999999994</v>
      </c>
      <c r="H48" s="69">
        <f>G48*(1+H91)</f>
        <v>0</v>
      </c>
      <c r="I48" s="69">
        <f t="shared" si="107"/>
        <v>0</v>
      </c>
      <c r="J48" s="69">
        <f t="shared" si="107"/>
        <v>0</v>
      </c>
      <c r="K48" s="69">
        <f t="shared" si="107"/>
        <v>0</v>
      </c>
      <c r="L48" s="69">
        <f t="shared" si="107"/>
        <v>0</v>
      </c>
      <c r="M48" s="69">
        <f t="shared" si="107"/>
        <v>0</v>
      </c>
      <c r="N48" s="69">
        <f t="shared" si="107"/>
        <v>0</v>
      </c>
      <c r="O48" s="69">
        <f t="shared" si="107"/>
        <v>0</v>
      </c>
      <c r="P48" s="69">
        <f t="shared" si="107"/>
        <v>0</v>
      </c>
      <c r="Q48" s="69">
        <f t="shared" si="107"/>
        <v>0</v>
      </c>
      <c r="R48" s="69">
        <f t="shared" si="107"/>
        <v>0</v>
      </c>
      <c r="S48" s="69">
        <f t="shared" si="107"/>
        <v>0</v>
      </c>
      <c r="T48" s="69">
        <f t="shared" si="107"/>
        <v>0</v>
      </c>
      <c r="U48" s="69">
        <f t="shared" si="107"/>
        <v>0</v>
      </c>
      <c r="V48" s="69">
        <f t="shared" ref="V48:AB48" si="109">U48*(1+V91)</f>
        <v>0</v>
      </c>
      <c r="W48" s="69">
        <f t="shared" si="109"/>
        <v>0</v>
      </c>
      <c r="X48" s="69">
        <f t="shared" si="109"/>
        <v>0</v>
      </c>
      <c r="Y48" s="69">
        <f t="shared" si="109"/>
        <v>0</v>
      </c>
      <c r="Z48" s="69">
        <f t="shared" si="109"/>
        <v>0</v>
      </c>
      <c r="AA48" s="69">
        <f t="shared" si="109"/>
        <v>0</v>
      </c>
      <c r="AB48" s="69">
        <f t="shared" si="109"/>
        <v>0</v>
      </c>
      <c r="AC48" s="457"/>
    </row>
    <row r="49" spans="2:30">
      <c r="B49" s="552" t="s">
        <v>3029</v>
      </c>
      <c r="C49" s="458">
        <f>Ucto_HK_summ!D633+Ucto_HK_summ!D638+Ucto_HK_summ!D653+Ucto_HK_summ!D645</f>
        <v>338423.59</v>
      </c>
      <c r="D49" s="458">
        <f>Ucto_HK_summ!E633+Ucto_HK_summ!E638+Ucto_HK_summ!E653+Ucto_HK_summ!E645</f>
        <v>2670653.6800000002</v>
      </c>
      <c r="E49" s="458">
        <f>Ucto_HK_summ!F633+Ucto_HK_summ!F638+Ucto_HK_summ!F653+Ucto_HK_summ!F645</f>
        <v>1015666.44</v>
      </c>
      <c r="F49" s="458">
        <f>Ucto_HK_summ!G633+Ucto_HK_summ!G638+Ucto_HK_summ!G653+Ucto_HK_summ!G645</f>
        <v>9244567.3900000006</v>
      </c>
      <c r="G49" s="607">
        <f>Ucto_HK_summ!H633+Ucto_HK_summ!H638+Ucto_HK_summ!H653+Ucto_HK_summ!H645</f>
        <v>2462251.9000000004</v>
      </c>
      <c r="H49" s="69">
        <f>SUM(H50:H52)</f>
        <v>782710.80000000028</v>
      </c>
      <c r="I49" s="69">
        <f t="shared" ref="I49:U49" si="110">SUM(I50:I52)</f>
        <v>782710.80000000028</v>
      </c>
      <c r="J49" s="69">
        <f t="shared" si="110"/>
        <v>782710.80000000028</v>
      </c>
      <c r="K49" s="69">
        <f t="shared" si="110"/>
        <v>782710.80000000028</v>
      </c>
      <c r="L49" s="69">
        <f t="shared" si="110"/>
        <v>782710.80000000028</v>
      </c>
      <c r="M49" s="69">
        <f t="shared" si="110"/>
        <v>782710.80000000028</v>
      </c>
      <c r="N49" s="69">
        <f t="shared" si="110"/>
        <v>782710.80000000028</v>
      </c>
      <c r="O49" s="69">
        <f t="shared" si="110"/>
        <v>782710.80000000028</v>
      </c>
      <c r="P49" s="69">
        <f t="shared" si="110"/>
        <v>782710.80000000028</v>
      </c>
      <c r="Q49" s="69">
        <f t="shared" si="110"/>
        <v>782710.80000000028</v>
      </c>
      <c r="R49" s="69">
        <f t="shared" si="110"/>
        <v>782710.80000000028</v>
      </c>
      <c r="S49" s="69">
        <f t="shared" si="110"/>
        <v>782710.80000000028</v>
      </c>
      <c r="T49" s="69">
        <f t="shared" si="110"/>
        <v>782710.80000000028</v>
      </c>
      <c r="U49" s="69">
        <f t="shared" si="110"/>
        <v>782710.80000000028</v>
      </c>
      <c r="V49" s="69">
        <f t="shared" ref="V49" si="111">SUM(V50:V52)</f>
        <v>782710.80000000028</v>
      </c>
      <c r="W49" s="69">
        <f t="shared" ref="W49" si="112">SUM(W50:W52)</f>
        <v>782710.80000000028</v>
      </c>
      <c r="X49" s="69">
        <f t="shared" ref="X49" si="113">SUM(X50:X52)</f>
        <v>782710.80000000028</v>
      </c>
      <c r="Y49" s="69">
        <f t="shared" ref="Y49" si="114">SUM(Y50:Y52)</f>
        <v>782710.80000000028</v>
      </c>
      <c r="Z49" s="69">
        <f t="shared" ref="Z49" si="115">SUM(Z50:Z52)</f>
        <v>782710.80000000028</v>
      </c>
      <c r="AA49" s="69">
        <f t="shared" ref="AA49" si="116">SUM(AA50:AA52)</f>
        <v>782710.80000000028</v>
      </c>
      <c r="AB49" s="69">
        <f t="shared" ref="AB49" si="117">SUM(AB50:AB52)</f>
        <v>782710.80000000028</v>
      </c>
      <c r="AC49" s="457"/>
    </row>
    <row r="50" spans="2:30" s="677" customFormat="1">
      <c r="B50" s="680" t="s">
        <v>3030</v>
      </c>
      <c r="C50" s="678">
        <f>Ucto_HK_summ!D634+Ucto_HK_summ!D632</f>
        <v>200000</v>
      </c>
      <c r="D50" s="678">
        <f>Ucto_HK_summ!E634+Ucto_HK_summ!E632</f>
        <v>2434917.29</v>
      </c>
      <c r="E50" s="678">
        <f>Ucto_HK_summ!F634+Ucto_HK_summ!F632</f>
        <v>818817.15</v>
      </c>
      <c r="F50" s="678">
        <f>Ucto_HK_summ!G634+Ucto_HK_summ!G632</f>
        <v>8840555.5299999993</v>
      </c>
      <c r="G50" s="679">
        <f>Ucto_HK_summ!H634+Ucto_HK_summ!H632</f>
        <v>1198637.6200000001</v>
      </c>
      <c r="H50" s="677">
        <f t="shared" ref="H50:U50" si="118">G50*(1+H92)</f>
        <v>359591.28600000008</v>
      </c>
      <c r="I50" s="677">
        <f t="shared" si="118"/>
        <v>359591.28600000008</v>
      </c>
      <c r="J50" s="677">
        <f t="shared" si="118"/>
        <v>359591.28600000008</v>
      </c>
      <c r="K50" s="677">
        <f t="shared" si="118"/>
        <v>359591.28600000008</v>
      </c>
      <c r="L50" s="677">
        <f t="shared" si="118"/>
        <v>359591.28600000008</v>
      </c>
      <c r="M50" s="677">
        <f t="shared" si="118"/>
        <v>359591.28600000008</v>
      </c>
      <c r="N50" s="677">
        <f t="shared" si="118"/>
        <v>359591.28600000008</v>
      </c>
      <c r="O50" s="677">
        <f t="shared" si="118"/>
        <v>359591.28600000008</v>
      </c>
      <c r="P50" s="677">
        <f t="shared" si="118"/>
        <v>359591.28600000008</v>
      </c>
      <c r="Q50" s="677">
        <f t="shared" si="118"/>
        <v>359591.28600000008</v>
      </c>
      <c r="R50" s="677">
        <f t="shared" si="118"/>
        <v>359591.28600000008</v>
      </c>
      <c r="S50" s="677">
        <f t="shared" si="118"/>
        <v>359591.28600000008</v>
      </c>
      <c r="T50" s="677">
        <f t="shared" si="118"/>
        <v>359591.28600000008</v>
      </c>
      <c r="U50" s="677">
        <f t="shared" si="118"/>
        <v>359591.28600000008</v>
      </c>
      <c r="V50" s="677">
        <f t="shared" ref="V50:AB50" si="119">U50*(1+V92)</f>
        <v>359591.28600000008</v>
      </c>
      <c r="W50" s="677">
        <f t="shared" si="119"/>
        <v>359591.28600000008</v>
      </c>
      <c r="X50" s="677">
        <f t="shared" si="119"/>
        <v>359591.28600000008</v>
      </c>
      <c r="Y50" s="677">
        <f t="shared" si="119"/>
        <v>359591.28600000008</v>
      </c>
      <c r="Z50" s="677">
        <f t="shared" si="119"/>
        <v>359591.28600000008</v>
      </c>
      <c r="AA50" s="677">
        <f t="shared" si="119"/>
        <v>359591.28600000008</v>
      </c>
      <c r="AB50" s="677">
        <f t="shared" si="119"/>
        <v>359591.28600000008</v>
      </c>
      <c r="AC50" s="457"/>
    </row>
    <row r="51" spans="2:30" s="677" customFormat="1">
      <c r="B51" s="680" t="s">
        <v>3031</v>
      </c>
      <c r="C51" s="678">
        <f>Ucto_HK_summ!D645</f>
        <v>44233.45</v>
      </c>
      <c r="D51" s="678">
        <f>Ucto_HK_summ!E645</f>
        <v>5509.14</v>
      </c>
      <c r="E51" s="678">
        <f>Ucto_HK_summ!F645</f>
        <v>16361</v>
      </c>
      <c r="F51" s="678">
        <f>Ucto_HK_summ!G645</f>
        <v>2720</v>
      </c>
      <c r="G51" s="679">
        <f>Ucto_HK_summ!H645</f>
        <v>709862.28</v>
      </c>
      <c r="H51" s="677">
        <f t="shared" ref="H51:U51" si="120">G51*(1+H93)</f>
        <v>35493.114000000031</v>
      </c>
      <c r="I51" s="677">
        <f t="shared" si="120"/>
        <v>35493.114000000031</v>
      </c>
      <c r="J51" s="677">
        <f t="shared" si="120"/>
        <v>35493.114000000031</v>
      </c>
      <c r="K51" s="677">
        <f t="shared" si="120"/>
        <v>35493.114000000031</v>
      </c>
      <c r="L51" s="677">
        <f t="shared" si="120"/>
        <v>35493.114000000031</v>
      </c>
      <c r="M51" s="677">
        <f t="shared" si="120"/>
        <v>35493.114000000031</v>
      </c>
      <c r="N51" s="677">
        <f t="shared" si="120"/>
        <v>35493.114000000031</v>
      </c>
      <c r="O51" s="677">
        <f t="shared" si="120"/>
        <v>35493.114000000031</v>
      </c>
      <c r="P51" s="677">
        <f t="shared" si="120"/>
        <v>35493.114000000031</v>
      </c>
      <c r="Q51" s="677">
        <f t="shared" si="120"/>
        <v>35493.114000000031</v>
      </c>
      <c r="R51" s="677">
        <f t="shared" si="120"/>
        <v>35493.114000000031</v>
      </c>
      <c r="S51" s="677">
        <f t="shared" si="120"/>
        <v>35493.114000000031</v>
      </c>
      <c r="T51" s="677">
        <f t="shared" si="120"/>
        <v>35493.114000000031</v>
      </c>
      <c r="U51" s="677">
        <f t="shared" si="120"/>
        <v>35493.114000000031</v>
      </c>
      <c r="V51" s="677">
        <f t="shared" ref="V51:AB51" si="121">U51*(1+V93)</f>
        <v>35493.114000000031</v>
      </c>
      <c r="W51" s="677">
        <f t="shared" si="121"/>
        <v>35493.114000000031</v>
      </c>
      <c r="X51" s="677">
        <f t="shared" si="121"/>
        <v>35493.114000000031</v>
      </c>
      <c r="Y51" s="677">
        <f t="shared" si="121"/>
        <v>35493.114000000031</v>
      </c>
      <c r="Z51" s="677">
        <f t="shared" si="121"/>
        <v>35493.114000000031</v>
      </c>
      <c r="AA51" s="677">
        <f t="shared" si="121"/>
        <v>35493.114000000031</v>
      </c>
      <c r="AB51" s="677">
        <f t="shared" si="121"/>
        <v>35493.114000000031</v>
      </c>
      <c r="AC51" s="457"/>
    </row>
    <row r="52" spans="2:30" s="677" customFormat="1">
      <c r="B52" s="680" t="s">
        <v>3032</v>
      </c>
      <c r="C52" s="678">
        <f>Ucto_HK_summ!D633+Ucto_HK_summ!D638+Ucto_HK_summ!D653+Ucto_HK_summ!D645-SUM(C50:C51)</f>
        <v>94190.140000000014</v>
      </c>
      <c r="D52" s="678">
        <f>Ucto_HK_summ!E633+Ucto_HK_summ!E638+Ucto_HK_summ!E653+Ucto_HK_summ!E645-SUM(D50:D51)</f>
        <v>230227.25</v>
      </c>
      <c r="E52" s="678">
        <f>Ucto_HK_summ!F633+Ucto_HK_summ!F638+Ucto_HK_summ!F653+Ucto_HK_summ!F645-SUM(E50:E51)</f>
        <v>180488.28999999992</v>
      </c>
      <c r="F52" s="678">
        <f>Ucto_HK_summ!G633+Ucto_HK_summ!G638+Ucto_HK_summ!G653+Ucto_HK_summ!G645-SUM(F50:F51)</f>
        <v>401291.86000000127</v>
      </c>
      <c r="G52" s="679">
        <f>Ucto_HK_summ!H633+Ucto_HK_summ!H638+Ucto_HK_summ!H653+Ucto_HK_summ!H645-SUM(G50:G51)</f>
        <v>553752.00000000023</v>
      </c>
      <c r="H52" s="677">
        <f t="shared" ref="H52:U52" si="122">G52*(1+H94)</f>
        <v>387626.40000000014</v>
      </c>
      <c r="I52" s="677">
        <f t="shared" si="122"/>
        <v>387626.40000000014</v>
      </c>
      <c r="J52" s="677">
        <f t="shared" si="122"/>
        <v>387626.40000000014</v>
      </c>
      <c r="K52" s="677">
        <f t="shared" si="122"/>
        <v>387626.40000000014</v>
      </c>
      <c r="L52" s="677">
        <f t="shared" si="122"/>
        <v>387626.40000000014</v>
      </c>
      <c r="M52" s="677">
        <f t="shared" si="122"/>
        <v>387626.40000000014</v>
      </c>
      <c r="N52" s="677">
        <f t="shared" si="122"/>
        <v>387626.40000000014</v>
      </c>
      <c r="O52" s="677">
        <f t="shared" si="122"/>
        <v>387626.40000000014</v>
      </c>
      <c r="P52" s="677">
        <f t="shared" si="122"/>
        <v>387626.40000000014</v>
      </c>
      <c r="Q52" s="677">
        <f t="shared" si="122"/>
        <v>387626.40000000014</v>
      </c>
      <c r="R52" s="677">
        <f t="shared" si="122"/>
        <v>387626.40000000014</v>
      </c>
      <c r="S52" s="677">
        <f t="shared" si="122"/>
        <v>387626.40000000014</v>
      </c>
      <c r="T52" s="677">
        <f t="shared" si="122"/>
        <v>387626.40000000014</v>
      </c>
      <c r="U52" s="677">
        <f t="shared" si="122"/>
        <v>387626.40000000014</v>
      </c>
      <c r="V52" s="677">
        <f t="shared" ref="V52:AB52" si="123">U52*(1+V94)</f>
        <v>387626.40000000014</v>
      </c>
      <c r="W52" s="677">
        <f t="shared" si="123"/>
        <v>387626.40000000014</v>
      </c>
      <c r="X52" s="677">
        <f t="shared" si="123"/>
        <v>387626.40000000014</v>
      </c>
      <c r="Y52" s="677">
        <f t="shared" si="123"/>
        <v>387626.40000000014</v>
      </c>
      <c r="Z52" s="677">
        <f t="shared" si="123"/>
        <v>387626.40000000014</v>
      </c>
      <c r="AA52" s="677">
        <f t="shared" si="123"/>
        <v>387626.40000000014</v>
      </c>
      <c r="AB52" s="677">
        <f t="shared" si="123"/>
        <v>387626.40000000014</v>
      </c>
      <c r="AC52" s="457"/>
    </row>
    <row r="53" spans="2:30">
      <c r="B53" s="552" t="s">
        <v>3024</v>
      </c>
      <c r="C53" s="458">
        <f>Ucto_HK_summ!D665</f>
        <v>1068922.94</v>
      </c>
      <c r="D53" s="458">
        <f>Ucto_HK_summ!E665</f>
        <v>2705700</v>
      </c>
      <c r="E53" s="458">
        <f>Ucto_HK_summ!F665</f>
        <v>3172286.97</v>
      </c>
      <c r="F53" s="458">
        <f>Ucto_HK_summ!G665</f>
        <v>17417202.969999999</v>
      </c>
      <c r="G53" s="607">
        <f>Ucto_HK_summ!H665</f>
        <v>10333139</v>
      </c>
      <c r="H53" s="69">
        <f>G53*(1+H95)</f>
        <v>516656.95000000048</v>
      </c>
      <c r="I53" s="69">
        <f t="shared" ref="I53:U53" si="124">H53*(1+I95)</f>
        <v>516656.95000000048</v>
      </c>
      <c r="J53" s="69">
        <f t="shared" si="124"/>
        <v>516656.95000000048</v>
      </c>
      <c r="K53" s="69">
        <f t="shared" si="124"/>
        <v>516656.95000000048</v>
      </c>
      <c r="L53" s="69">
        <f t="shared" si="124"/>
        <v>516656.95000000048</v>
      </c>
      <c r="M53" s="69">
        <f t="shared" si="124"/>
        <v>516656.95000000048</v>
      </c>
      <c r="N53" s="69">
        <f t="shared" si="124"/>
        <v>516656.95000000048</v>
      </c>
      <c r="O53" s="69">
        <f t="shared" si="124"/>
        <v>516656.95000000048</v>
      </c>
      <c r="P53" s="69">
        <f t="shared" si="124"/>
        <v>516656.95000000048</v>
      </c>
      <c r="Q53" s="69">
        <f t="shared" si="124"/>
        <v>516656.95000000048</v>
      </c>
      <c r="R53" s="69">
        <f t="shared" si="124"/>
        <v>516656.95000000048</v>
      </c>
      <c r="S53" s="69">
        <f t="shared" si="124"/>
        <v>516656.95000000048</v>
      </c>
      <c r="T53" s="69">
        <f t="shared" si="124"/>
        <v>516656.95000000048</v>
      </c>
      <c r="U53" s="69">
        <f t="shared" si="124"/>
        <v>516656.95000000048</v>
      </c>
      <c r="V53" s="69">
        <f t="shared" ref="V53:AB53" si="125">U53*(1+V95)</f>
        <v>516656.95000000048</v>
      </c>
      <c r="W53" s="69">
        <f t="shared" si="125"/>
        <v>516656.95000000048</v>
      </c>
      <c r="X53" s="69">
        <f t="shared" si="125"/>
        <v>516656.95000000048</v>
      </c>
      <c r="Y53" s="69">
        <f t="shared" si="125"/>
        <v>516656.95000000048</v>
      </c>
      <c r="Z53" s="69">
        <f t="shared" si="125"/>
        <v>516656.95000000048</v>
      </c>
      <c r="AA53" s="69">
        <f t="shared" si="125"/>
        <v>516656.95000000048</v>
      </c>
      <c r="AB53" s="69">
        <f t="shared" si="125"/>
        <v>516656.95000000048</v>
      </c>
      <c r="AC53" s="457"/>
    </row>
    <row r="54" spans="2:30">
      <c r="B54" s="552" t="s">
        <v>3025</v>
      </c>
      <c r="C54" s="458">
        <f>Ucto_HK_summ!D667+Ucto_HK_summ!D663</f>
        <v>1284761.73</v>
      </c>
      <c r="D54" s="458">
        <f>Ucto_HK_summ!E667+Ucto_HK_summ!E663</f>
        <v>137312.38999999998</v>
      </c>
      <c r="E54" s="458">
        <f>Ucto_HK_summ!F667+Ucto_HK_summ!F663</f>
        <v>219091.38</v>
      </c>
      <c r="F54" s="458">
        <f>Ucto_HK_summ!G667+Ucto_HK_summ!G663</f>
        <v>401640.81</v>
      </c>
      <c r="G54" s="607">
        <f>Ucto_HK_summ!H667+Ucto_HK_summ!H663</f>
        <v>1171204.31</v>
      </c>
      <c r="H54" s="69">
        <f>H96*'PL"A"'!I17</f>
        <v>376437.48641399993</v>
      </c>
      <c r="I54" s="69">
        <f>I96*'PL"A"'!J17</f>
        <v>374099.61317566782</v>
      </c>
      <c r="J54" s="69">
        <f>J96*'PL"A"'!K17</f>
        <v>382952.54144081607</v>
      </c>
      <c r="K54" s="69">
        <f>K96*'PL"A"'!L17</f>
        <v>392546.95130903053</v>
      </c>
      <c r="L54" s="69">
        <f>L96*'PL"A"'!M17</f>
        <v>397091.15278075007</v>
      </c>
      <c r="M54" s="69">
        <f>M96*'PL"A"'!N17</f>
        <v>391180.48024447588</v>
      </c>
      <c r="N54" s="69">
        <f>N96*'PL"A"'!O17</f>
        <v>386831.46596172417</v>
      </c>
      <c r="O54" s="69">
        <f>O96*'PL"A"'!P17</f>
        <v>391849.21374263684</v>
      </c>
      <c r="P54" s="69">
        <f>P96*'PL"A"'!Q17</f>
        <v>385405.0769192978</v>
      </c>
      <c r="Q54" s="69">
        <f>Q96*'PL"A"'!R17</f>
        <v>385894.63023944129</v>
      </c>
      <c r="R54" s="69">
        <f>R96*'PL"A"'!S17</f>
        <v>386455.01185640303</v>
      </c>
      <c r="S54" s="69">
        <f>S96*'PL"A"'!T17</f>
        <v>386911.23535590107</v>
      </c>
      <c r="T54" s="69">
        <f>T96*'PL"A"'!U17</f>
        <v>387159.65639564663</v>
      </c>
      <c r="U54" s="69">
        <f>U96*'PL"A"'!V17</f>
        <v>387249.00408717257</v>
      </c>
      <c r="V54" s="69">
        <f>V96*'PL"A"'!W17</f>
        <v>387249.00408717257</v>
      </c>
      <c r="W54" s="69">
        <f>W96*'PL"A"'!X17</f>
        <v>387249.00408717257</v>
      </c>
      <c r="X54" s="69">
        <f>X96*'PL"A"'!Y17</f>
        <v>387249.00408717257</v>
      </c>
      <c r="Y54" s="69">
        <f>Y96*'PL"A"'!Z17</f>
        <v>387249.00408717257</v>
      </c>
      <c r="Z54" s="69">
        <f>Z96*'PL"A"'!AA17</f>
        <v>387249.00408717257</v>
      </c>
      <c r="AA54" s="69">
        <f>AA96*'PL"A"'!AB17</f>
        <v>387249.00408717257</v>
      </c>
      <c r="AB54" s="69">
        <f>AB96*'PL"A"'!AC17</f>
        <v>387249.00408717257</v>
      </c>
      <c r="AC54" s="457"/>
    </row>
    <row r="55" spans="2:30">
      <c r="B55" s="552" t="s">
        <v>3022</v>
      </c>
      <c r="C55" s="458">
        <f>Ucto_HK_summ!D659</f>
        <v>1605611.52</v>
      </c>
      <c r="D55" s="458">
        <f>Ucto_HK_summ!E659</f>
        <v>1587378.12</v>
      </c>
      <c r="E55" s="458">
        <f>Ucto_HK_summ!F659</f>
        <v>1569228.42</v>
      </c>
      <c r="F55" s="458">
        <f>Ucto_HK_summ!G659</f>
        <v>1590243.07</v>
      </c>
      <c r="G55" s="607">
        <f>Ucto_HK_summ!H659</f>
        <v>1553213.16</v>
      </c>
      <c r="H55" s="634">
        <f>'Financials"A"'!H15</f>
        <v>1581111.5162500001</v>
      </c>
      <c r="I55" s="634">
        <f>'Financials"A"'!I15</f>
        <v>2224217.0836748714</v>
      </c>
      <c r="J55" s="634">
        <f>'Financials"A"'!J15</f>
        <v>5553695.7435966386</v>
      </c>
      <c r="K55" s="634">
        <f>'Financials"A"'!K15</f>
        <v>9719574.5323143229</v>
      </c>
      <c r="L55" s="634">
        <f>'Financials"A"'!L15</f>
        <v>11159028.560866199</v>
      </c>
      <c r="M55" s="634">
        <f>'Financials"A"'!M15</f>
        <v>13165206.634295944</v>
      </c>
      <c r="N55" s="634">
        <f>'Financials"A"'!N15</f>
        <v>18180651.817870304</v>
      </c>
      <c r="O55" s="634">
        <f>'Financials"A"'!O15</f>
        <v>18526672.469697502</v>
      </c>
      <c r="P55" s="634">
        <f>'Financials"A"'!P15</f>
        <v>18526672.469697502</v>
      </c>
      <c r="Q55" s="634">
        <f>'Financials"A"'!Q15</f>
        <v>18526672.469697502</v>
      </c>
      <c r="R55" s="634">
        <f>'Financials"A"'!R15</f>
        <v>18526672.469697502</v>
      </c>
      <c r="S55" s="634">
        <f>'Financials"A"'!S15</f>
        <v>18526672.469697502</v>
      </c>
      <c r="T55" s="634">
        <f>'Financials"A"'!T15</f>
        <v>18526672.469697502</v>
      </c>
      <c r="U55" s="634">
        <f>'Financials"A"'!U15</f>
        <v>18526672.469697502</v>
      </c>
      <c r="V55" s="634">
        <f>'Financials"A"'!V15</f>
        <v>18526672.469697502</v>
      </c>
      <c r="W55" s="634">
        <f>'Financials"A"'!W15</f>
        <v>18526672.469697502</v>
      </c>
      <c r="X55" s="634">
        <f>'Financials"A"'!X15</f>
        <v>17902688.529697511</v>
      </c>
      <c r="Y55" s="634">
        <f>'Financials"A"'!Y15</f>
        <v>16973459.309697501</v>
      </c>
      <c r="Z55" s="634">
        <f>'Financials"A"'!Z15</f>
        <v>16973459.309697501</v>
      </c>
      <c r="AA55" s="634">
        <f>'Financials"A"'!AA15</f>
        <v>16973459.309697501</v>
      </c>
      <c r="AB55" s="634">
        <f>'Financials"A"'!AB15</f>
        <v>16973459.309697501</v>
      </c>
      <c r="AC55" s="457"/>
    </row>
    <row r="56" spans="2:30">
      <c r="B56" s="552" t="s">
        <v>3023</v>
      </c>
      <c r="C56" s="458">
        <f>Ucto_HK_summ!D661-C55</f>
        <v>1531682.6800000002</v>
      </c>
      <c r="D56" s="458">
        <f>Ucto_HK_summ!E661-D55</f>
        <v>1642994.04</v>
      </c>
      <c r="E56" s="458">
        <f>Ucto_HK_summ!F661-E55</f>
        <v>1854175.7000000002</v>
      </c>
      <c r="F56" s="458">
        <f>Ucto_HK_summ!G661-F55</f>
        <v>2380452.5</v>
      </c>
      <c r="G56" s="607">
        <f>Ucto_HK_summ!H661-G55</f>
        <v>2891915.0700000003</v>
      </c>
      <c r="H56" s="634">
        <f>'Financials"A"'!H14</f>
        <v>2995646.1185000008</v>
      </c>
      <c r="I56" s="634">
        <f>'Financials"A"'!I14</f>
        <v>2995646.1185000008</v>
      </c>
      <c r="J56" s="634">
        <f>'Financials"A"'!J14</f>
        <v>2995646.1185000008</v>
      </c>
      <c r="K56" s="634">
        <f>'Financials"A"'!K14</f>
        <v>3524241.9744490702</v>
      </c>
      <c r="L56" s="634">
        <f>'Financials"A"'!L14</f>
        <v>11416391.746711813</v>
      </c>
      <c r="M56" s="634">
        <f>'Financials"A"'!M14</f>
        <v>11416391.746711813</v>
      </c>
      <c r="N56" s="634">
        <f>'Financials"A"'!N14</f>
        <v>11416391.746711813</v>
      </c>
      <c r="O56" s="634">
        <f>'Financials"A"'!O14</f>
        <v>22069377.579981487</v>
      </c>
      <c r="P56" s="634">
        <f>'Financials"A"'!P14</f>
        <v>21361226.596316338</v>
      </c>
      <c r="Q56" s="634">
        <f>'Financials"A"'!Q14</f>
        <v>19639644.94637787</v>
      </c>
      <c r="R56" s="634">
        <f>'Financials"A"'!R14</f>
        <v>19349095.925491571</v>
      </c>
      <c r="S56" s="634">
        <f>'Financials"A"'!S14</f>
        <v>11699753.924992858</v>
      </c>
      <c r="T56" s="634">
        <f>'Financials"A"'!T14</f>
        <v>11947417.852192165</v>
      </c>
      <c r="U56" s="634">
        <f>'Financials"A"'!U14</f>
        <v>12200035.057935458</v>
      </c>
      <c r="V56" s="634">
        <f>'Financials"A"'!V14</f>
        <v>1804718.7745239434</v>
      </c>
      <c r="W56" s="634">
        <f>'Financials"A"'!W14</f>
        <v>1838738.5290444223</v>
      </c>
      <c r="X56" s="634">
        <f>'Financials"A"'!X14</f>
        <v>1873438.6786553108</v>
      </c>
      <c r="Y56" s="634">
        <f>'Financials"A"'!Y14</f>
        <v>1908832.8312584169</v>
      </c>
      <c r="Z56" s="634">
        <f>'Financials"A"'!Z14</f>
        <v>1944934.866913585</v>
      </c>
      <c r="AA56" s="634">
        <f>'Financials"A"'!AA14</f>
        <v>1981758.9432818568</v>
      </c>
      <c r="AB56" s="634">
        <f>'Financials"A"'!AB14</f>
        <v>2019319.5011774942</v>
      </c>
      <c r="AC56" s="457"/>
    </row>
    <row r="57" spans="2:30">
      <c r="B57" s="681" t="s">
        <v>242</v>
      </c>
      <c r="C57" s="673">
        <f>Ucto_HK_summ!D690-C3-C36-SUM(C45:C49,C53:C56)-'PL"A"'!D17-C35</f>
        <v>58241.140000000596</v>
      </c>
      <c r="D57" s="673">
        <f>Ucto_HK_summ!E690-D3-D36-SUM(D45:D49,D53:D56)-'PL"A"'!E17-D35</f>
        <v>30048.929999992251</v>
      </c>
      <c r="E57" s="673">
        <f>Ucto_HK_summ!F690-E3-E36-SUM(E45:E49,E53:E56)-'PL"A"'!F17-E35</f>
        <v>128451.71000000715</v>
      </c>
      <c r="F57" s="673">
        <f>Ucto_HK_summ!G690-F3-F36-SUM(F45:F49,F53:F56)-'PL"A"'!G17-F35</f>
        <v>78005.579999984708</v>
      </c>
      <c r="G57" s="674">
        <f>Ucto_HK_summ!H690-G3-G36-SUM(G45:G49,G53:G56)-'PL"A"'!H17-G35</f>
        <v>33953.699999986682</v>
      </c>
      <c r="H57" s="675">
        <f>G57*(1+H97)</f>
        <v>33953.699999986682</v>
      </c>
      <c r="I57" s="675">
        <f t="shared" ref="I57:U57" si="126">H57*(1+I97)</f>
        <v>33953.699999986682</v>
      </c>
      <c r="J57" s="675">
        <f t="shared" si="126"/>
        <v>33953.699999986682</v>
      </c>
      <c r="K57" s="675">
        <f t="shared" si="126"/>
        <v>33953.699999986682</v>
      </c>
      <c r="L57" s="675">
        <f t="shared" si="126"/>
        <v>33953.699999986682</v>
      </c>
      <c r="M57" s="675">
        <f t="shared" si="126"/>
        <v>33953.699999986682</v>
      </c>
      <c r="N57" s="675">
        <f t="shared" si="126"/>
        <v>33953.699999986682</v>
      </c>
      <c r="O57" s="675">
        <f t="shared" si="126"/>
        <v>33953.699999986682</v>
      </c>
      <c r="P57" s="675">
        <f t="shared" si="126"/>
        <v>33953.699999986682</v>
      </c>
      <c r="Q57" s="675">
        <f t="shared" si="126"/>
        <v>33953.699999986682</v>
      </c>
      <c r="R57" s="675">
        <f t="shared" si="126"/>
        <v>33953.699999986682</v>
      </c>
      <c r="S57" s="675">
        <f t="shared" si="126"/>
        <v>33953.699999986682</v>
      </c>
      <c r="T57" s="675">
        <f t="shared" si="126"/>
        <v>33953.699999986682</v>
      </c>
      <c r="U57" s="675">
        <f t="shared" si="126"/>
        <v>33953.699999986682</v>
      </c>
      <c r="V57" s="675">
        <f t="shared" ref="V57:AB57" si="127">U57*(1+V97)</f>
        <v>33953.699999986682</v>
      </c>
      <c r="W57" s="675">
        <f t="shared" si="127"/>
        <v>33953.699999986682</v>
      </c>
      <c r="X57" s="675">
        <f t="shared" si="127"/>
        <v>33953.699999986682</v>
      </c>
      <c r="Y57" s="675">
        <f t="shared" si="127"/>
        <v>33953.699999986682</v>
      </c>
      <c r="Z57" s="675">
        <f t="shared" si="127"/>
        <v>33953.699999986682</v>
      </c>
      <c r="AA57" s="675">
        <f t="shared" si="127"/>
        <v>33953.699999986682</v>
      </c>
      <c r="AB57" s="675">
        <f t="shared" si="127"/>
        <v>33953.699999986682</v>
      </c>
      <c r="AC57" s="457"/>
    </row>
    <row r="59" spans="2:30">
      <c r="B59" s="598" t="s">
        <v>3034</v>
      </c>
      <c r="C59" s="707">
        <f t="shared" ref="C59:U59" si="128">C2</f>
        <v>43100</v>
      </c>
      <c r="D59" s="707">
        <f t="shared" si="128"/>
        <v>43465</v>
      </c>
      <c r="E59" s="707">
        <f t="shared" si="128"/>
        <v>43830</v>
      </c>
      <c r="F59" s="707">
        <f t="shared" si="128"/>
        <v>44196</v>
      </c>
      <c r="G59" s="708">
        <f t="shared" si="128"/>
        <v>44561</v>
      </c>
      <c r="H59" s="709">
        <f t="shared" si="128"/>
        <v>44926</v>
      </c>
      <c r="I59" s="709">
        <f t="shared" si="128"/>
        <v>45291</v>
      </c>
      <c r="J59" s="709">
        <f t="shared" si="128"/>
        <v>45657</v>
      </c>
      <c r="K59" s="709">
        <f t="shared" si="128"/>
        <v>46022</v>
      </c>
      <c r="L59" s="709">
        <f t="shared" si="128"/>
        <v>46387</v>
      </c>
      <c r="M59" s="709">
        <f t="shared" si="128"/>
        <v>46752</v>
      </c>
      <c r="N59" s="709">
        <f t="shared" si="128"/>
        <v>47118</v>
      </c>
      <c r="O59" s="709">
        <f t="shared" si="128"/>
        <v>47483</v>
      </c>
      <c r="P59" s="709">
        <f t="shared" si="128"/>
        <v>47848</v>
      </c>
      <c r="Q59" s="709">
        <f t="shared" si="128"/>
        <v>48213</v>
      </c>
      <c r="R59" s="709">
        <f t="shared" si="128"/>
        <v>48579</v>
      </c>
      <c r="S59" s="709">
        <f t="shared" si="128"/>
        <v>48944</v>
      </c>
      <c r="T59" s="709">
        <f t="shared" si="128"/>
        <v>49309</v>
      </c>
      <c r="U59" s="709">
        <f t="shared" si="128"/>
        <v>49674</v>
      </c>
      <c r="V59" s="709">
        <f t="shared" ref="V59:AB59" si="129">V2</f>
        <v>50040</v>
      </c>
      <c r="W59" s="709">
        <f t="shared" si="129"/>
        <v>50405</v>
      </c>
      <c r="X59" s="709">
        <f t="shared" si="129"/>
        <v>50770</v>
      </c>
      <c r="Y59" s="709">
        <f t="shared" si="129"/>
        <v>51135</v>
      </c>
      <c r="Z59" s="709">
        <f t="shared" si="129"/>
        <v>51501</v>
      </c>
      <c r="AA59" s="709">
        <f t="shared" si="129"/>
        <v>51866</v>
      </c>
      <c r="AB59" s="709">
        <f t="shared" si="129"/>
        <v>52231</v>
      </c>
    </row>
    <row r="60" spans="2:30">
      <c r="B60" s="552" t="s">
        <v>2987</v>
      </c>
      <c r="G60" s="607"/>
    </row>
    <row r="61" spans="2:30" s="682" customFormat="1">
      <c r="B61" s="619" t="s">
        <v>2988</v>
      </c>
      <c r="C61" s="471"/>
      <c r="D61" s="471">
        <f t="shared" ref="D61:G64" si="130">D8/C8-1</f>
        <v>8.7870407872803202E-2</v>
      </c>
      <c r="E61" s="471">
        <f t="shared" si="130"/>
        <v>0.11965492325628002</v>
      </c>
      <c r="F61" s="471">
        <f t="shared" si="130"/>
        <v>0.56331870925445249</v>
      </c>
      <c r="G61" s="617">
        <f t="shared" si="130"/>
        <v>-0.45336290354467401</v>
      </c>
      <c r="H61" s="682">
        <f>'Costs"0"'!H61</f>
        <v>0</v>
      </c>
      <c r="I61" s="682">
        <f>'Costs"0"'!I61</f>
        <v>0</v>
      </c>
      <c r="J61" s="682">
        <f>'Costs"0"'!J61</f>
        <v>0</v>
      </c>
      <c r="K61" s="682">
        <f t="shared" ref="K61:AB64" si="131">K$99</f>
        <v>0</v>
      </c>
      <c r="L61" s="682">
        <f t="shared" si="131"/>
        <v>0</v>
      </c>
      <c r="M61" s="682">
        <f t="shared" si="131"/>
        <v>0</v>
      </c>
      <c r="N61" s="682">
        <f t="shared" si="131"/>
        <v>0</v>
      </c>
      <c r="O61" s="682">
        <f t="shared" si="131"/>
        <v>0</v>
      </c>
      <c r="P61" s="683">
        <f>P$99+AC61</f>
        <v>0</v>
      </c>
      <c r="Q61" s="682">
        <f t="shared" si="131"/>
        <v>0</v>
      </c>
      <c r="R61" s="682">
        <f t="shared" si="131"/>
        <v>0</v>
      </c>
      <c r="S61" s="682">
        <f t="shared" si="131"/>
        <v>0</v>
      </c>
      <c r="T61" s="682">
        <f t="shared" si="131"/>
        <v>0</v>
      </c>
      <c r="U61" s="682">
        <f t="shared" si="131"/>
        <v>0</v>
      </c>
      <c r="V61" s="682">
        <f t="shared" si="131"/>
        <v>0</v>
      </c>
      <c r="W61" s="682">
        <f t="shared" si="131"/>
        <v>0</v>
      </c>
      <c r="X61" s="682">
        <f t="shared" si="131"/>
        <v>0</v>
      </c>
      <c r="Y61" s="682">
        <f t="shared" si="131"/>
        <v>0</v>
      </c>
      <c r="Z61" s="682">
        <f t="shared" si="131"/>
        <v>0</v>
      </c>
      <c r="AA61" s="682">
        <f t="shared" si="131"/>
        <v>0</v>
      </c>
      <c r="AB61" s="682">
        <f t="shared" si="131"/>
        <v>0</v>
      </c>
      <c r="AC61" s="683">
        <f>Scenarios_Summary!C34</f>
        <v>0</v>
      </c>
      <c r="AD61" s="682" t="s">
        <v>3128</v>
      </c>
    </row>
    <row r="62" spans="2:30" s="682" customFormat="1">
      <c r="B62" s="619" t="s">
        <v>1891</v>
      </c>
      <c r="C62" s="471"/>
      <c r="D62" s="471">
        <f t="shared" si="130"/>
        <v>3.946319222989203E-2</v>
      </c>
      <c r="E62" s="471">
        <f t="shared" si="130"/>
        <v>0.20684716837030726</v>
      </c>
      <c r="F62" s="471">
        <f t="shared" si="130"/>
        <v>-7.3107516722299426E-2</v>
      </c>
      <c r="G62" s="617">
        <f t="shared" si="130"/>
        <v>-0.41776298634195919</v>
      </c>
      <c r="H62" s="682">
        <f>'Costs"0"'!H62</f>
        <v>0</v>
      </c>
      <c r="I62" s="682">
        <f>'Costs"0"'!I62</f>
        <v>0</v>
      </c>
      <c r="J62" s="682">
        <f>'Costs"0"'!J62</f>
        <v>0</v>
      </c>
      <c r="K62" s="682">
        <f t="shared" ref="K62:U64" si="132">K$99</f>
        <v>0</v>
      </c>
      <c r="L62" s="682">
        <f t="shared" si="132"/>
        <v>0</v>
      </c>
      <c r="M62" s="682">
        <f t="shared" si="132"/>
        <v>0</v>
      </c>
      <c r="N62" s="682">
        <f t="shared" si="132"/>
        <v>0</v>
      </c>
      <c r="O62" s="682">
        <f t="shared" si="132"/>
        <v>0</v>
      </c>
      <c r="P62" s="683">
        <f>P$99+AC62</f>
        <v>0</v>
      </c>
      <c r="Q62" s="682">
        <f t="shared" si="132"/>
        <v>0</v>
      </c>
      <c r="R62" s="682">
        <f t="shared" si="132"/>
        <v>0</v>
      </c>
      <c r="S62" s="682">
        <f t="shared" si="132"/>
        <v>0</v>
      </c>
      <c r="T62" s="682">
        <f t="shared" si="132"/>
        <v>0</v>
      </c>
      <c r="U62" s="682">
        <f t="shared" si="132"/>
        <v>0</v>
      </c>
      <c r="V62" s="682">
        <f t="shared" si="131"/>
        <v>0</v>
      </c>
      <c r="W62" s="682">
        <f t="shared" si="131"/>
        <v>0</v>
      </c>
      <c r="X62" s="682">
        <f t="shared" si="131"/>
        <v>0</v>
      </c>
      <c r="Y62" s="682">
        <f t="shared" si="131"/>
        <v>0</v>
      </c>
      <c r="Z62" s="682">
        <f t="shared" si="131"/>
        <v>0</v>
      </c>
      <c r="AA62" s="682">
        <f t="shared" si="131"/>
        <v>0</v>
      </c>
      <c r="AB62" s="682">
        <f t="shared" si="131"/>
        <v>0</v>
      </c>
      <c r="AC62" s="682">
        <f>AC61</f>
        <v>0</v>
      </c>
    </row>
    <row r="63" spans="2:30" s="682" customFormat="1">
      <c r="B63" s="619" t="s">
        <v>1893</v>
      </c>
      <c r="C63" s="471"/>
      <c r="D63" s="471">
        <f t="shared" si="130"/>
        <v>1.4474649371259085E-2</v>
      </c>
      <c r="E63" s="471">
        <f t="shared" si="130"/>
        <v>-0.10665157561880256</v>
      </c>
      <c r="F63" s="471">
        <f t="shared" si="130"/>
        <v>-7.6202779797543529E-2</v>
      </c>
      <c r="G63" s="617">
        <f t="shared" si="130"/>
        <v>1.8836879393114181E-2</v>
      </c>
      <c r="H63" s="682">
        <f>'Costs"0"'!H63</f>
        <v>0</v>
      </c>
      <c r="I63" s="682">
        <f>'Costs"0"'!I63</f>
        <v>0</v>
      </c>
      <c r="J63" s="682">
        <f>'Costs"0"'!J63</f>
        <v>0</v>
      </c>
      <c r="K63" s="682">
        <f t="shared" si="132"/>
        <v>0</v>
      </c>
      <c r="L63" s="682">
        <f t="shared" si="132"/>
        <v>0</v>
      </c>
      <c r="M63" s="682">
        <f t="shared" si="132"/>
        <v>0</v>
      </c>
      <c r="N63" s="682">
        <f t="shared" si="132"/>
        <v>0</v>
      </c>
      <c r="O63" s="682">
        <f t="shared" si="132"/>
        <v>0</v>
      </c>
      <c r="P63" s="682">
        <f t="shared" si="132"/>
        <v>0</v>
      </c>
      <c r="Q63" s="682">
        <f t="shared" si="132"/>
        <v>0</v>
      </c>
      <c r="R63" s="682">
        <f t="shared" si="132"/>
        <v>0</v>
      </c>
      <c r="S63" s="682">
        <f t="shared" si="132"/>
        <v>0</v>
      </c>
      <c r="T63" s="682">
        <f t="shared" si="132"/>
        <v>0</v>
      </c>
      <c r="U63" s="682">
        <f t="shared" si="132"/>
        <v>0</v>
      </c>
      <c r="V63" s="682">
        <f t="shared" si="131"/>
        <v>0</v>
      </c>
      <c r="W63" s="682">
        <f t="shared" si="131"/>
        <v>0</v>
      </c>
      <c r="X63" s="682">
        <f t="shared" si="131"/>
        <v>0</v>
      </c>
      <c r="Y63" s="682">
        <f t="shared" si="131"/>
        <v>0</v>
      </c>
      <c r="Z63" s="682">
        <f t="shared" si="131"/>
        <v>0</v>
      </c>
      <c r="AA63" s="682">
        <f t="shared" si="131"/>
        <v>0</v>
      </c>
      <c r="AB63" s="682">
        <f t="shared" si="131"/>
        <v>0</v>
      </c>
    </row>
    <row r="64" spans="2:30" s="682" customFormat="1">
      <c r="B64" s="698" t="s">
        <v>2989</v>
      </c>
      <c r="C64" s="695"/>
      <c r="D64" s="695">
        <f t="shared" si="130"/>
        <v>5.6475128603008296E-2</v>
      </c>
      <c r="E64" s="695">
        <f t="shared" si="130"/>
        <v>0.11722479958992094</v>
      </c>
      <c r="F64" s="695">
        <f t="shared" si="130"/>
        <v>4.9142245685170893E-2</v>
      </c>
      <c r="G64" s="696">
        <f t="shared" si="130"/>
        <v>0.15001056779611743</v>
      </c>
      <c r="H64" s="694">
        <f>'Costs"0"'!H64</f>
        <v>0</v>
      </c>
      <c r="I64" s="694">
        <f>'Costs"0"'!I64</f>
        <v>0</v>
      </c>
      <c r="J64" s="694">
        <f>'Costs"0"'!J64</f>
        <v>0</v>
      </c>
      <c r="K64" s="694">
        <f t="shared" si="132"/>
        <v>0</v>
      </c>
      <c r="L64" s="694">
        <f t="shared" si="132"/>
        <v>0</v>
      </c>
      <c r="M64" s="694">
        <f t="shared" si="132"/>
        <v>0</v>
      </c>
      <c r="N64" s="694">
        <f t="shared" si="132"/>
        <v>0</v>
      </c>
      <c r="O64" s="694">
        <f t="shared" si="132"/>
        <v>0</v>
      </c>
      <c r="P64" s="697">
        <f>P$99+AC64</f>
        <v>0</v>
      </c>
      <c r="Q64" s="694">
        <f t="shared" si="132"/>
        <v>0</v>
      </c>
      <c r="R64" s="694">
        <f t="shared" si="132"/>
        <v>0</v>
      </c>
      <c r="S64" s="694">
        <f t="shared" si="132"/>
        <v>0</v>
      </c>
      <c r="T64" s="694">
        <f t="shared" si="132"/>
        <v>0</v>
      </c>
      <c r="U64" s="694">
        <f t="shared" si="132"/>
        <v>0</v>
      </c>
      <c r="V64" s="694">
        <f t="shared" si="131"/>
        <v>0</v>
      </c>
      <c r="W64" s="694">
        <f t="shared" si="131"/>
        <v>0</v>
      </c>
      <c r="X64" s="694">
        <f t="shared" si="131"/>
        <v>0</v>
      </c>
      <c r="Y64" s="694">
        <f t="shared" si="131"/>
        <v>0</v>
      </c>
      <c r="Z64" s="694">
        <f t="shared" si="131"/>
        <v>0</v>
      </c>
      <c r="AA64" s="694">
        <f t="shared" si="131"/>
        <v>0</v>
      </c>
      <c r="AB64" s="694">
        <f t="shared" si="131"/>
        <v>0</v>
      </c>
      <c r="AC64" s="682">
        <f>AC62</f>
        <v>0</v>
      </c>
    </row>
    <row r="65" spans="2:28" s="685" customFormat="1">
      <c r="B65" s="686" t="s">
        <v>3035</v>
      </c>
      <c r="C65" s="687"/>
      <c r="D65" s="687"/>
      <c r="E65" s="687">
        <f>E12/'Revenues"A"'!E81</f>
        <v>2.5189114140778384</v>
      </c>
      <c r="F65" s="687">
        <f>F12/'Revenues"A"'!F81</f>
        <v>2.3195098612438172</v>
      </c>
      <c r="G65" s="688">
        <f>G12/'Revenues"A"'!G81</f>
        <v>2.9057686336029906</v>
      </c>
      <c r="H65" s="685">
        <f>G65*(1+H66)</f>
        <v>3.0510570652831404</v>
      </c>
      <c r="I65" s="685">
        <f t="shared" ref="I65:U65" si="133">H65*(1+I66)</f>
        <v>3.0510570652831404</v>
      </c>
      <c r="J65" s="685">
        <f t="shared" si="133"/>
        <v>3.0510570652831404</v>
      </c>
      <c r="K65" s="685">
        <f t="shared" si="133"/>
        <v>3.0510570652831404</v>
      </c>
      <c r="L65" s="685">
        <f t="shared" si="133"/>
        <v>3.0510570652831404</v>
      </c>
      <c r="M65" s="685">
        <f t="shared" si="133"/>
        <v>3.0510570652831404</v>
      </c>
      <c r="N65" s="685">
        <f t="shared" si="133"/>
        <v>3.0510570652831404</v>
      </c>
      <c r="O65" s="685">
        <f t="shared" si="133"/>
        <v>3.0510570652831404</v>
      </c>
      <c r="P65" s="685">
        <f t="shared" si="133"/>
        <v>3.0510570652831404</v>
      </c>
      <c r="Q65" s="685">
        <f t="shared" si="133"/>
        <v>3.0510570652831404</v>
      </c>
      <c r="R65" s="685">
        <f t="shared" si="133"/>
        <v>3.0510570652831404</v>
      </c>
      <c r="S65" s="685">
        <f t="shared" si="133"/>
        <v>3.0510570652831404</v>
      </c>
      <c r="T65" s="685">
        <f t="shared" si="133"/>
        <v>3.0510570652831404</v>
      </c>
      <c r="U65" s="685">
        <f t="shared" si="133"/>
        <v>3.0510570652831404</v>
      </c>
      <c r="V65" s="685">
        <f t="shared" ref="V65" si="134">U65*(1+V66)</f>
        <v>3.0510570652831404</v>
      </c>
      <c r="W65" s="685">
        <f t="shared" ref="W65" si="135">V65*(1+W66)</f>
        <v>3.0510570652831404</v>
      </c>
      <c r="X65" s="685">
        <f t="shared" ref="X65" si="136">W65*(1+X66)</f>
        <v>3.0510570652831404</v>
      </c>
      <c r="Y65" s="685">
        <f t="shared" ref="Y65" si="137">X65*(1+Y66)</f>
        <v>3.0510570652831404</v>
      </c>
      <c r="Z65" s="685">
        <f t="shared" ref="Z65" si="138">Y65*(1+Z66)</f>
        <v>3.0510570652831404</v>
      </c>
      <c r="AA65" s="685">
        <f t="shared" ref="AA65" si="139">Z65*(1+AA66)</f>
        <v>3.0510570652831404</v>
      </c>
      <c r="AB65" s="685">
        <f t="shared" ref="AB65" si="140">AA65*(1+AB66)</f>
        <v>3.0510570652831404</v>
      </c>
    </row>
    <row r="66" spans="2:28" s="682" customFormat="1">
      <c r="B66" s="619" t="s">
        <v>3005</v>
      </c>
      <c r="C66" s="471"/>
      <c r="D66" s="471"/>
      <c r="E66" s="471"/>
      <c r="F66" s="471">
        <f>F65/E65-1</f>
        <v>-7.9161796528291584E-2</v>
      </c>
      <c r="G66" s="617">
        <f>G65/F65-1</f>
        <v>0.2527511446081101</v>
      </c>
      <c r="H66" s="682">
        <f>'Costs"0"'!H66</f>
        <v>0.05</v>
      </c>
      <c r="I66" s="682">
        <f>'Costs"0"'!I66</f>
        <v>0</v>
      </c>
      <c r="J66" s="682">
        <f>'Costs"0"'!J66</f>
        <v>0</v>
      </c>
      <c r="K66" s="682">
        <f t="shared" ref="K66:U66" si="141">K99</f>
        <v>0</v>
      </c>
      <c r="L66" s="682">
        <f t="shared" si="141"/>
        <v>0</v>
      </c>
      <c r="M66" s="682">
        <f t="shared" si="141"/>
        <v>0</v>
      </c>
      <c r="N66" s="682">
        <f t="shared" si="141"/>
        <v>0</v>
      </c>
      <c r="O66" s="682">
        <f t="shared" si="141"/>
        <v>0</v>
      </c>
      <c r="P66" s="682">
        <f t="shared" si="141"/>
        <v>0</v>
      </c>
      <c r="Q66" s="682">
        <f t="shared" si="141"/>
        <v>0</v>
      </c>
      <c r="R66" s="682">
        <f t="shared" si="141"/>
        <v>0</v>
      </c>
      <c r="S66" s="682">
        <f t="shared" si="141"/>
        <v>0</v>
      </c>
      <c r="T66" s="682">
        <f t="shared" si="141"/>
        <v>0</v>
      </c>
      <c r="U66" s="682">
        <f t="shared" si="141"/>
        <v>0</v>
      </c>
      <c r="V66" s="682">
        <f t="shared" ref="V66:AB66" si="142">V99</f>
        <v>0</v>
      </c>
      <c r="W66" s="682">
        <f t="shared" si="142"/>
        <v>0</v>
      </c>
      <c r="X66" s="682">
        <f t="shared" si="142"/>
        <v>0</v>
      </c>
      <c r="Y66" s="682">
        <f t="shared" si="142"/>
        <v>0</v>
      </c>
      <c r="Z66" s="682">
        <f t="shared" si="142"/>
        <v>0</v>
      </c>
      <c r="AA66" s="682">
        <f t="shared" si="142"/>
        <v>0</v>
      </c>
      <c r="AB66" s="682">
        <f t="shared" si="142"/>
        <v>0</v>
      </c>
    </row>
    <row r="67" spans="2:28" s="682" customFormat="1">
      <c r="B67" s="682" t="s">
        <v>3036</v>
      </c>
      <c r="C67" s="629">
        <f>C13/'PL"A"'!D18</f>
        <v>4.8744523347750328E-3</v>
      </c>
      <c r="D67" s="629">
        <f>D13/'PL"A"'!E18</f>
        <v>4.6768184679050091E-3</v>
      </c>
      <c r="E67" s="629">
        <f>E13/'PL"A"'!F18</f>
        <v>4.3676708739093326E-3</v>
      </c>
      <c r="F67" s="629">
        <f>F13/'PL"A"'!G18</f>
        <v>2.9053690082894608E-3</v>
      </c>
      <c r="G67" s="630">
        <f>G13/'PL"A"'!H18</f>
        <v>3.4590145062586928E-3</v>
      </c>
      <c r="H67" s="690">
        <f>'Costs"0"'!H67</f>
        <v>4.3676708739093326E-3</v>
      </c>
      <c r="I67" s="690">
        <f>'Costs"0"'!I67</f>
        <v>4.3676708739093326E-3</v>
      </c>
      <c r="J67" s="690">
        <f>'Costs"0"'!J67</f>
        <v>4.3676708739093326E-3</v>
      </c>
      <c r="K67" s="690">
        <f t="shared" ref="K67:U67" si="143">J67</f>
        <v>4.3676708739093326E-3</v>
      </c>
      <c r="L67" s="690">
        <f t="shared" si="143"/>
        <v>4.3676708739093326E-3</v>
      </c>
      <c r="M67" s="690">
        <f t="shared" si="143"/>
        <v>4.3676708739093326E-3</v>
      </c>
      <c r="N67" s="690">
        <f t="shared" si="143"/>
        <v>4.3676708739093326E-3</v>
      </c>
      <c r="O67" s="690">
        <f t="shared" si="143"/>
        <v>4.3676708739093326E-3</v>
      </c>
      <c r="P67" s="690">
        <f t="shared" si="143"/>
        <v>4.3676708739093326E-3</v>
      </c>
      <c r="Q67" s="690">
        <f t="shared" si="143"/>
        <v>4.3676708739093326E-3</v>
      </c>
      <c r="R67" s="690">
        <f t="shared" si="143"/>
        <v>4.3676708739093326E-3</v>
      </c>
      <c r="S67" s="690">
        <f t="shared" si="143"/>
        <v>4.3676708739093326E-3</v>
      </c>
      <c r="T67" s="690">
        <f t="shared" si="143"/>
        <v>4.3676708739093326E-3</v>
      </c>
      <c r="U67" s="690">
        <f t="shared" si="143"/>
        <v>4.3676708739093326E-3</v>
      </c>
      <c r="V67" s="690">
        <f t="shared" ref="V67:AB67" si="144">U67</f>
        <v>4.3676708739093326E-3</v>
      </c>
      <c r="W67" s="690">
        <f t="shared" si="144"/>
        <v>4.3676708739093326E-3</v>
      </c>
      <c r="X67" s="690">
        <f t="shared" si="144"/>
        <v>4.3676708739093326E-3</v>
      </c>
      <c r="Y67" s="690">
        <f t="shared" si="144"/>
        <v>4.3676708739093326E-3</v>
      </c>
      <c r="Z67" s="690">
        <f t="shared" si="144"/>
        <v>4.3676708739093326E-3</v>
      </c>
      <c r="AA67" s="690">
        <f t="shared" si="144"/>
        <v>4.3676708739093326E-3</v>
      </c>
      <c r="AB67" s="690">
        <f t="shared" si="144"/>
        <v>4.3676708739093326E-3</v>
      </c>
    </row>
    <row r="68" spans="2:28" s="682" customFormat="1">
      <c r="B68" s="682" t="s">
        <v>3010</v>
      </c>
      <c r="C68" s="471"/>
      <c r="D68" s="471">
        <f t="shared" ref="D68:G70" si="145">D14/C14-1</f>
        <v>6.355378965149483E-2</v>
      </c>
      <c r="E68" s="471">
        <f t="shared" si="145"/>
        <v>-0.37125859091366442</v>
      </c>
      <c r="F68" s="471">
        <f t="shared" si="145"/>
        <v>-0.24325893128133413</v>
      </c>
      <c r="G68" s="617">
        <f t="shared" si="145"/>
        <v>0.20542444033966478</v>
      </c>
      <c r="H68" s="682">
        <f>'Costs"0"'!H68</f>
        <v>0.1</v>
      </c>
      <c r="I68" s="682">
        <f>'Costs"0"'!I68</f>
        <v>0</v>
      </c>
      <c r="J68" s="682">
        <f>'Costs"0"'!J68</f>
        <v>0</v>
      </c>
      <c r="K68" s="682">
        <f t="shared" ref="K68:X70" si="146">K$99</f>
        <v>0</v>
      </c>
      <c r="L68" s="682">
        <f t="shared" si="146"/>
        <v>0</v>
      </c>
      <c r="M68" s="682">
        <f t="shared" si="146"/>
        <v>0</v>
      </c>
      <c r="N68" s="682">
        <f t="shared" si="146"/>
        <v>0</v>
      </c>
      <c r="O68" s="682">
        <f t="shared" si="146"/>
        <v>0</v>
      </c>
      <c r="P68" s="682">
        <f t="shared" si="146"/>
        <v>0</v>
      </c>
      <c r="Q68" s="682">
        <f t="shared" si="146"/>
        <v>0</v>
      </c>
      <c r="R68" s="682">
        <f t="shared" si="146"/>
        <v>0</v>
      </c>
      <c r="S68" s="682">
        <f t="shared" si="146"/>
        <v>0</v>
      </c>
      <c r="T68" s="682">
        <f t="shared" si="146"/>
        <v>0</v>
      </c>
      <c r="U68" s="682">
        <f t="shared" si="146"/>
        <v>0</v>
      </c>
      <c r="V68" s="682">
        <f t="shared" si="146"/>
        <v>0</v>
      </c>
      <c r="W68" s="682">
        <f t="shared" si="146"/>
        <v>0</v>
      </c>
      <c r="X68" s="682">
        <f t="shared" si="146"/>
        <v>0</v>
      </c>
      <c r="Y68" s="682">
        <f t="shared" ref="V68:AB70" si="147">Y$99</f>
        <v>0</v>
      </c>
      <c r="Z68" s="682">
        <f t="shared" si="147"/>
        <v>0</v>
      </c>
      <c r="AA68" s="682">
        <f t="shared" si="147"/>
        <v>0</v>
      </c>
      <c r="AB68" s="682">
        <f t="shared" si="147"/>
        <v>0</v>
      </c>
    </row>
    <row r="69" spans="2:28" s="682" customFormat="1">
      <c r="B69" s="682" t="s">
        <v>3008</v>
      </c>
      <c r="C69" s="471"/>
      <c r="D69" s="471">
        <f t="shared" si="145"/>
        <v>2.4188352003625457E-2</v>
      </c>
      <c r="E69" s="471">
        <f t="shared" si="145"/>
        <v>7.4667297465252025E-2</v>
      </c>
      <c r="F69" s="471">
        <f t="shared" si="145"/>
        <v>-0.61668338370159881</v>
      </c>
      <c r="G69" s="617">
        <f t="shared" si="145"/>
        <v>0.51673260710099034</v>
      </c>
      <c r="H69" s="682">
        <f>'Costs"0"'!H69</f>
        <v>0.1</v>
      </c>
      <c r="I69" s="682">
        <f>'Costs"0"'!I69</f>
        <v>0</v>
      </c>
      <c r="J69" s="682">
        <f>'Costs"0"'!J69</f>
        <v>0</v>
      </c>
      <c r="K69" s="682">
        <f t="shared" si="146"/>
        <v>0</v>
      </c>
      <c r="L69" s="682">
        <f t="shared" si="146"/>
        <v>0</v>
      </c>
      <c r="M69" s="682">
        <f t="shared" si="146"/>
        <v>0</v>
      </c>
      <c r="N69" s="682">
        <f t="shared" si="146"/>
        <v>0</v>
      </c>
      <c r="O69" s="682">
        <f t="shared" si="146"/>
        <v>0</v>
      </c>
      <c r="P69" s="682">
        <f t="shared" si="146"/>
        <v>0</v>
      </c>
      <c r="Q69" s="682">
        <f t="shared" si="146"/>
        <v>0</v>
      </c>
      <c r="R69" s="682">
        <f t="shared" si="146"/>
        <v>0</v>
      </c>
      <c r="S69" s="682">
        <f t="shared" si="146"/>
        <v>0</v>
      </c>
      <c r="T69" s="682">
        <f t="shared" si="146"/>
        <v>0</v>
      </c>
      <c r="U69" s="682">
        <f t="shared" si="146"/>
        <v>0</v>
      </c>
      <c r="V69" s="682">
        <f t="shared" si="147"/>
        <v>0</v>
      </c>
      <c r="W69" s="682">
        <f t="shared" si="147"/>
        <v>0</v>
      </c>
      <c r="X69" s="682">
        <f t="shared" si="147"/>
        <v>0</v>
      </c>
      <c r="Y69" s="682">
        <f t="shared" si="147"/>
        <v>0</v>
      </c>
      <c r="Z69" s="682">
        <f t="shared" si="147"/>
        <v>0</v>
      </c>
      <c r="AA69" s="682">
        <f t="shared" si="147"/>
        <v>0</v>
      </c>
      <c r="AB69" s="682">
        <f t="shared" si="147"/>
        <v>0</v>
      </c>
    </row>
    <row r="70" spans="2:28" s="682" customFormat="1">
      <c r="B70" s="694" t="s">
        <v>3011</v>
      </c>
      <c r="C70" s="695"/>
      <c r="D70" s="695">
        <f t="shared" si="145"/>
        <v>7.8640768344835354E-3</v>
      </c>
      <c r="E70" s="695">
        <f t="shared" si="145"/>
        <v>0.48133726373107022</v>
      </c>
      <c r="F70" s="695">
        <f t="shared" si="145"/>
        <v>0.5295291173595531</v>
      </c>
      <c r="G70" s="696">
        <f t="shared" si="145"/>
        <v>0.34576347177971334</v>
      </c>
      <c r="H70" s="694">
        <f>'Costs"0"'!H70</f>
        <v>0.05</v>
      </c>
      <c r="I70" s="694">
        <f>'Costs"0"'!I70</f>
        <v>0</v>
      </c>
      <c r="J70" s="694">
        <f>'Costs"0"'!J70</f>
        <v>0</v>
      </c>
      <c r="K70" s="694">
        <f t="shared" si="146"/>
        <v>0</v>
      </c>
      <c r="L70" s="694">
        <f t="shared" si="146"/>
        <v>0</v>
      </c>
      <c r="M70" s="694">
        <f t="shared" si="146"/>
        <v>0</v>
      </c>
      <c r="N70" s="694">
        <f t="shared" si="146"/>
        <v>0</v>
      </c>
      <c r="O70" s="694">
        <f t="shared" si="146"/>
        <v>0</v>
      </c>
      <c r="P70" s="694">
        <f t="shared" si="146"/>
        <v>0</v>
      </c>
      <c r="Q70" s="694">
        <f t="shared" si="146"/>
        <v>0</v>
      </c>
      <c r="R70" s="694">
        <f t="shared" si="146"/>
        <v>0</v>
      </c>
      <c r="S70" s="694">
        <f t="shared" si="146"/>
        <v>0</v>
      </c>
      <c r="T70" s="694">
        <f t="shared" si="146"/>
        <v>0</v>
      </c>
      <c r="U70" s="694">
        <f t="shared" si="146"/>
        <v>0</v>
      </c>
      <c r="V70" s="694">
        <f t="shared" si="147"/>
        <v>0</v>
      </c>
      <c r="W70" s="694">
        <f t="shared" si="147"/>
        <v>0</v>
      </c>
      <c r="X70" s="694">
        <f t="shared" si="147"/>
        <v>0</v>
      </c>
      <c r="Y70" s="694">
        <f t="shared" si="147"/>
        <v>0</v>
      </c>
      <c r="Z70" s="694">
        <f t="shared" si="147"/>
        <v>0</v>
      </c>
      <c r="AA70" s="694">
        <f t="shared" si="147"/>
        <v>0</v>
      </c>
      <c r="AB70" s="694">
        <f t="shared" si="147"/>
        <v>0</v>
      </c>
    </row>
    <row r="71" spans="2:28" s="685" customFormat="1">
      <c r="B71" s="686" t="s">
        <v>3041</v>
      </c>
      <c r="C71" s="687"/>
      <c r="D71" s="687"/>
      <c r="E71" s="687">
        <f>E18/'Revenues"A"'!E56</f>
        <v>45.882987818301416</v>
      </c>
      <c r="F71" s="687">
        <f>F18/'Revenues"A"'!F56</f>
        <v>43.819343718760393</v>
      </c>
      <c r="G71" s="688">
        <f>G18/'Revenues"A"'!G56</f>
        <v>39.343872405297084</v>
      </c>
      <c r="H71" s="685">
        <f>AVERAGE(F71:G71)</f>
        <v>41.581608062028735</v>
      </c>
      <c r="I71" s="685">
        <f t="shared" ref="I71:U71" si="148">H71*(1+I72)</f>
        <v>41.581608062028735</v>
      </c>
      <c r="J71" s="685">
        <f t="shared" si="148"/>
        <v>41.581608062028735</v>
      </c>
      <c r="K71" s="685">
        <f t="shared" si="148"/>
        <v>41.581608062028735</v>
      </c>
      <c r="L71" s="685">
        <f t="shared" si="148"/>
        <v>41.581608062028735</v>
      </c>
      <c r="M71" s="685">
        <f t="shared" si="148"/>
        <v>41.581608062028735</v>
      </c>
      <c r="N71" s="685">
        <f t="shared" si="148"/>
        <v>41.581608062028735</v>
      </c>
      <c r="O71" s="685">
        <f t="shared" si="148"/>
        <v>41.581608062028735</v>
      </c>
      <c r="P71" s="685">
        <f t="shared" si="148"/>
        <v>41.581608062028735</v>
      </c>
      <c r="Q71" s="685">
        <f t="shared" si="148"/>
        <v>41.581608062028735</v>
      </c>
      <c r="R71" s="685">
        <f t="shared" si="148"/>
        <v>41.581608062028735</v>
      </c>
      <c r="S71" s="685">
        <f t="shared" si="148"/>
        <v>41.581608062028735</v>
      </c>
      <c r="T71" s="685">
        <f t="shared" si="148"/>
        <v>41.581608062028735</v>
      </c>
      <c r="U71" s="685">
        <f t="shared" si="148"/>
        <v>41.581608062028735</v>
      </c>
      <c r="V71" s="685">
        <f t="shared" ref="V71" si="149">U71*(1+V72)</f>
        <v>41.581608062028735</v>
      </c>
      <c r="W71" s="685">
        <f t="shared" ref="W71" si="150">V71*(1+W72)</f>
        <v>41.581608062028735</v>
      </c>
      <c r="X71" s="685">
        <f t="shared" ref="X71" si="151">W71*(1+X72)</f>
        <v>41.581608062028735</v>
      </c>
      <c r="Y71" s="685">
        <f t="shared" ref="Y71" si="152">X71*(1+Y72)</f>
        <v>41.581608062028735</v>
      </c>
      <c r="Z71" s="685">
        <f t="shared" ref="Z71" si="153">Y71*(1+Z72)</f>
        <v>41.581608062028735</v>
      </c>
      <c r="AA71" s="685">
        <f t="shared" ref="AA71" si="154">Z71*(1+AA72)</f>
        <v>41.581608062028735</v>
      </c>
      <c r="AB71" s="685">
        <f t="shared" ref="AB71" si="155">AA71*(1+AB72)</f>
        <v>41.581608062028735</v>
      </c>
    </row>
    <row r="72" spans="2:28" s="693" customFormat="1">
      <c r="B72" s="619" t="s">
        <v>3041</v>
      </c>
      <c r="C72" s="691"/>
      <c r="D72" s="691"/>
      <c r="E72" s="691"/>
      <c r="F72" s="691">
        <f>F71/E71-1</f>
        <v>-4.4976236240611422E-2</v>
      </c>
      <c r="G72" s="692">
        <f>G71/F71-1</f>
        <v>-0.102134603890638</v>
      </c>
      <c r="H72" s="682">
        <f>H71/G71-1</f>
        <v>5.6876344902703879E-2</v>
      </c>
      <c r="I72" s="682">
        <f>'Costs"0"'!I72</f>
        <v>0</v>
      </c>
      <c r="J72" s="682">
        <f>'Costs"0"'!J72</f>
        <v>0</v>
      </c>
      <c r="K72" s="682">
        <f t="shared" ref="K72:U72" si="156">K99</f>
        <v>0</v>
      </c>
      <c r="L72" s="682">
        <f t="shared" si="156"/>
        <v>0</v>
      </c>
      <c r="M72" s="682">
        <f t="shared" si="156"/>
        <v>0</v>
      </c>
      <c r="N72" s="682">
        <f t="shared" si="156"/>
        <v>0</v>
      </c>
      <c r="O72" s="682">
        <f t="shared" si="156"/>
        <v>0</v>
      </c>
      <c r="P72" s="682">
        <f t="shared" si="156"/>
        <v>0</v>
      </c>
      <c r="Q72" s="682">
        <f t="shared" si="156"/>
        <v>0</v>
      </c>
      <c r="R72" s="682">
        <f t="shared" si="156"/>
        <v>0</v>
      </c>
      <c r="S72" s="682">
        <f t="shared" si="156"/>
        <v>0</v>
      </c>
      <c r="T72" s="682">
        <f t="shared" si="156"/>
        <v>0</v>
      </c>
      <c r="U72" s="682">
        <f t="shared" si="156"/>
        <v>0</v>
      </c>
      <c r="V72" s="682">
        <f t="shared" ref="V72:AB72" si="157">V99</f>
        <v>0</v>
      </c>
      <c r="W72" s="682">
        <f t="shared" si="157"/>
        <v>0</v>
      </c>
      <c r="X72" s="682">
        <f t="shared" si="157"/>
        <v>0</v>
      </c>
      <c r="Y72" s="682">
        <f t="shared" si="157"/>
        <v>0</v>
      </c>
      <c r="Z72" s="682">
        <f t="shared" si="157"/>
        <v>0</v>
      </c>
      <c r="AA72" s="682">
        <f t="shared" si="157"/>
        <v>0</v>
      </c>
      <c r="AB72" s="682">
        <f t="shared" si="157"/>
        <v>0</v>
      </c>
    </row>
    <row r="73" spans="2:28" s="682" customFormat="1">
      <c r="B73" s="552" t="s">
        <v>3038</v>
      </c>
      <c r="C73" s="471">
        <f>C19/('Revenues"A"'!C10+'Revenues"A"'!C14)</f>
        <v>0.46857108976880091</v>
      </c>
      <c r="D73" s="471">
        <f>D19/('Revenues"A"'!D10+'Revenues"A"'!D14)</f>
        <v>0.44254325473112299</v>
      </c>
      <c r="E73" s="471">
        <f>E19/('Revenues"A"'!E10+'Revenues"A"'!E14)</f>
        <v>0.47417424428256805</v>
      </c>
      <c r="F73" s="471">
        <f>F19/('Revenues"A"'!F10+'Revenues"A"'!F14)</f>
        <v>0.59599998825813361</v>
      </c>
      <c r="G73" s="617">
        <f>G19/('Revenues"A"'!G10+'Revenues"A"'!G14)</f>
        <v>0.57442907142766686</v>
      </c>
      <c r="H73" s="689">
        <f>G73</f>
        <v>0.57442907142766686</v>
      </c>
      <c r="I73" s="689">
        <f t="shared" ref="I73:U75" si="158">H73</f>
        <v>0.57442907142766686</v>
      </c>
      <c r="J73" s="689">
        <f t="shared" si="158"/>
        <v>0.57442907142766686</v>
      </c>
      <c r="K73" s="690">
        <f t="shared" si="158"/>
        <v>0.57442907142766686</v>
      </c>
      <c r="L73" s="690">
        <f t="shared" si="158"/>
        <v>0.57442907142766686</v>
      </c>
      <c r="M73" s="690">
        <f t="shared" si="158"/>
        <v>0.57442907142766686</v>
      </c>
      <c r="N73" s="690">
        <f t="shared" si="158"/>
        <v>0.57442907142766686</v>
      </c>
      <c r="O73" s="690">
        <f t="shared" si="158"/>
        <v>0.57442907142766686</v>
      </c>
      <c r="P73" s="690">
        <f t="shared" si="158"/>
        <v>0.57442907142766686</v>
      </c>
      <c r="Q73" s="690">
        <f t="shared" si="158"/>
        <v>0.57442907142766686</v>
      </c>
      <c r="R73" s="690">
        <f t="shared" si="158"/>
        <v>0.57442907142766686</v>
      </c>
      <c r="S73" s="690">
        <f t="shared" si="158"/>
        <v>0.57442907142766686</v>
      </c>
      <c r="T73" s="690">
        <f t="shared" si="158"/>
        <v>0.57442907142766686</v>
      </c>
      <c r="U73" s="690">
        <f t="shared" si="158"/>
        <v>0.57442907142766686</v>
      </c>
      <c r="V73" s="690">
        <f t="shared" ref="V73:AB73" si="159">U73</f>
        <v>0.57442907142766686</v>
      </c>
      <c r="W73" s="690">
        <f t="shared" si="159"/>
        <v>0.57442907142766686</v>
      </c>
      <c r="X73" s="690">
        <f t="shared" si="159"/>
        <v>0.57442907142766686</v>
      </c>
      <c r="Y73" s="690">
        <f t="shared" si="159"/>
        <v>0.57442907142766686</v>
      </c>
      <c r="Z73" s="690">
        <f t="shared" si="159"/>
        <v>0.57442907142766686</v>
      </c>
      <c r="AA73" s="690">
        <f t="shared" si="159"/>
        <v>0.57442907142766686</v>
      </c>
      <c r="AB73" s="690">
        <f t="shared" si="159"/>
        <v>0.57442907142766686</v>
      </c>
    </row>
    <row r="74" spans="2:28" s="682" customFormat="1">
      <c r="B74" s="552" t="s">
        <v>3037</v>
      </c>
      <c r="C74" s="471">
        <f>C23/'Revenues"A"'!C13</f>
        <v>0.98738923570934956</v>
      </c>
      <c r="D74" s="471">
        <f>D23/'Revenues"A"'!D13</f>
        <v>0.99727294292408453</v>
      </c>
      <c r="E74" s="471">
        <f>E23/'Revenues"A"'!E13</f>
        <v>1.0752303536910708</v>
      </c>
      <c r="F74" s="471">
        <f>F23/'Revenues"A"'!F13</f>
        <v>1.0838016199379723</v>
      </c>
      <c r="G74" s="617">
        <f>G23/'Revenues"A"'!G13</f>
        <v>1.0593654036104143</v>
      </c>
      <c r="H74" s="689">
        <f>G74</f>
        <v>1.0593654036104143</v>
      </c>
      <c r="I74" s="689">
        <f t="shared" si="158"/>
        <v>1.0593654036104143</v>
      </c>
      <c r="J74" s="689">
        <f t="shared" si="158"/>
        <v>1.0593654036104143</v>
      </c>
      <c r="K74" s="690">
        <f t="shared" si="158"/>
        <v>1.0593654036104143</v>
      </c>
      <c r="L74" s="690">
        <f t="shared" si="158"/>
        <v>1.0593654036104143</v>
      </c>
      <c r="M74" s="690">
        <f t="shared" si="158"/>
        <v>1.0593654036104143</v>
      </c>
      <c r="N74" s="690">
        <f t="shared" si="158"/>
        <v>1.0593654036104143</v>
      </c>
      <c r="O74" s="690">
        <f t="shared" si="158"/>
        <v>1.0593654036104143</v>
      </c>
      <c r="P74" s="690">
        <f t="shared" si="158"/>
        <v>1.0593654036104143</v>
      </c>
      <c r="Q74" s="690">
        <f t="shared" si="158"/>
        <v>1.0593654036104143</v>
      </c>
      <c r="R74" s="690">
        <f t="shared" si="158"/>
        <v>1.0593654036104143</v>
      </c>
      <c r="S74" s="690">
        <f t="shared" si="158"/>
        <v>1.0593654036104143</v>
      </c>
      <c r="T74" s="690">
        <f t="shared" si="158"/>
        <v>1.0593654036104143</v>
      </c>
      <c r="U74" s="690">
        <f t="shared" si="158"/>
        <v>1.0593654036104143</v>
      </c>
      <c r="V74" s="690">
        <f t="shared" ref="V74:AB74" si="160">U74</f>
        <v>1.0593654036104143</v>
      </c>
      <c r="W74" s="690">
        <f t="shared" si="160"/>
        <v>1.0593654036104143</v>
      </c>
      <c r="X74" s="690">
        <f t="shared" si="160"/>
        <v>1.0593654036104143</v>
      </c>
      <c r="Y74" s="690">
        <f t="shared" si="160"/>
        <v>1.0593654036104143</v>
      </c>
      <c r="Z74" s="690">
        <f t="shared" si="160"/>
        <v>1.0593654036104143</v>
      </c>
      <c r="AA74" s="690">
        <f t="shared" si="160"/>
        <v>1.0593654036104143</v>
      </c>
      <c r="AB74" s="690">
        <f t="shared" si="160"/>
        <v>1.0593654036104143</v>
      </c>
    </row>
    <row r="75" spans="2:28" s="682" customFormat="1">
      <c r="B75" s="682" t="s">
        <v>3136</v>
      </c>
      <c r="C75" s="471">
        <f>C26/('Revenues"A"'!C5+'Revenues"A"'!C11)</f>
        <v>0.16398273249118542</v>
      </c>
      <c r="D75" s="471">
        <f>D26/('Revenues"A"'!D5+'Revenues"A"'!D11)</f>
        <v>0.17685260735694161</v>
      </c>
      <c r="E75" s="471">
        <f>E26/('Revenues"A"'!E5+'Revenues"A"'!E11)</f>
        <v>0.18152385752863148</v>
      </c>
      <c r="F75" s="471">
        <f>F26/('Revenues"A"'!F5+'Revenues"A"'!F11)</f>
        <v>0.15894645963183701</v>
      </c>
      <c r="G75" s="617">
        <f>G26/('Revenues"A"'!G5+'Revenues"A"'!G11)</f>
        <v>0.17941504736279382</v>
      </c>
      <c r="H75" s="689">
        <f>G75</f>
        <v>0.17941504736279382</v>
      </c>
      <c r="I75" s="689">
        <f t="shared" si="158"/>
        <v>0.17941504736279382</v>
      </c>
      <c r="J75" s="689">
        <f t="shared" si="158"/>
        <v>0.17941504736279382</v>
      </c>
      <c r="K75" s="690">
        <f t="shared" si="158"/>
        <v>0.17941504736279382</v>
      </c>
      <c r="L75" s="690">
        <f t="shared" si="158"/>
        <v>0.17941504736279382</v>
      </c>
      <c r="M75" s="690">
        <f t="shared" si="158"/>
        <v>0.17941504736279382</v>
      </c>
      <c r="N75" s="690">
        <f t="shared" si="158"/>
        <v>0.17941504736279382</v>
      </c>
      <c r="O75" s="690">
        <f t="shared" si="158"/>
        <v>0.17941504736279382</v>
      </c>
      <c r="P75" s="690">
        <f t="shared" si="158"/>
        <v>0.17941504736279382</v>
      </c>
      <c r="Q75" s="690">
        <f t="shared" si="158"/>
        <v>0.17941504736279382</v>
      </c>
      <c r="R75" s="690">
        <f t="shared" si="158"/>
        <v>0.17941504736279382</v>
      </c>
      <c r="S75" s="690">
        <f t="shared" si="158"/>
        <v>0.17941504736279382</v>
      </c>
      <c r="T75" s="690">
        <f t="shared" si="158"/>
        <v>0.17941504736279382</v>
      </c>
      <c r="U75" s="690">
        <f t="shared" si="158"/>
        <v>0.17941504736279382</v>
      </c>
      <c r="V75" s="690">
        <f t="shared" ref="V75:AB75" si="161">U75</f>
        <v>0.17941504736279382</v>
      </c>
      <c r="W75" s="690">
        <f t="shared" si="161"/>
        <v>0.17941504736279382</v>
      </c>
      <c r="X75" s="690">
        <f t="shared" si="161"/>
        <v>0.17941504736279382</v>
      </c>
      <c r="Y75" s="690">
        <f t="shared" si="161"/>
        <v>0.17941504736279382</v>
      </c>
      <c r="Z75" s="690">
        <f t="shared" si="161"/>
        <v>0.17941504736279382</v>
      </c>
      <c r="AA75" s="690">
        <f t="shared" si="161"/>
        <v>0.17941504736279382</v>
      </c>
      <c r="AB75" s="690">
        <f t="shared" si="161"/>
        <v>0.17941504736279382</v>
      </c>
    </row>
    <row r="76" spans="2:28" s="682" customFormat="1">
      <c r="B76" s="552" t="s">
        <v>3043</v>
      </c>
      <c r="C76" s="471">
        <f>C31/'Revenues"A"'!C5</f>
        <v>7.5523577965362132E-2</v>
      </c>
      <c r="D76" s="471">
        <f>D31/'Revenues"A"'!D5</f>
        <v>7.1630784580155038E-2</v>
      </c>
      <c r="E76" s="471">
        <f>E31/'Revenues"A"'!E5</f>
        <v>7.7756303442687288E-2</v>
      </c>
      <c r="F76" s="471">
        <f>F31/'Revenues"A"'!F5</f>
        <v>8.4902437517699825E-2</v>
      </c>
      <c r="G76" s="617">
        <f>G31/'Revenues"A"'!G5</f>
        <v>9.6027964928789997E-2</v>
      </c>
      <c r="H76" s="683">
        <f>AVERAGE(F76:G76)</f>
        <v>9.0465201223244918E-2</v>
      </c>
      <c r="I76" s="683">
        <f t="shared" ref="I76:U76" si="162">H76</f>
        <v>9.0465201223244918E-2</v>
      </c>
      <c r="J76" s="683">
        <f t="shared" si="162"/>
        <v>9.0465201223244918E-2</v>
      </c>
      <c r="K76" s="682">
        <f t="shared" si="162"/>
        <v>9.0465201223244918E-2</v>
      </c>
      <c r="L76" s="682">
        <f t="shared" si="162"/>
        <v>9.0465201223244918E-2</v>
      </c>
      <c r="M76" s="682">
        <f t="shared" si="162"/>
        <v>9.0465201223244918E-2</v>
      </c>
      <c r="N76" s="682">
        <f t="shared" si="162"/>
        <v>9.0465201223244918E-2</v>
      </c>
      <c r="O76" s="682">
        <f t="shared" si="162"/>
        <v>9.0465201223244918E-2</v>
      </c>
      <c r="P76" s="683">
        <f>O76*(1+Scenarios_Summary!C38)</f>
        <v>8.3227985125385331E-2</v>
      </c>
      <c r="Q76" s="682">
        <f t="shared" si="162"/>
        <v>8.3227985125385331E-2</v>
      </c>
      <c r="R76" s="682">
        <f t="shared" si="162"/>
        <v>8.3227985125385331E-2</v>
      </c>
      <c r="S76" s="682">
        <f t="shared" si="162"/>
        <v>8.3227985125385331E-2</v>
      </c>
      <c r="T76" s="682">
        <f t="shared" si="162"/>
        <v>8.3227985125385331E-2</v>
      </c>
      <c r="U76" s="682">
        <f t="shared" si="162"/>
        <v>8.3227985125385331E-2</v>
      </c>
      <c r="V76" s="682">
        <f t="shared" ref="V76:AB76" si="163">U76</f>
        <v>8.3227985125385331E-2</v>
      </c>
      <c r="W76" s="682">
        <f t="shared" si="163"/>
        <v>8.3227985125385331E-2</v>
      </c>
      <c r="X76" s="682">
        <f t="shared" si="163"/>
        <v>8.3227985125385331E-2</v>
      </c>
      <c r="Y76" s="682">
        <f t="shared" si="163"/>
        <v>8.3227985125385331E-2</v>
      </c>
      <c r="Z76" s="682">
        <f t="shared" si="163"/>
        <v>8.3227985125385331E-2</v>
      </c>
      <c r="AA76" s="682">
        <f t="shared" si="163"/>
        <v>8.3227985125385331E-2</v>
      </c>
      <c r="AB76" s="682">
        <f t="shared" si="163"/>
        <v>8.3227985125385331E-2</v>
      </c>
    </row>
    <row r="77" spans="2:28" s="682" customFormat="1">
      <c r="B77" s="552" t="s">
        <v>3004</v>
      </c>
      <c r="C77" s="471"/>
      <c r="D77" s="471">
        <f>D32/C32-1</f>
        <v>0.22464504687809206</v>
      </c>
      <c r="E77" s="471">
        <f>E32/D32-1</f>
        <v>0.31661832697076919</v>
      </c>
      <c r="F77" s="471">
        <f>F32/E32-1</f>
        <v>-2.3604743404469497E-3</v>
      </c>
      <c r="G77" s="617">
        <f>G32/F32-1</f>
        <v>0.21689911259723571</v>
      </c>
      <c r="H77" s="702">
        <v>0</v>
      </c>
      <c r="I77" s="702">
        <v>0</v>
      </c>
      <c r="J77" s="702">
        <v>0</v>
      </c>
      <c r="K77" s="682">
        <f t="shared" ref="K77:U77" si="164">K99</f>
        <v>0</v>
      </c>
      <c r="L77" s="682">
        <f t="shared" si="164"/>
        <v>0</v>
      </c>
      <c r="M77" s="682">
        <f t="shared" si="164"/>
        <v>0</v>
      </c>
      <c r="N77" s="682">
        <f t="shared" si="164"/>
        <v>0</v>
      </c>
      <c r="O77" s="682">
        <f t="shared" si="164"/>
        <v>0</v>
      </c>
      <c r="P77" s="683">
        <f>P99+Scenarios_Summary!C38</f>
        <v>-0.08</v>
      </c>
      <c r="Q77" s="682">
        <f t="shared" si="164"/>
        <v>0</v>
      </c>
      <c r="R77" s="682">
        <f t="shared" si="164"/>
        <v>0</v>
      </c>
      <c r="S77" s="682">
        <f t="shared" si="164"/>
        <v>0</v>
      </c>
      <c r="T77" s="682">
        <f t="shared" si="164"/>
        <v>0</v>
      </c>
      <c r="U77" s="682">
        <f t="shared" si="164"/>
        <v>0</v>
      </c>
      <c r="V77" s="682">
        <f t="shared" ref="V77:AB77" si="165">V99</f>
        <v>0</v>
      </c>
      <c r="W77" s="682">
        <f t="shared" si="165"/>
        <v>0</v>
      </c>
      <c r="X77" s="682">
        <f t="shared" si="165"/>
        <v>0</v>
      </c>
      <c r="Y77" s="682">
        <f t="shared" si="165"/>
        <v>0</v>
      </c>
      <c r="Z77" s="682">
        <f t="shared" si="165"/>
        <v>0</v>
      </c>
      <c r="AA77" s="682">
        <f t="shared" si="165"/>
        <v>0</v>
      </c>
      <c r="AB77" s="682">
        <f t="shared" si="165"/>
        <v>0</v>
      </c>
    </row>
    <row r="78" spans="2:28" s="682" customFormat="1">
      <c r="B78" s="684" t="s">
        <v>3009</v>
      </c>
      <c r="C78" s="471"/>
      <c r="D78" s="471"/>
      <c r="E78" s="471"/>
      <c r="F78" s="471">
        <f>F33/E33-1</f>
        <v>0.13466028356466908</v>
      </c>
      <c r="G78" s="617">
        <f>G33/F33-1</f>
        <v>-6.3844775947673682E-2</v>
      </c>
      <c r="H78" s="702">
        <v>0</v>
      </c>
      <c r="I78" s="702">
        <v>0</v>
      </c>
      <c r="J78" s="702">
        <v>0</v>
      </c>
      <c r="K78" s="682">
        <f t="shared" ref="K78:U78" si="166">K99</f>
        <v>0</v>
      </c>
      <c r="L78" s="682">
        <f t="shared" si="166"/>
        <v>0</v>
      </c>
      <c r="M78" s="682">
        <f t="shared" si="166"/>
        <v>0</v>
      </c>
      <c r="N78" s="682">
        <f t="shared" si="166"/>
        <v>0</v>
      </c>
      <c r="O78" s="682">
        <f t="shared" si="166"/>
        <v>0</v>
      </c>
      <c r="P78" s="682">
        <f t="shared" si="166"/>
        <v>0</v>
      </c>
      <c r="Q78" s="682">
        <f t="shared" si="166"/>
        <v>0</v>
      </c>
      <c r="R78" s="682">
        <f t="shared" si="166"/>
        <v>0</v>
      </c>
      <c r="S78" s="682">
        <f t="shared" si="166"/>
        <v>0</v>
      </c>
      <c r="T78" s="682">
        <f t="shared" si="166"/>
        <v>0</v>
      </c>
      <c r="U78" s="682">
        <f t="shared" si="166"/>
        <v>0</v>
      </c>
      <c r="V78" s="682">
        <f t="shared" ref="V78:AB78" si="167">V99</f>
        <v>0</v>
      </c>
      <c r="W78" s="682">
        <f t="shared" si="167"/>
        <v>0</v>
      </c>
      <c r="X78" s="682">
        <f t="shared" si="167"/>
        <v>0</v>
      </c>
      <c r="Y78" s="682">
        <f t="shared" si="167"/>
        <v>0</v>
      </c>
      <c r="Z78" s="682">
        <f t="shared" si="167"/>
        <v>0</v>
      </c>
      <c r="AA78" s="682">
        <f t="shared" si="167"/>
        <v>0</v>
      </c>
      <c r="AB78" s="682">
        <f t="shared" si="167"/>
        <v>0</v>
      </c>
    </row>
    <row r="79" spans="2:28" s="682" customFormat="1">
      <c r="B79" s="700" t="s">
        <v>3006</v>
      </c>
      <c r="C79" s="701"/>
      <c r="D79" s="701">
        <f>D34/C34-1</f>
        <v>-7.2700473600285198E-2</v>
      </c>
      <c r="E79" s="701">
        <f>E34/D34-1</f>
        <v>9.6568050240716463E-2</v>
      </c>
      <c r="F79" s="701">
        <f>F34/E34-1</f>
        <v>0.29694988120387267</v>
      </c>
      <c r="G79" s="617">
        <f>G34/F34-1</f>
        <v>7.0999221661357304E-2</v>
      </c>
      <c r="H79" s="702">
        <v>0</v>
      </c>
      <c r="I79" s="702">
        <v>0</v>
      </c>
      <c r="J79" s="702">
        <v>0</v>
      </c>
      <c r="K79" s="703">
        <f t="shared" ref="K79:U79" si="168">K99</f>
        <v>0</v>
      </c>
      <c r="L79" s="703">
        <f t="shared" si="168"/>
        <v>0</v>
      </c>
      <c r="M79" s="703">
        <f t="shared" si="168"/>
        <v>0</v>
      </c>
      <c r="N79" s="703">
        <f t="shared" si="168"/>
        <v>0</v>
      </c>
      <c r="O79" s="703">
        <f t="shared" si="168"/>
        <v>0</v>
      </c>
      <c r="P79" s="703">
        <f t="shared" si="168"/>
        <v>0</v>
      </c>
      <c r="Q79" s="703">
        <f t="shared" si="168"/>
        <v>0</v>
      </c>
      <c r="R79" s="703">
        <f t="shared" si="168"/>
        <v>0</v>
      </c>
      <c r="S79" s="703">
        <f t="shared" si="168"/>
        <v>0</v>
      </c>
      <c r="T79" s="703">
        <f t="shared" si="168"/>
        <v>0</v>
      </c>
      <c r="U79" s="703">
        <f t="shared" si="168"/>
        <v>0</v>
      </c>
      <c r="V79" s="703">
        <f t="shared" ref="V79:AB79" si="169">V99</f>
        <v>0</v>
      </c>
      <c r="W79" s="703">
        <f t="shared" si="169"/>
        <v>0</v>
      </c>
      <c r="X79" s="703">
        <f t="shared" si="169"/>
        <v>0</v>
      </c>
      <c r="Y79" s="703">
        <f t="shared" si="169"/>
        <v>0</v>
      </c>
      <c r="Z79" s="703">
        <f t="shared" si="169"/>
        <v>0</v>
      </c>
      <c r="AA79" s="703">
        <f t="shared" si="169"/>
        <v>0</v>
      </c>
      <c r="AB79" s="703">
        <f t="shared" si="169"/>
        <v>0</v>
      </c>
    </row>
    <row r="80" spans="2:28" s="682" customFormat="1">
      <c r="B80" s="699" t="s">
        <v>3040</v>
      </c>
      <c r="C80" s="695"/>
      <c r="D80" s="695"/>
      <c r="E80" s="695">
        <f>('Revenues"A"'!E27-E35)/'Revenues"A"'!E27</f>
        <v>0.13171485176363795</v>
      </c>
      <c r="F80" s="695">
        <f>('Revenues"A"'!F27-F35)/'Revenues"A"'!F27</f>
        <v>0.11246317900063461</v>
      </c>
      <c r="G80" s="696">
        <f>('Revenues"A"'!G27-G35)/'Revenues"A"'!G27</f>
        <v>9.0712100732757928E-2</v>
      </c>
      <c r="H80" s="697">
        <f>AVERAGE(E80:G80)</f>
        <v>0.1116300438323435</v>
      </c>
      <c r="I80" s="697">
        <f>H80</f>
        <v>0.1116300438323435</v>
      </c>
      <c r="J80" s="697">
        <f t="shared" ref="J80:U80" si="170">I80</f>
        <v>0.1116300438323435</v>
      </c>
      <c r="K80" s="694">
        <f t="shared" si="170"/>
        <v>0.1116300438323435</v>
      </c>
      <c r="L80" s="694">
        <f t="shared" si="170"/>
        <v>0.1116300438323435</v>
      </c>
      <c r="M80" s="694">
        <f t="shared" si="170"/>
        <v>0.1116300438323435</v>
      </c>
      <c r="N80" s="694">
        <f t="shared" si="170"/>
        <v>0.1116300438323435</v>
      </c>
      <c r="O80" s="694">
        <f t="shared" si="170"/>
        <v>0.1116300438323435</v>
      </c>
      <c r="P80" s="694">
        <f t="shared" si="170"/>
        <v>0.1116300438323435</v>
      </c>
      <c r="Q80" s="694">
        <f t="shared" si="170"/>
        <v>0.1116300438323435</v>
      </c>
      <c r="R80" s="694">
        <f t="shared" si="170"/>
        <v>0.1116300438323435</v>
      </c>
      <c r="S80" s="694">
        <f t="shared" si="170"/>
        <v>0.1116300438323435</v>
      </c>
      <c r="T80" s="694">
        <f t="shared" si="170"/>
        <v>0.1116300438323435</v>
      </c>
      <c r="U80" s="694">
        <f t="shared" si="170"/>
        <v>0.1116300438323435</v>
      </c>
      <c r="V80" s="694">
        <f t="shared" ref="V80:AB80" si="171">U80</f>
        <v>0.1116300438323435</v>
      </c>
      <c r="W80" s="694">
        <f t="shared" si="171"/>
        <v>0.1116300438323435</v>
      </c>
      <c r="X80" s="694">
        <f t="shared" si="171"/>
        <v>0.1116300438323435</v>
      </c>
      <c r="Y80" s="694">
        <f t="shared" si="171"/>
        <v>0.1116300438323435</v>
      </c>
      <c r="Z80" s="694">
        <f t="shared" si="171"/>
        <v>0.1116300438323435</v>
      </c>
      <c r="AA80" s="694">
        <f t="shared" si="171"/>
        <v>0.1116300438323435</v>
      </c>
      <c r="AB80" s="694">
        <f t="shared" si="171"/>
        <v>0.1116300438323435</v>
      </c>
    </row>
    <row r="81" spans="2:30" s="682" customFormat="1">
      <c r="B81" s="684" t="s">
        <v>3015</v>
      </c>
      <c r="C81" s="471"/>
      <c r="D81" s="471">
        <f t="shared" ref="D81:G87" si="172">D37/C37-1</f>
        <v>-6.8605740590788056E-4</v>
      </c>
      <c r="E81" s="471">
        <f t="shared" si="172"/>
        <v>-1.9990448824716234E-2</v>
      </c>
      <c r="F81" s="471">
        <f t="shared" si="172"/>
        <v>8.1969887423350762E-2</v>
      </c>
      <c r="G81" s="617">
        <f t="shared" si="172"/>
        <v>-0.25798662799498007</v>
      </c>
      <c r="H81" s="682">
        <f>'Costs"0"'!H81</f>
        <v>0.1</v>
      </c>
      <c r="I81" s="682">
        <f>'Costs"0"'!I81</f>
        <v>0</v>
      </c>
      <c r="J81" s="682">
        <f>'Costs"0"'!J81</f>
        <v>0</v>
      </c>
      <c r="K81" s="682">
        <f t="shared" ref="K81:AB88" si="173">K$99</f>
        <v>0</v>
      </c>
      <c r="L81" s="682">
        <f t="shared" si="173"/>
        <v>0</v>
      </c>
      <c r="M81" s="682">
        <f t="shared" si="173"/>
        <v>0</v>
      </c>
      <c r="N81" s="682">
        <f t="shared" si="173"/>
        <v>0</v>
      </c>
      <c r="O81" s="682">
        <f t="shared" si="173"/>
        <v>0</v>
      </c>
      <c r="P81" s="683">
        <f>P$99+AC81</f>
        <v>-0.15</v>
      </c>
      <c r="Q81" s="682">
        <f t="shared" si="173"/>
        <v>0</v>
      </c>
      <c r="R81" s="682">
        <f t="shared" si="173"/>
        <v>0</v>
      </c>
      <c r="S81" s="682">
        <f t="shared" si="173"/>
        <v>0</v>
      </c>
      <c r="T81" s="682">
        <f t="shared" si="173"/>
        <v>0</v>
      </c>
      <c r="U81" s="682">
        <f t="shared" si="173"/>
        <v>0</v>
      </c>
      <c r="V81" s="682">
        <f t="shared" si="173"/>
        <v>0</v>
      </c>
      <c r="W81" s="682">
        <f t="shared" si="173"/>
        <v>0</v>
      </c>
      <c r="X81" s="682">
        <f t="shared" si="173"/>
        <v>0</v>
      </c>
      <c r="Y81" s="682">
        <f t="shared" si="173"/>
        <v>0</v>
      </c>
      <c r="Z81" s="682">
        <f t="shared" si="173"/>
        <v>0</v>
      </c>
      <c r="AA81" s="682">
        <f t="shared" si="173"/>
        <v>0</v>
      </c>
      <c r="AB81" s="682">
        <f t="shared" si="173"/>
        <v>0</v>
      </c>
      <c r="AC81" s="683">
        <f>Scenarios_Summary!C33</f>
        <v>-0.15</v>
      </c>
      <c r="AD81" s="682" t="s">
        <v>3128</v>
      </c>
    </row>
    <row r="82" spans="2:30" s="682" customFormat="1">
      <c r="B82" s="684" t="s">
        <v>3016</v>
      </c>
      <c r="C82" s="471"/>
      <c r="D82" s="471">
        <f t="shared" si="172"/>
        <v>0.56926027191120721</v>
      </c>
      <c r="E82" s="471">
        <f t="shared" si="172"/>
        <v>1.0293425835777965</v>
      </c>
      <c r="F82" s="471">
        <f t="shared" si="172"/>
        <v>-0.29240495992844528</v>
      </c>
      <c r="G82" s="617">
        <f t="shared" si="172"/>
        <v>0.71575321248811807</v>
      </c>
      <c r="H82" s="682">
        <f>'Costs"0"'!H82</f>
        <v>0.05</v>
      </c>
      <c r="I82" s="682">
        <f>'Costs"0"'!I82</f>
        <v>0</v>
      </c>
      <c r="J82" s="682">
        <f>'Costs"0"'!J82</f>
        <v>0</v>
      </c>
      <c r="K82" s="682">
        <f t="shared" ref="K82:X88" si="174">K$99</f>
        <v>0</v>
      </c>
      <c r="L82" s="682">
        <f t="shared" si="174"/>
        <v>0</v>
      </c>
      <c r="M82" s="682">
        <f t="shared" si="174"/>
        <v>0</v>
      </c>
      <c r="N82" s="682">
        <f t="shared" si="174"/>
        <v>0</v>
      </c>
      <c r="O82" s="682">
        <f t="shared" si="174"/>
        <v>0</v>
      </c>
      <c r="P82" s="683">
        <f>P$99+AC82</f>
        <v>-0.15</v>
      </c>
      <c r="Q82" s="682">
        <f t="shared" si="174"/>
        <v>0</v>
      </c>
      <c r="R82" s="682">
        <f t="shared" si="174"/>
        <v>0</v>
      </c>
      <c r="S82" s="682">
        <f t="shared" si="174"/>
        <v>0</v>
      </c>
      <c r="T82" s="682">
        <f t="shared" si="174"/>
        <v>0</v>
      </c>
      <c r="U82" s="682">
        <f t="shared" si="174"/>
        <v>0</v>
      </c>
      <c r="V82" s="682">
        <f t="shared" si="174"/>
        <v>0</v>
      </c>
      <c r="W82" s="682">
        <f t="shared" si="174"/>
        <v>0</v>
      </c>
      <c r="X82" s="682">
        <f t="shared" si="174"/>
        <v>0</v>
      </c>
      <c r="Y82" s="682">
        <f t="shared" si="173"/>
        <v>0</v>
      </c>
      <c r="Z82" s="682">
        <f t="shared" si="173"/>
        <v>0</v>
      </c>
      <c r="AA82" s="682">
        <f t="shared" si="173"/>
        <v>0</v>
      </c>
      <c r="AB82" s="682">
        <f t="shared" si="173"/>
        <v>0</v>
      </c>
      <c r="AC82" s="683">
        <f>AC81</f>
        <v>-0.15</v>
      </c>
    </row>
    <row r="83" spans="2:30" s="682" customFormat="1">
      <c r="B83" s="684" t="s">
        <v>1944</v>
      </c>
      <c r="C83" s="471"/>
      <c r="D83" s="471">
        <f t="shared" si="172"/>
        <v>-6.1260381213592563E-3</v>
      </c>
      <c r="E83" s="471">
        <f t="shared" si="172"/>
        <v>3.3133592941074763E-3</v>
      </c>
      <c r="F83" s="471">
        <f t="shared" si="172"/>
        <v>0.33492297287670869</v>
      </c>
      <c r="G83" s="617">
        <f t="shared" si="172"/>
        <v>-0.39092372174210355</v>
      </c>
      <c r="H83" s="682">
        <f>'Costs"0"'!H83</f>
        <v>-1</v>
      </c>
      <c r="I83" s="682">
        <f>'Costs"0"'!I83</f>
        <v>0</v>
      </c>
      <c r="J83" s="682">
        <f>'Costs"0"'!J83</f>
        <v>0</v>
      </c>
      <c r="K83" s="682">
        <f t="shared" si="174"/>
        <v>0</v>
      </c>
      <c r="L83" s="682">
        <f t="shared" si="174"/>
        <v>0</v>
      </c>
      <c r="M83" s="682">
        <f t="shared" si="174"/>
        <v>0</v>
      </c>
      <c r="N83" s="682">
        <f t="shared" si="174"/>
        <v>0</v>
      </c>
      <c r="O83" s="682">
        <f t="shared" si="174"/>
        <v>0</v>
      </c>
      <c r="P83" s="682">
        <f t="shared" si="174"/>
        <v>0</v>
      </c>
      <c r="Q83" s="682">
        <f t="shared" si="174"/>
        <v>0</v>
      </c>
      <c r="R83" s="682">
        <f t="shared" si="174"/>
        <v>0</v>
      </c>
      <c r="S83" s="682">
        <f t="shared" si="174"/>
        <v>0</v>
      </c>
      <c r="T83" s="682">
        <f t="shared" si="174"/>
        <v>0</v>
      </c>
      <c r="U83" s="682">
        <f t="shared" si="174"/>
        <v>0</v>
      </c>
      <c r="V83" s="682">
        <f t="shared" si="173"/>
        <v>0</v>
      </c>
      <c r="W83" s="682">
        <f t="shared" si="173"/>
        <v>0</v>
      </c>
      <c r="X83" s="682">
        <f t="shared" si="173"/>
        <v>0</v>
      </c>
      <c r="Y83" s="682">
        <f t="shared" si="173"/>
        <v>0</v>
      </c>
      <c r="Z83" s="682">
        <f t="shared" si="173"/>
        <v>0</v>
      </c>
      <c r="AA83" s="682">
        <f t="shared" si="173"/>
        <v>0</v>
      </c>
      <c r="AB83" s="682">
        <f t="shared" si="173"/>
        <v>0</v>
      </c>
    </row>
    <row r="84" spans="2:30" s="682" customFormat="1">
      <c r="B84" s="684" t="s">
        <v>3017</v>
      </c>
      <c r="C84" s="471"/>
      <c r="D84" s="471">
        <f t="shared" si="172"/>
        <v>0.20375193960612892</v>
      </c>
      <c r="E84" s="471">
        <f t="shared" si="172"/>
        <v>9.138305928232926E-2</v>
      </c>
      <c r="F84" s="471">
        <f t="shared" si="172"/>
        <v>-4.6642968452674904E-2</v>
      </c>
      <c r="G84" s="617">
        <f t="shared" si="172"/>
        <v>0.14780003001467779</v>
      </c>
      <c r="H84" s="682">
        <f>'Costs"0"'!H84</f>
        <v>0.05</v>
      </c>
      <c r="I84" s="682">
        <f>'Costs"0"'!I84</f>
        <v>0</v>
      </c>
      <c r="J84" s="682">
        <f>'Costs"0"'!J84</f>
        <v>0</v>
      </c>
      <c r="K84" s="682">
        <f t="shared" si="174"/>
        <v>0</v>
      </c>
      <c r="L84" s="682">
        <f t="shared" si="174"/>
        <v>0</v>
      </c>
      <c r="M84" s="682">
        <f t="shared" si="174"/>
        <v>0</v>
      </c>
      <c r="N84" s="682">
        <f t="shared" si="174"/>
        <v>0</v>
      </c>
      <c r="O84" s="682">
        <f t="shared" si="174"/>
        <v>0</v>
      </c>
      <c r="P84" s="682">
        <f t="shared" si="174"/>
        <v>0</v>
      </c>
      <c r="Q84" s="682">
        <f t="shared" si="174"/>
        <v>0</v>
      </c>
      <c r="R84" s="682">
        <f t="shared" si="174"/>
        <v>0</v>
      </c>
      <c r="S84" s="682">
        <f t="shared" si="174"/>
        <v>0</v>
      </c>
      <c r="T84" s="682">
        <f t="shared" si="174"/>
        <v>0</v>
      </c>
      <c r="U84" s="682">
        <f t="shared" si="174"/>
        <v>0</v>
      </c>
      <c r="V84" s="682">
        <f t="shared" si="173"/>
        <v>0</v>
      </c>
      <c r="W84" s="682">
        <f t="shared" si="173"/>
        <v>0</v>
      </c>
      <c r="X84" s="682">
        <f t="shared" si="173"/>
        <v>0</v>
      </c>
      <c r="Y84" s="682">
        <f t="shared" si="173"/>
        <v>0</v>
      </c>
      <c r="Z84" s="682">
        <f t="shared" si="173"/>
        <v>0</v>
      </c>
      <c r="AA84" s="682">
        <f t="shared" si="173"/>
        <v>0</v>
      </c>
      <c r="AB84" s="682">
        <f t="shared" si="173"/>
        <v>0</v>
      </c>
    </row>
    <row r="85" spans="2:30" s="682" customFormat="1">
      <c r="B85" s="684" t="s">
        <v>3018</v>
      </c>
      <c r="C85" s="471"/>
      <c r="D85" s="471">
        <f t="shared" si="172"/>
        <v>-1.4375236878084729E-3</v>
      </c>
      <c r="E85" s="471">
        <f t="shared" si="172"/>
        <v>0.19526010948143679</v>
      </c>
      <c r="F85" s="471">
        <f t="shared" si="172"/>
        <v>0.31683563917252977</v>
      </c>
      <c r="G85" s="617">
        <f t="shared" si="172"/>
        <v>6.0976308627118447E-2</v>
      </c>
      <c r="H85" s="682">
        <f>'Costs"0"'!H85</f>
        <v>0.05</v>
      </c>
      <c r="I85" s="682">
        <f>'Costs"0"'!I85</f>
        <v>0</v>
      </c>
      <c r="J85" s="682">
        <f>'Costs"0"'!J85</f>
        <v>0</v>
      </c>
      <c r="K85" s="682">
        <f t="shared" si="174"/>
        <v>0</v>
      </c>
      <c r="L85" s="682">
        <f t="shared" si="174"/>
        <v>0</v>
      </c>
      <c r="M85" s="682">
        <f t="shared" si="174"/>
        <v>0</v>
      </c>
      <c r="N85" s="682">
        <f t="shared" si="174"/>
        <v>0</v>
      </c>
      <c r="O85" s="682">
        <f t="shared" si="174"/>
        <v>0</v>
      </c>
      <c r="P85" s="682">
        <f t="shared" si="174"/>
        <v>0</v>
      </c>
      <c r="Q85" s="682">
        <f t="shared" si="174"/>
        <v>0</v>
      </c>
      <c r="R85" s="682">
        <f t="shared" si="174"/>
        <v>0</v>
      </c>
      <c r="S85" s="682">
        <f t="shared" si="174"/>
        <v>0</v>
      </c>
      <c r="T85" s="682">
        <f t="shared" si="174"/>
        <v>0</v>
      </c>
      <c r="U85" s="682">
        <f t="shared" si="174"/>
        <v>0</v>
      </c>
      <c r="V85" s="682">
        <f t="shared" si="173"/>
        <v>0</v>
      </c>
      <c r="W85" s="682">
        <f t="shared" si="173"/>
        <v>0</v>
      </c>
      <c r="X85" s="682">
        <f t="shared" si="173"/>
        <v>0</v>
      </c>
      <c r="Y85" s="682">
        <f t="shared" si="173"/>
        <v>0</v>
      </c>
      <c r="Z85" s="682">
        <f t="shared" si="173"/>
        <v>0</v>
      </c>
      <c r="AA85" s="682">
        <f t="shared" si="173"/>
        <v>0</v>
      </c>
      <c r="AB85" s="682">
        <f t="shared" si="173"/>
        <v>0</v>
      </c>
    </row>
    <row r="86" spans="2:30" s="682" customFormat="1">
      <c r="B86" s="684" t="s">
        <v>3019</v>
      </c>
      <c r="C86" s="471"/>
      <c r="D86" s="471">
        <f t="shared" si="172"/>
        <v>0.11648216992850902</v>
      </c>
      <c r="E86" s="471">
        <f t="shared" si="172"/>
        <v>1.6010873117878299E-2</v>
      </c>
      <c r="F86" s="471">
        <f t="shared" si="172"/>
        <v>6.6119436987652325E-2</v>
      </c>
      <c r="G86" s="617">
        <f t="shared" si="172"/>
        <v>0.41488083512698237</v>
      </c>
      <c r="H86" s="682">
        <f>'Costs"0"'!H86</f>
        <v>0.05</v>
      </c>
      <c r="I86" s="682">
        <f>'Costs"0"'!I86</f>
        <v>0</v>
      </c>
      <c r="J86" s="682">
        <f>'Costs"0"'!J86</f>
        <v>0</v>
      </c>
      <c r="K86" s="682">
        <f t="shared" si="174"/>
        <v>0</v>
      </c>
      <c r="L86" s="682">
        <f t="shared" si="174"/>
        <v>0</v>
      </c>
      <c r="M86" s="682">
        <f t="shared" si="174"/>
        <v>0</v>
      </c>
      <c r="N86" s="682">
        <f t="shared" si="174"/>
        <v>0</v>
      </c>
      <c r="O86" s="682">
        <f t="shared" si="174"/>
        <v>0</v>
      </c>
      <c r="P86" s="682">
        <f t="shared" si="174"/>
        <v>0</v>
      </c>
      <c r="Q86" s="682">
        <f t="shared" si="174"/>
        <v>0</v>
      </c>
      <c r="R86" s="682">
        <f t="shared" si="174"/>
        <v>0</v>
      </c>
      <c r="S86" s="682">
        <f t="shared" si="174"/>
        <v>0</v>
      </c>
      <c r="T86" s="682">
        <f t="shared" si="174"/>
        <v>0</v>
      </c>
      <c r="U86" s="682">
        <f t="shared" si="174"/>
        <v>0</v>
      </c>
      <c r="V86" s="682">
        <f t="shared" si="173"/>
        <v>0</v>
      </c>
      <c r="W86" s="682">
        <f t="shared" si="173"/>
        <v>0</v>
      </c>
      <c r="X86" s="682">
        <f t="shared" si="173"/>
        <v>0</v>
      </c>
      <c r="Y86" s="682">
        <f t="shared" si="173"/>
        <v>0</v>
      </c>
      <c r="Z86" s="682">
        <f t="shared" si="173"/>
        <v>0</v>
      </c>
      <c r="AA86" s="682">
        <f t="shared" si="173"/>
        <v>0</v>
      </c>
      <c r="AB86" s="682">
        <f t="shared" si="173"/>
        <v>0</v>
      </c>
    </row>
    <row r="87" spans="2:30" s="682" customFormat="1">
      <c r="B87" s="699" t="s">
        <v>3026</v>
      </c>
      <c r="C87" s="695"/>
      <c r="D87" s="695">
        <f t="shared" si="172"/>
        <v>3.9372263984507994E-2</v>
      </c>
      <c r="E87" s="695">
        <f t="shared" si="172"/>
        <v>0.17313093462328166</v>
      </c>
      <c r="F87" s="695">
        <f t="shared" si="172"/>
        <v>0.13178680850600943</v>
      </c>
      <c r="G87" s="696">
        <f t="shared" si="172"/>
        <v>0.30225239317839736</v>
      </c>
      <c r="H87" s="694">
        <f>'Costs"0"'!H87</f>
        <v>0.1</v>
      </c>
      <c r="I87" s="694">
        <f>'Costs"0"'!I87</f>
        <v>0</v>
      </c>
      <c r="J87" s="694">
        <f>'Costs"0"'!J87</f>
        <v>0</v>
      </c>
      <c r="K87" s="694">
        <f t="shared" si="174"/>
        <v>0</v>
      </c>
      <c r="L87" s="694">
        <f t="shared" si="174"/>
        <v>0</v>
      </c>
      <c r="M87" s="694">
        <f t="shared" si="174"/>
        <v>0</v>
      </c>
      <c r="N87" s="694">
        <f t="shared" si="174"/>
        <v>0</v>
      </c>
      <c r="O87" s="694">
        <f t="shared" si="174"/>
        <v>0</v>
      </c>
      <c r="P87" s="694">
        <f t="shared" si="174"/>
        <v>0</v>
      </c>
      <c r="Q87" s="694">
        <f t="shared" si="174"/>
        <v>0</v>
      </c>
      <c r="R87" s="694">
        <f t="shared" si="174"/>
        <v>0</v>
      </c>
      <c r="S87" s="694">
        <f t="shared" si="174"/>
        <v>0</v>
      </c>
      <c r="T87" s="694">
        <f t="shared" si="174"/>
        <v>0</v>
      </c>
      <c r="U87" s="694">
        <f t="shared" si="174"/>
        <v>0</v>
      </c>
      <c r="V87" s="694">
        <f t="shared" si="173"/>
        <v>0</v>
      </c>
      <c r="W87" s="694">
        <f t="shared" si="173"/>
        <v>0</v>
      </c>
      <c r="X87" s="694">
        <f t="shared" si="173"/>
        <v>0</v>
      </c>
      <c r="Y87" s="694">
        <f t="shared" si="173"/>
        <v>0</v>
      </c>
      <c r="Z87" s="694">
        <f t="shared" si="173"/>
        <v>0</v>
      </c>
      <c r="AA87" s="694">
        <f t="shared" si="173"/>
        <v>0</v>
      </c>
      <c r="AB87" s="694">
        <f t="shared" si="173"/>
        <v>0</v>
      </c>
    </row>
    <row r="88" spans="2:30">
      <c r="B88" s="552" t="s">
        <v>3020</v>
      </c>
      <c r="C88" s="471"/>
      <c r="D88" s="471">
        <f>D45/C45-1</f>
        <v>-6.4462955846890102E-3</v>
      </c>
      <c r="E88" s="471">
        <f t="shared" ref="E88:G88" si="175">E45/D45-1</f>
        <v>0.37076867122393931</v>
      </c>
      <c r="F88" s="471">
        <f t="shared" si="175"/>
        <v>0.30500660977639593</v>
      </c>
      <c r="G88" s="617">
        <f t="shared" si="175"/>
        <v>-0.15695222642510165</v>
      </c>
      <c r="H88" s="332">
        <f>'Costs"0"'!H88</f>
        <v>0</v>
      </c>
      <c r="I88" s="332">
        <f>'Costs"0"'!I88</f>
        <v>0</v>
      </c>
      <c r="J88" s="332">
        <f>J$99</f>
        <v>0</v>
      </c>
      <c r="K88" s="332">
        <f t="shared" si="174"/>
        <v>0</v>
      </c>
      <c r="L88" s="332">
        <f t="shared" si="174"/>
        <v>0</v>
      </c>
      <c r="M88" s="332">
        <f t="shared" si="174"/>
        <v>0</v>
      </c>
      <c r="N88" s="332">
        <f t="shared" si="174"/>
        <v>0</v>
      </c>
      <c r="O88" s="332">
        <f t="shared" si="174"/>
        <v>0</v>
      </c>
      <c r="P88" s="332">
        <f t="shared" si="174"/>
        <v>0</v>
      </c>
      <c r="Q88" s="332">
        <f t="shared" si="174"/>
        <v>0</v>
      </c>
      <c r="R88" s="332">
        <f t="shared" si="174"/>
        <v>0</v>
      </c>
      <c r="S88" s="332">
        <f t="shared" si="174"/>
        <v>0</v>
      </c>
      <c r="T88" s="332">
        <f t="shared" si="174"/>
        <v>0</v>
      </c>
      <c r="U88" s="332">
        <f t="shared" si="174"/>
        <v>0</v>
      </c>
      <c r="V88" s="332">
        <f t="shared" si="173"/>
        <v>0</v>
      </c>
      <c r="W88" s="332">
        <f t="shared" si="173"/>
        <v>0</v>
      </c>
      <c r="X88" s="332">
        <f t="shared" si="173"/>
        <v>0</v>
      </c>
      <c r="Y88" s="332">
        <f t="shared" si="173"/>
        <v>0</v>
      </c>
      <c r="Z88" s="332">
        <f t="shared" si="173"/>
        <v>0</v>
      </c>
      <c r="AA88" s="332">
        <f t="shared" si="173"/>
        <v>0</v>
      </c>
      <c r="AB88" s="332">
        <f t="shared" si="173"/>
        <v>0</v>
      </c>
    </row>
    <row r="89" spans="2:30">
      <c r="B89" s="552" t="s">
        <v>3044</v>
      </c>
      <c r="C89" s="471">
        <f>C46/(SUM(C36,C7))</f>
        <v>0.18736694800023182</v>
      </c>
      <c r="D89" s="471">
        <f>D46/(SUM(D36,D7))</f>
        <v>0.18755114566557407</v>
      </c>
      <c r="E89" s="471">
        <f>E46/(SUM(E36,E7))</f>
        <v>0.1781543183297869</v>
      </c>
      <c r="F89" s="471">
        <f>F46/(SUM(F36,F7))</f>
        <v>0.15573843090384837</v>
      </c>
      <c r="G89" s="617">
        <f>G46/(SUM(G36,G7))</f>
        <v>0.16553361739999328</v>
      </c>
      <c r="H89" s="332">
        <f>'Costs"0"'!H89</f>
        <v>0.16553361739999328</v>
      </c>
      <c r="I89" s="332">
        <f>'Costs"0"'!I89</f>
        <v>0.16553361739999328</v>
      </c>
      <c r="J89" s="332">
        <f t="shared" ref="J89:U89" si="176">I89</f>
        <v>0.16553361739999328</v>
      </c>
      <c r="K89" s="332">
        <f t="shared" si="176"/>
        <v>0.16553361739999328</v>
      </c>
      <c r="L89" s="332">
        <f t="shared" si="176"/>
        <v>0.16553361739999328</v>
      </c>
      <c r="M89" s="332">
        <f t="shared" si="176"/>
        <v>0.16553361739999328</v>
      </c>
      <c r="N89" s="332">
        <f t="shared" si="176"/>
        <v>0.16553361739999328</v>
      </c>
      <c r="O89" s="332">
        <f t="shared" si="176"/>
        <v>0.16553361739999328</v>
      </c>
      <c r="P89" s="332">
        <f t="shared" si="176"/>
        <v>0.16553361739999328</v>
      </c>
      <c r="Q89" s="332">
        <f t="shared" si="176"/>
        <v>0.16553361739999328</v>
      </c>
      <c r="R89" s="332">
        <f t="shared" si="176"/>
        <v>0.16553361739999328</v>
      </c>
      <c r="S89" s="332">
        <f t="shared" si="176"/>
        <v>0.16553361739999328</v>
      </c>
      <c r="T89" s="332">
        <f t="shared" si="176"/>
        <v>0.16553361739999328</v>
      </c>
      <c r="U89" s="332">
        <f t="shared" si="176"/>
        <v>0.16553361739999328</v>
      </c>
      <c r="V89" s="332">
        <f t="shared" ref="V89:AB89" si="177">U89</f>
        <v>0.16553361739999328</v>
      </c>
      <c r="W89" s="332">
        <f t="shared" si="177"/>
        <v>0.16553361739999328</v>
      </c>
      <c r="X89" s="332">
        <f t="shared" si="177"/>
        <v>0.16553361739999328</v>
      </c>
      <c r="Y89" s="332">
        <f t="shared" si="177"/>
        <v>0.16553361739999328</v>
      </c>
      <c r="Z89" s="332">
        <f t="shared" si="177"/>
        <v>0.16553361739999328</v>
      </c>
      <c r="AA89" s="332">
        <f t="shared" si="177"/>
        <v>0.16553361739999328</v>
      </c>
      <c r="AB89" s="332">
        <f t="shared" si="177"/>
        <v>0.16553361739999328</v>
      </c>
    </row>
    <row r="90" spans="2:30">
      <c r="B90" s="552" t="s">
        <v>3027</v>
      </c>
      <c r="C90" s="471"/>
      <c r="D90" s="471">
        <f t="shared" ref="D90:G91" si="178">D47/C47-1</f>
        <v>1.8328379630599967E-2</v>
      </c>
      <c r="E90" s="471">
        <f t="shared" si="178"/>
        <v>3.7414907860535251E-2</v>
      </c>
      <c r="F90" s="471">
        <f t="shared" si="178"/>
        <v>4.4671629887846453E-2</v>
      </c>
      <c r="G90" s="617">
        <f t="shared" si="178"/>
        <v>1.0291113883773573E-2</v>
      </c>
      <c r="H90" s="332">
        <f>'Costs"0"'!H90</f>
        <v>0.01</v>
      </c>
      <c r="I90" s="332">
        <f>'Costs"0"'!I90</f>
        <v>0</v>
      </c>
      <c r="J90" s="332">
        <f t="shared" ref="J90:U90" si="179">J$99</f>
        <v>0</v>
      </c>
      <c r="K90" s="332">
        <f t="shared" si="179"/>
        <v>0</v>
      </c>
      <c r="L90" s="332">
        <f t="shared" si="179"/>
        <v>0</v>
      </c>
      <c r="M90" s="332">
        <f t="shared" si="179"/>
        <v>0</v>
      </c>
      <c r="N90" s="332">
        <f t="shared" si="179"/>
        <v>0</v>
      </c>
      <c r="O90" s="332">
        <f t="shared" si="179"/>
        <v>0</v>
      </c>
      <c r="P90" s="332">
        <f t="shared" si="179"/>
        <v>0</v>
      </c>
      <c r="Q90" s="332">
        <f t="shared" si="179"/>
        <v>0</v>
      </c>
      <c r="R90" s="332">
        <f t="shared" si="179"/>
        <v>0</v>
      </c>
      <c r="S90" s="332">
        <f t="shared" si="179"/>
        <v>0</v>
      </c>
      <c r="T90" s="332">
        <f t="shared" si="179"/>
        <v>0</v>
      </c>
      <c r="U90" s="332">
        <f t="shared" si="179"/>
        <v>0</v>
      </c>
      <c r="V90" s="332">
        <f t="shared" ref="V90:AB95" si="180">V$99</f>
        <v>0</v>
      </c>
      <c r="W90" s="332">
        <f t="shared" si="180"/>
        <v>0</v>
      </c>
      <c r="X90" s="332">
        <f t="shared" si="180"/>
        <v>0</v>
      </c>
      <c r="Y90" s="332">
        <f t="shared" si="180"/>
        <v>0</v>
      </c>
      <c r="Z90" s="332">
        <f t="shared" si="180"/>
        <v>0</v>
      </c>
      <c r="AA90" s="332">
        <f t="shared" si="180"/>
        <v>0</v>
      </c>
      <c r="AB90" s="332">
        <f t="shared" si="180"/>
        <v>0</v>
      </c>
    </row>
    <row r="91" spans="2:30">
      <c r="B91" s="552" t="s">
        <v>3028</v>
      </c>
      <c r="C91" s="471"/>
      <c r="D91" s="471"/>
      <c r="E91" s="471"/>
      <c r="F91" s="471"/>
      <c r="G91" s="617">
        <f t="shared" si="178"/>
        <v>0.4300897204351235</v>
      </c>
      <c r="H91" s="332">
        <f>'Costs"0"'!H91</f>
        <v>-1</v>
      </c>
      <c r="I91" s="332">
        <f>'Costs"0"'!I91</f>
        <v>0</v>
      </c>
      <c r="J91" s="332">
        <f t="shared" ref="J91:U95" si="181">J$99</f>
        <v>0</v>
      </c>
      <c r="K91" s="332">
        <f t="shared" si="181"/>
        <v>0</v>
      </c>
      <c r="L91" s="332">
        <f t="shared" si="181"/>
        <v>0</v>
      </c>
      <c r="M91" s="332">
        <f t="shared" si="181"/>
        <v>0</v>
      </c>
      <c r="N91" s="332">
        <f t="shared" si="181"/>
        <v>0</v>
      </c>
      <c r="O91" s="332">
        <f t="shared" si="181"/>
        <v>0</v>
      </c>
      <c r="P91" s="332">
        <f t="shared" si="181"/>
        <v>0</v>
      </c>
      <c r="Q91" s="332">
        <f t="shared" si="181"/>
        <v>0</v>
      </c>
      <c r="R91" s="332">
        <f t="shared" si="181"/>
        <v>0</v>
      </c>
      <c r="S91" s="332">
        <f t="shared" si="181"/>
        <v>0</v>
      </c>
      <c r="T91" s="332">
        <f t="shared" si="181"/>
        <v>0</v>
      </c>
      <c r="U91" s="332">
        <f t="shared" si="181"/>
        <v>0</v>
      </c>
      <c r="V91" s="332">
        <f t="shared" si="180"/>
        <v>0</v>
      </c>
      <c r="W91" s="332">
        <f t="shared" si="180"/>
        <v>0</v>
      </c>
      <c r="X91" s="332">
        <f t="shared" si="180"/>
        <v>0</v>
      </c>
      <c r="Y91" s="332">
        <f t="shared" si="180"/>
        <v>0</v>
      </c>
      <c r="Z91" s="332">
        <f t="shared" si="180"/>
        <v>0</v>
      </c>
      <c r="AA91" s="332">
        <f t="shared" si="180"/>
        <v>0</v>
      </c>
      <c r="AB91" s="332">
        <f t="shared" si="180"/>
        <v>0</v>
      </c>
    </row>
    <row r="92" spans="2:30" s="682" customFormat="1">
      <c r="B92" s="680" t="s">
        <v>3030</v>
      </c>
      <c r="C92" s="471"/>
      <c r="D92" s="471">
        <f t="shared" ref="D92:G95" si="182">D50/C50-1</f>
        <v>11.17458645</v>
      </c>
      <c r="E92" s="471">
        <f t="shared" si="182"/>
        <v>-0.66371870068736505</v>
      </c>
      <c r="F92" s="471">
        <f t="shared" si="182"/>
        <v>9.7967395773280987</v>
      </c>
      <c r="G92" s="617">
        <f t="shared" si="182"/>
        <v>-0.86441602952071495</v>
      </c>
      <c r="H92" s="682">
        <f>'Costs"0"'!H92</f>
        <v>-0.7</v>
      </c>
      <c r="I92" s="682">
        <f>'Costs"0"'!I92</f>
        <v>0</v>
      </c>
      <c r="J92" s="682">
        <f t="shared" si="181"/>
        <v>0</v>
      </c>
      <c r="K92" s="682">
        <f t="shared" si="181"/>
        <v>0</v>
      </c>
      <c r="L92" s="682">
        <f t="shared" si="181"/>
        <v>0</v>
      </c>
      <c r="M92" s="682">
        <f t="shared" si="181"/>
        <v>0</v>
      </c>
      <c r="N92" s="682">
        <f t="shared" si="181"/>
        <v>0</v>
      </c>
      <c r="O92" s="682">
        <f t="shared" si="181"/>
        <v>0</v>
      </c>
      <c r="P92" s="682">
        <f t="shared" si="181"/>
        <v>0</v>
      </c>
      <c r="Q92" s="682">
        <f t="shared" si="181"/>
        <v>0</v>
      </c>
      <c r="R92" s="682">
        <f t="shared" si="181"/>
        <v>0</v>
      </c>
      <c r="S92" s="682">
        <f t="shared" si="181"/>
        <v>0</v>
      </c>
      <c r="T92" s="682">
        <f t="shared" si="181"/>
        <v>0</v>
      </c>
      <c r="U92" s="682">
        <f t="shared" si="181"/>
        <v>0</v>
      </c>
      <c r="V92" s="682">
        <f t="shared" si="180"/>
        <v>0</v>
      </c>
      <c r="W92" s="682">
        <f t="shared" si="180"/>
        <v>0</v>
      </c>
      <c r="X92" s="682">
        <f t="shared" si="180"/>
        <v>0</v>
      </c>
      <c r="Y92" s="682">
        <f t="shared" si="180"/>
        <v>0</v>
      </c>
      <c r="Z92" s="682">
        <f t="shared" si="180"/>
        <v>0</v>
      </c>
      <c r="AA92" s="682">
        <f t="shared" si="180"/>
        <v>0</v>
      </c>
      <c r="AB92" s="682">
        <f t="shared" si="180"/>
        <v>0</v>
      </c>
    </row>
    <row r="93" spans="2:30" s="682" customFormat="1">
      <c r="B93" s="680" t="s">
        <v>3031</v>
      </c>
      <c r="C93" s="471"/>
      <c r="D93" s="471">
        <f t="shared" si="182"/>
        <v>-0.87545307906120817</v>
      </c>
      <c r="E93" s="471">
        <f t="shared" si="182"/>
        <v>1.9697920183549518</v>
      </c>
      <c r="F93" s="471">
        <f t="shared" si="182"/>
        <v>-0.83375099321557355</v>
      </c>
      <c r="G93" s="617">
        <f t="shared" si="182"/>
        <v>259.97877941176472</v>
      </c>
      <c r="H93" s="682">
        <f>'Costs"0"'!H93</f>
        <v>-0.95</v>
      </c>
      <c r="I93" s="682">
        <f>'Costs"0"'!I93</f>
        <v>0</v>
      </c>
      <c r="J93" s="682">
        <f t="shared" si="181"/>
        <v>0</v>
      </c>
      <c r="K93" s="682">
        <f t="shared" si="181"/>
        <v>0</v>
      </c>
      <c r="L93" s="682">
        <f t="shared" si="181"/>
        <v>0</v>
      </c>
      <c r="M93" s="682">
        <f t="shared" si="181"/>
        <v>0</v>
      </c>
      <c r="N93" s="682">
        <f t="shared" si="181"/>
        <v>0</v>
      </c>
      <c r="O93" s="682">
        <f t="shared" si="181"/>
        <v>0</v>
      </c>
      <c r="P93" s="682">
        <f t="shared" si="181"/>
        <v>0</v>
      </c>
      <c r="Q93" s="682">
        <f t="shared" si="181"/>
        <v>0</v>
      </c>
      <c r="R93" s="682">
        <f t="shared" si="181"/>
        <v>0</v>
      </c>
      <c r="S93" s="682">
        <f t="shared" si="181"/>
        <v>0</v>
      </c>
      <c r="T93" s="682">
        <f t="shared" si="181"/>
        <v>0</v>
      </c>
      <c r="U93" s="682">
        <f t="shared" si="181"/>
        <v>0</v>
      </c>
      <c r="V93" s="682">
        <f t="shared" si="180"/>
        <v>0</v>
      </c>
      <c r="W93" s="682">
        <f t="shared" si="180"/>
        <v>0</v>
      </c>
      <c r="X93" s="682">
        <f t="shared" si="180"/>
        <v>0</v>
      </c>
      <c r="Y93" s="682">
        <f t="shared" si="180"/>
        <v>0</v>
      </c>
      <c r="Z93" s="682">
        <f t="shared" si="180"/>
        <v>0</v>
      </c>
      <c r="AA93" s="682">
        <f t="shared" si="180"/>
        <v>0</v>
      </c>
      <c r="AB93" s="682">
        <f t="shared" si="180"/>
        <v>0</v>
      </c>
    </row>
    <row r="94" spans="2:30" s="682" customFormat="1">
      <c r="B94" s="680" t="s">
        <v>3032</v>
      </c>
      <c r="C94" s="471"/>
      <c r="D94" s="471">
        <f t="shared" si="182"/>
        <v>1.4442818537057058</v>
      </c>
      <c r="E94" s="471">
        <f t="shared" si="182"/>
        <v>-0.21604288805951544</v>
      </c>
      <c r="F94" s="471">
        <f t="shared" si="182"/>
        <v>1.2233678428667116</v>
      </c>
      <c r="G94" s="617">
        <f t="shared" si="182"/>
        <v>0.3799233306152745</v>
      </c>
      <c r="H94" s="682">
        <f>'Costs"0"'!H94</f>
        <v>-0.3</v>
      </c>
      <c r="I94" s="682">
        <f>'Costs"0"'!I94</f>
        <v>0</v>
      </c>
      <c r="J94" s="682">
        <f t="shared" si="181"/>
        <v>0</v>
      </c>
      <c r="K94" s="682">
        <f t="shared" si="181"/>
        <v>0</v>
      </c>
      <c r="L94" s="682">
        <f t="shared" si="181"/>
        <v>0</v>
      </c>
      <c r="M94" s="682">
        <f t="shared" si="181"/>
        <v>0</v>
      </c>
      <c r="N94" s="682">
        <f t="shared" si="181"/>
        <v>0</v>
      </c>
      <c r="O94" s="682">
        <f t="shared" si="181"/>
        <v>0</v>
      </c>
      <c r="P94" s="682">
        <f t="shared" si="181"/>
        <v>0</v>
      </c>
      <c r="Q94" s="682">
        <f t="shared" si="181"/>
        <v>0</v>
      </c>
      <c r="R94" s="682">
        <f t="shared" si="181"/>
        <v>0</v>
      </c>
      <c r="S94" s="682">
        <f t="shared" si="181"/>
        <v>0</v>
      </c>
      <c r="T94" s="682">
        <f t="shared" si="181"/>
        <v>0</v>
      </c>
      <c r="U94" s="682">
        <f t="shared" si="181"/>
        <v>0</v>
      </c>
      <c r="V94" s="682">
        <f t="shared" si="180"/>
        <v>0</v>
      </c>
      <c r="W94" s="682">
        <f t="shared" si="180"/>
        <v>0</v>
      </c>
      <c r="X94" s="682">
        <f t="shared" si="180"/>
        <v>0</v>
      </c>
      <c r="Y94" s="682">
        <f t="shared" si="180"/>
        <v>0</v>
      </c>
      <c r="Z94" s="682">
        <f t="shared" si="180"/>
        <v>0</v>
      </c>
      <c r="AA94" s="682">
        <f t="shared" si="180"/>
        <v>0</v>
      </c>
      <c r="AB94" s="682">
        <f t="shared" si="180"/>
        <v>0</v>
      </c>
    </row>
    <row r="95" spans="2:30" s="682" customFormat="1">
      <c r="B95" s="552" t="s">
        <v>3024</v>
      </c>
      <c r="C95" s="471"/>
      <c r="D95" s="471">
        <f t="shared" si="182"/>
        <v>1.5312395297644188</v>
      </c>
      <c r="E95" s="471">
        <f t="shared" si="182"/>
        <v>0.17244593635658068</v>
      </c>
      <c r="F95" s="471">
        <f t="shared" si="182"/>
        <v>4.4904247738974252</v>
      </c>
      <c r="G95" s="617">
        <f t="shared" si="182"/>
        <v>-0.40672799083767008</v>
      </c>
      <c r="H95" s="682">
        <f>'Costs"0"'!H95</f>
        <v>-0.95</v>
      </c>
      <c r="I95" s="682">
        <f>'Costs"0"'!I95</f>
        <v>0</v>
      </c>
      <c r="J95" s="682">
        <f t="shared" si="181"/>
        <v>0</v>
      </c>
      <c r="K95" s="682">
        <f t="shared" si="181"/>
        <v>0</v>
      </c>
      <c r="L95" s="682">
        <f t="shared" si="181"/>
        <v>0</v>
      </c>
      <c r="M95" s="682">
        <f t="shared" si="181"/>
        <v>0</v>
      </c>
      <c r="N95" s="682">
        <f t="shared" si="181"/>
        <v>0</v>
      </c>
      <c r="O95" s="682">
        <f t="shared" si="181"/>
        <v>0</v>
      </c>
      <c r="P95" s="682">
        <f t="shared" si="181"/>
        <v>0</v>
      </c>
      <c r="Q95" s="682">
        <f t="shared" si="181"/>
        <v>0</v>
      </c>
      <c r="R95" s="682">
        <f t="shared" si="181"/>
        <v>0</v>
      </c>
      <c r="S95" s="682">
        <f t="shared" si="181"/>
        <v>0</v>
      </c>
      <c r="T95" s="682">
        <f t="shared" si="181"/>
        <v>0</v>
      </c>
      <c r="U95" s="682">
        <f t="shared" si="181"/>
        <v>0</v>
      </c>
      <c r="V95" s="682">
        <f t="shared" si="180"/>
        <v>0</v>
      </c>
      <c r="W95" s="682">
        <f t="shared" si="180"/>
        <v>0</v>
      </c>
      <c r="X95" s="682">
        <f t="shared" si="180"/>
        <v>0</v>
      </c>
      <c r="Y95" s="682">
        <f t="shared" si="180"/>
        <v>0</v>
      </c>
      <c r="Z95" s="682">
        <f t="shared" si="180"/>
        <v>0</v>
      </c>
      <c r="AA95" s="682">
        <f t="shared" si="180"/>
        <v>0</v>
      </c>
      <c r="AB95" s="682">
        <f t="shared" si="180"/>
        <v>0</v>
      </c>
    </row>
    <row r="96" spans="2:30" s="682" customFormat="1">
      <c r="B96" s="552" t="s">
        <v>3045</v>
      </c>
      <c r="C96" s="471"/>
      <c r="D96" s="471"/>
      <c r="E96" s="471"/>
      <c r="F96" s="471"/>
      <c r="G96" s="617"/>
      <c r="H96" s="690">
        <f>'Costs"0"'!H96</f>
        <v>3.3E-3</v>
      </c>
      <c r="I96" s="690">
        <f>H96</f>
        <v>3.3E-3</v>
      </c>
      <c r="J96" s="690">
        <f>I96</f>
        <v>3.3E-3</v>
      </c>
      <c r="K96" s="690">
        <f t="shared" ref="K96:U96" si="183">J96</f>
        <v>3.3E-3</v>
      </c>
      <c r="L96" s="690">
        <f t="shared" si="183"/>
        <v>3.3E-3</v>
      </c>
      <c r="M96" s="690">
        <f t="shared" si="183"/>
        <v>3.3E-3</v>
      </c>
      <c r="N96" s="690">
        <f t="shared" si="183"/>
        <v>3.3E-3</v>
      </c>
      <c r="O96" s="690">
        <f t="shared" si="183"/>
        <v>3.3E-3</v>
      </c>
      <c r="P96" s="690">
        <f t="shared" si="183"/>
        <v>3.3E-3</v>
      </c>
      <c r="Q96" s="690">
        <f t="shared" si="183"/>
        <v>3.3E-3</v>
      </c>
      <c r="R96" s="690">
        <f t="shared" si="183"/>
        <v>3.3E-3</v>
      </c>
      <c r="S96" s="690">
        <f t="shared" si="183"/>
        <v>3.3E-3</v>
      </c>
      <c r="T96" s="690">
        <f t="shared" si="183"/>
        <v>3.3E-3</v>
      </c>
      <c r="U96" s="690">
        <f t="shared" si="183"/>
        <v>3.3E-3</v>
      </c>
      <c r="V96" s="690">
        <f t="shared" ref="V96:AB96" si="184">U96</f>
        <v>3.3E-3</v>
      </c>
      <c r="W96" s="690">
        <f t="shared" si="184"/>
        <v>3.3E-3</v>
      </c>
      <c r="X96" s="690">
        <f t="shared" si="184"/>
        <v>3.3E-3</v>
      </c>
      <c r="Y96" s="690">
        <f t="shared" si="184"/>
        <v>3.3E-3</v>
      </c>
      <c r="Z96" s="690">
        <f t="shared" si="184"/>
        <v>3.3E-3</v>
      </c>
      <c r="AA96" s="690">
        <f t="shared" si="184"/>
        <v>3.3E-3</v>
      </c>
      <c r="AB96" s="690">
        <f t="shared" si="184"/>
        <v>3.3E-3</v>
      </c>
    </row>
    <row r="97" spans="2:28">
      <c r="B97" s="681" t="s">
        <v>242</v>
      </c>
      <c r="C97" s="695"/>
      <c r="D97" s="695">
        <f>D57/C57-1</f>
        <v>-0.48406006475848606</v>
      </c>
      <c r="E97" s="695">
        <f>E57/D57-1</f>
        <v>3.2747515468950237</v>
      </c>
      <c r="F97" s="695">
        <f>F57/E57-1</f>
        <v>-0.3927244720994344</v>
      </c>
      <c r="G97" s="696">
        <f>G57/F57-1</f>
        <v>-0.56472729258607735</v>
      </c>
      <c r="H97" s="710">
        <f>'Costs"0"'!H97</f>
        <v>0</v>
      </c>
      <c r="I97" s="710">
        <f t="shared" ref="I97:U97" si="185">I$99</f>
        <v>0</v>
      </c>
      <c r="J97" s="710">
        <f t="shared" si="185"/>
        <v>0</v>
      </c>
      <c r="K97" s="710">
        <f t="shared" si="185"/>
        <v>0</v>
      </c>
      <c r="L97" s="710">
        <f t="shared" si="185"/>
        <v>0</v>
      </c>
      <c r="M97" s="710">
        <f t="shared" si="185"/>
        <v>0</v>
      </c>
      <c r="N97" s="710">
        <f t="shared" si="185"/>
        <v>0</v>
      </c>
      <c r="O97" s="710">
        <f t="shared" si="185"/>
        <v>0</v>
      </c>
      <c r="P97" s="710">
        <f t="shared" si="185"/>
        <v>0</v>
      </c>
      <c r="Q97" s="710">
        <f t="shared" si="185"/>
        <v>0</v>
      </c>
      <c r="R97" s="710">
        <f t="shared" si="185"/>
        <v>0</v>
      </c>
      <c r="S97" s="710">
        <f t="shared" si="185"/>
        <v>0</v>
      </c>
      <c r="T97" s="710">
        <f t="shared" si="185"/>
        <v>0</v>
      </c>
      <c r="U97" s="710">
        <f t="shared" si="185"/>
        <v>0</v>
      </c>
      <c r="V97" s="710">
        <f t="shared" ref="V97:AB97" si="186">V$99</f>
        <v>0</v>
      </c>
      <c r="W97" s="710">
        <f t="shared" si="186"/>
        <v>0</v>
      </c>
      <c r="X97" s="710">
        <f t="shared" si="186"/>
        <v>0</v>
      </c>
      <c r="Y97" s="710">
        <f t="shared" si="186"/>
        <v>0</v>
      </c>
      <c r="Z97" s="710">
        <f t="shared" si="186"/>
        <v>0</v>
      </c>
      <c r="AA97" s="710">
        <f t="shared" si="186"/>
        <v>0</v>
      </c>
      <c r="AB97" s="710">
        <f t="shared" si="186"/>
        <v>0</v>
      </c>
    </row>
    <row r="99" spans="2:28" s="332" customFormat="1">
      <c r="B99" s="663" t="s">
        <v>3033</v>
      </c>
      <c r="C99" s="664"/>
      <c r="D99" s="664"/>
      <c r="E99" s="664"/>
      <c r="F99" s="665"/>
      <c r="G99" s="666"/>
      <c r="H99" s="667">
        <v>0</v>
      </c>
      <c r="I99" s="667">
        <f>H99</f>
        <v>0</v>
      </c>
      <c r="J99" s="667">
        <f t="shared" ref="J99:AB99" si="187">I99</f>
        <v>0</v>
      </c>
      <c r="K99" s="667">
        <f t="shared" si="187"/>
        <v>0</v>
      </c>
      <c r="L99" s="667">
        <f t="shared" si="187"/>
        <v>0</v>
      </c>
      <c r="M99" s="667">
        <f t="shared" si="187"/>
        <v>0</v>
      </c>
      <c r="N99" s="667">
        <f t="shared" si="187"/>
        <v>0</v>
      </c>
      <c r="O99" s="667">
        <f t="shared" si="187"/>
        <v>0</v>
      </c>
      <c r="P99" s="667">
        <f t="shared" si="187"/>
        <v>0</v>
      </c>
      <c r="Q99" s="667">
        <f t="shared" si="187"/>
        <v>0</v>
      </c>
      <c r="R99" s="667">
        <f t="shared" si="187"/>
        <v>0</v>
      </c>
      <c r="S99" s="667">
        <f t="shared" si="187"/>
        <v>0</v>
      </c>
      <c r="T99" s="667">
        <f t="shared" si="187"/>
        <v>0</v>
      </c>
      <c r="U99" s="667">
        <f t="shared" si="187"/>
        <v>0</v>
      </c>
      <c r="V99" s="667">
        <f t="shared" si="187"/>
        <v>0</v>
      </c>
      <c r="W99" s="667">
        <f t="shared" si="187"/>
        <v>0</v>
      </c>
      <c r="X99" s="667">
        <f t="shared" si="187"/>
        <v>0</v>
      </c>
      <c r="Y99" s="667">
        <f t="shared" si="187"/>
        <v>0</v>
      </c>
      <c r="Z99" s="667">
        <f t="shared" si="187"/>
        <v>0</v>
      </c>
      <c r="AA99" s="667">
        <f t="shared" si="187"/>
        <v>0</v>
      </c>
      <c r="AB99" s="667">
        <f t="shared" si="187"/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19D8-58B3-4D0D-89C4-FB8F9DDCF696}">
  <sheetPr>
    <tabColor rgb="FFDCEFF4"/>
  </sheetPr>
  <dimension ref="A1:AC83"/>
  <sheetViews>
    <sheetView workbookViewId="0"/>
  </sheetViews>
  <sheetFormatPr baseColWidth="10" defaultColWidth="11.5" defaultRowHeight="12"/>
  <cols>
    <col min="1" max="1" width="2.83203125" style="50" customWidth="1"/>
    <col min="2" max="2" width="32.5" style="51" customWidth="1"/>
    <col min="3" max="7" width="12" style="64" customWidth="1"/>
    <col min="8" max="28" width="12" style="51" customWidth="1"/>
    <col min="29" max="16384" width="11.5" style="51"/>
  </cols>
  <sheetData>
    <row r="1" spans="1:29">
      <c r="A1" s="64"/>
      <c r="B1" s="64"/>
    </row>
    <row r="2" spans="1:29" s="48" customFormat="1">
      <c r="A2" s="50"/>
      <c r="B2" s="52"/>
      <c r="C2" s="74">
        <f>'BS"A"'!D5</f>
        <v>43100</v>
      </c>
      <c r="D2" s="74">
        <f>'BS"A"'!E5</f>
        <v>43465</v>
      </c>
      <c r="E2" s="74">
        <f>'BS"A"'!F5</f>
        <v>43830</v>
      </c>
      <c r="F2" s="74">
        <f>'BS"A"'!G5</f>
        <v>44196</v>
      </c>
      <c r="G2" s="66">
        <f>'BS"A"'!H5</f>
        <v>44561</v>
      </c>
      <c r="H2" s="53">
        <f>EOMONTH(G2,12)</f>
        <v>44926</v>
      </c>
      <c r="I2" s="53">
        <f t="shared" ref="I2:T2" si="0">EOMONTH(H2,12)</f>
        <v>45291</v>
      </c>
      <c r="J2" s="53">
        <f t="shared" si="0"/>
        <v>45657</v>
      </c>
      <c r="K2" s="53">
        <f t="shared" si="0"/>
        <v>46022</v>
      </c>
      <c r="L2" s="53">
        <f t="shared" si="0"/>
        <v>46387</v>
      </c>
      <c r="M2" s="53">
        <f t="shared" si="0"/>
        <v>46752</v>
      </c>
      <c r="N2" s="53">
        <f t="shared" si="0"/>
        <v>47118</v>
      </c>
      <c r="O2" s="53">
        <f t="shared" si="0"/>
        <v>47483</v>
      </c>
      <c r="P2" s="53">
        <f t="shared" si="0"/>
        <v>47848</v>
      </c>
      <c r="Q2" s="53">
        <f t="shared" si="0"/>
        <v>48213</v>
      </c>
      <c r="R2" s="53">
        <f t="shared" si="0"/>
        <v>48579</v>
      </c>
      <c r="S2" s="53">
        <f t="shared" si="0"/>
        <v>48944</v>
      </c>
      <c r="T2" s="53">
        <f t="shared" si="0"/>
        <v>49309</v>
      </c>
      <c r="U2" s="53">
        <f t="shared" ref="U2" si="1">EOMONTH(T2,12)</f>
        <v>49674</v>
      </c>
      <c r="V2" s="53">
        <f t="shared" ref="V2" si="2">EOMONTH(U2,12)</f>
        <v>50040</v>
      </c>
      <c r="W2" s="53">
        <f t="shared" ref="W2" si="3">EOMONTH(V2,12)</f>
        <v>50405</v>
      </c>
      <c r="X2" s="53">
        <f t="shared" ref="X2" si="4">EOMONTH(W2,12)</f>
        <v>50770</v>
      </c>
      <c r="Y2" s="53">
        <f t="shared" ref="Y2" si="5">EOMONTH(X2,12)</f>
        <v>51135</v>
      </c>
      <c r="Z2" s="53">
        <f t="shared" ref="Z2" si="6">EOMONTH(Y2,12)</f>
        <v>51501</v>
      </c>
      <c r="AA2" s="53">
        <f t="shared" ref="AA2" si="7">EOMONTH(Z2,12)</f>
        <v>51866</v>
      </c>
      <c r="AB2" s="53">
        <f t="shared" ref="AB2" si="8">EOMONTH(AA2,12)</f>
        <v>52231</v>
      </c>
    </row>
    <row r="3" spans="1:29">
      <c r="B3" s="741" t="s">
        <v>3054</v>
      </c>
      <c r="C3" s="75">
        <f>SUM(C4:C5)</f>
        <v>43655416.600000001</v>
      </c>
      <c r="D3" s="75">
        <f t="shared" ref="D3:T3" si="9">SUM(D4:D5)</f>
        <v>42042700.399999999</v>
      </c>
      <c r="E3" s="75">
        <f t="shared" si="9"/>
        <v>47904581.700000003</v>
      </c>
      <c r="F3" s="75">
        <f t="shared" si="9"/>
        <v>52125494.25</v>
      </c>
      <c r="G3" s="173">
        <f t="shared" si="9"/>
        <v>50870921.240000017</v>
      </c>
      <c r="H3" s="54">
        <f t="shared" si="9"/>
        <v>72018386.302244872</v>
      </c>
      <c r="I3" s="54">
        <f t="shared" si="9"/>
        <v>199977669.49694067</v>
      </c>
      <c r="J3" s="54">
        <f t="shared" si="9"/>
        <v>363349437.74304199</v>
      </c>
      <c r="K3" s="54">
        <f t="shared" si="9"/>
        <v>486605280.10098118</v>
      </c>
      <c r="L3" s="54">
        <f t="shared" si="9"/>
        <v>544276982.73059285</v>
      </c>
      <c r="M3" s="54">
        <f t="shared" si="9"/>
        <v>720313191.6925596</v>
      </c>
      <c r="N3" s="54">
        <f t="shared" si="9"/>
        <v>811086832.5337621</v>
      </c>
      <c r="O3" s="54">
        <f t="shared" si="9"/>
        <v>775066846.21078002</v>
      </c>
      <c r="P3" s="54">
        <f t="shared" si="9"/>
        <v>739846532.14599705</v>
      </c>
      <c r="Q3" s="54">
        <f t="shared" si="9"/>
        <v>706441151.43117726</v>
      </c>
      <c r="R3" s="54">
        <f t="shared" si="9"/>
        <v>673421538.47126877</v>
      </c>
      <c r="S3" s="54">
        <f t="shared" si="9"/>
        <v>648148390.62056458</v>
      </c>
      <c r="T3" s="54">
        <f t="shared" si="9"/>
        <v>622726644.41354072</v>
      </c>
      <c r="U3" s="54">
        <f t="shared" ref="U3" si="10">SUM(U4:U5)</f>
        <v>597153327.88307095</v>
      </c>
      <c r="V3" s="54">
        <f t="shared" ref="V3" si="11">SUM(V4:V5)</f>
        <v>582078395.45595598</v>
      </c>
      <c r="W3" s="54">
        <f t="shared" ref="W3" si="12">SUM(W4:W5)</f>
        <v>567074572.45066261</v>
      </c>
      <c r="X3" s="54">
        <f t="shared" ref="X3" si="13">SUM(X4:X5)</f>
        <v>552767264.99562728</v>
      </c>
      <c r="Y3" s="54">
        <f t="shared" ref="Y3" si="14">SUM(Y4:Y5)</f>
        <v>539463169.00305521</v>
      </c>
      <c r="Z3" s="54">
        <f t="shared" ref="Z3" si="15">SUM(Z4:Z5)</f>
        <v>526234534.89779574</v>
      </c>
      <c r="AA3" s="54">
        <f t="shared" ref="AA3" si="16">SUM(AA4:AA5)</f>
        <v>513082871.91759497</v>
      </c>
      <c r="AB3" s="54">
        <f t="shared" ref="AB3" si="17">SUM(AB4:AB5)</f>
        <v>500009719.48495418</v>
      </c>
    </row>
    <row r="4" spans="1:29">
      <c r="B4" s="289" t="s">
        <v>3052</v>
      </c>
      <c r="C4" s="65">
        <f>C7+C10</f>
        <v>15044885.440000003</v>
      </c>
      <c r="D4" s="65">
        <f t="shared" ref="D4:T5" si="18">D7+D10</f>
        <v>14886130.83</v>
      </c>
      <c r="E4" s="65">
        <f t="shared" si="18"/>
        <v>21128592.480000004</v>
      </c>
      <c r="F4" s="65">
        <f t="shared" si="18"/>
        <v>25907575.559999999</v>
      </c>
      <c r="G4" s="67">
        <f t="shared" si="18"/>
        <v>25090281.460000008</v>
      </c>
      <c r="H4" s="55">
        <f t="shared" si="18"/>
        <v>22094635.341500007</v>
      </c>
      <c r="I4" s="55">
        <f t="shared" si="18"/>
        <v>19098989.223000005</v>
      </c>
      <c r="J4" s="55">
        <f t="shared" si="18"/>
        <v>21389301.663990699</v>
      </c>
      <c r="K4" s="55">
        <f t="shared" si="18"/>
        <v>96786557.412169039</v>
      </c>
      <c r="L4" s="55">
        <f t="shared" si="18"/>
        <v>85370165.665457219</v>
      </c>
      <c r="M4" s="55">
        <f t="shared" si="18"/>
        <v>73953773.918745413</v>
      </c>
      <c r="N4" s="55">
        <f t="shared" si="18"/>
        <v>169067240.50473037</v>
      </c>
      <c r="O4" s="55">
        <f t="shared" si="18"/>
        <v>151573926.65144578</v>
      </c>
      <c r="P4" s="55">
        <f t="shared" si="18"/>
        <v>134880285.05636024</v>
      </c>
      <c r="Q4" s="55">
        <f t="shared" si="18"/>
        <v>120001576.81123781</v>
      </c>
      <c r="R4" s="55">
        <f t="shared" si="18"/>
        <v>105508636.3210268</v>
      </c>
      <c r="S4" s="55">
        <f t="shared" si="18"/>
        <v>98762160.940020084</v>
      </c>
      <c r="T4" s="55">
        <f t="shared" si="18"/>
        <v>91867087.202693805</v>
      </c>
      <c r="U4" s="55">
        <f t="shared" ref="U4:AB4" si="19">U7+U10</f>
        <v>84820443.141921535</v>
      </c>
      <c r="V4" s="55">
        <f t="shared" si="19"/>
        <v>88272183.184504047</v>
      </c>
      <c r="W4" s="55">
        <f t="shared" si="19"/>
        <v>91795032.648908198</v>
      </c>
      <c r="X4" s="55">
        <f t="shared" si="19"/>
        <v>95390413.723570451</v>
      </c>
      <c r="Y4" s="55">
        <f t="shared" si="19"/>
        <v>99059777.040695935</v>
      </c>
      <c r="Z4" s="55">
        <f t="shared" si="19"/>
        <v>102804602.24513394</v>
      </c>
      <c r="AA4" s="55">
        <f t="shared" si="19"/>
        <v>106626398.57463069</v>
      </c>
      <c r="AB4" s="55">
        <f t="shared" si="19"/>
        <v>110526705.45168738</v>
      </c>
    </row>
    <row r="5" spans="1:29">
      <c r="B5" s="289" t="s">
        <v>3053</v>
      </c>
      <c r="C5" s="65">
        <f>C8+C11</f>
        <v>28610531.16</v>
      </c>
      <c r="D5" s="65">
        <f t="shared" si="18"/>
        <v>27156569.57</v>
      </c>
      <c r="E5" s="65">
        <f t="shared" si="18"/>
        <v>26775989.219999999</v>
      </c>
      <c r="F5" s="65">
        <f t="shared" si="18"/>
        <v>26217918.690000001</v>
      </c>
      <c r="G5" s="67">
        <f t="shared" si="18"/>
        <v>25780639.780000009</v>
      </c>
      <c r="H5" s="55">
        <f t="shared" si="18"/>
        <v>49923750.960744858</v>
      </c>
      <c r="I5" s="55">
        <f t="shared" si="18"/>
        <v>180878680.27394065</v>
      </c>
      <c r="J5" s="55">
        <f t="shared" si="18"/>
        <v>341960136.07905132</v>
      </c>
      <c r="K5" s="55">
        <f t="shared" si="18"/>
        <v>389818722.68881214</v>
      </c>
      <c r="L5" s="55">
        <f t="shared" si="18"/>
        <v>458906817.06513566</v>
      </c>
      <c r="M5" s="55">
        <f t="shared" si="18"/>
        <v>646359417.7738142</v>
      </c>
      <c r="N5" s="55">
        <f t="shared" si="18"/>
        <v>642019592.02903175</v>
      </c>
      <c r="O5" s="55">
        <f t="shared" si="18"/>
        <v>623492919.55933428</v>
      </c>
      <c r="P5" s="55">
        <f t="shared" si="18"/>
        <v>604966247.0896368</v>
      </c>
      <c r="Q5" s="55">
        <f t="shared" si="18"/>
        <v>586439574.61993945</v>
      </c>
      <c r="R5" s="55">
        <f t="shared" si="18"/>
        <v>567912902.15024197</v>
      </c>
      <c r="S5" s="55">
        <f t="shared" si="18"/>
        <v>549386229.6805445</v>
      </c>
      <c r="T5" s="55">
        <f t="shared" si="18"/>
        <v>530859557.21084696</v>
      </c>
      <c r="U5" s="55">
        <f t="shared" ref="U5:AB5" si="20">U8+U11</f>
        <v>512332884.74114943</v>
      </c>
      <c r="V5" s="55">
        <f t="shared" si="20"/>
        <v>493806212.27145189</v>
      </c>
      <c r="W5" s="55">
        <f t="shared" si="20"/>
        <v>475279539.80175442</v>
      </c>
      <c r="X5" s="55">
        <f t="shared" si="20"/>
        <v>457376851.27205688</v>
      </c>
      <c r="Y5" s="55">
        <f t="shared" si="20"/>
        <v>440403391.96235931</v>
      </c>
      <c r="Z5" s="55">
        <f t="shared" si="20"/>
        <v>423429932.6526618</v>
      </c>
      <c r="AA5" s="55">
        <f t="shared" si="20"/>
        <v>406456473.34296429</v>
      </c>
      <c r="AB5" s="55">
        <f t="shared" si="20"/>
        <v>389483014.03326678</v>
      </c>
    </row>
    <row r="6" spans="1:29" s="172" customFormat="1">
      <c r="A6" s="170"/>
      <c r="B6" s="742" t="s">
        <v>3061</v>
      </c>
      <c r="C6" s="68">
        <f>SUM(C7:C8)</f>
        <v>43655416.600000001</v>
      </c>
      <c r="D6" s="68">
        <f t="shared" ref="D6:T6" si="21">SUM(D7:D8)</f>
        <v>42042700.399999999</v>
      </c>
      <c r="E6" s="68">
        <f t="shared" si="21"/>
        <v>47904581.700000003</v>
      </c>
      <c r="F6" s="68">
        <f t="shared" si="21"/>
        <v>52125494.25</v>
      </c>
      <c r="G6" s="171">
        <f t="shared" si="21"/>
        <v>50870921.240000017</v>
      </c>
      <c r="H6" s="120">
        <f t="shared" si="21"/>
        <v>46294163.605250016</v>
      </c>
      <c r="I6" s="120">
        <f t="shared" si="21"/>
        <v>41717405.970500015</v>
      </c>
      <c r="J6" s="120">
        <f t="shared" si="21"/>
        <v>37140648.335750014</v>
      </c>
      <c r="K6" s="120">
        <f t="shared" si="21"/>
        <v>32563890.701000012</v>
      </c>
      <c r="L6" s="120">
        <f t="shared" si="21"/>
        <v>27987133.066250011</v>
      </c>
      <c r="M6" s="120">
        <f t="shared" si="21"/>
        <v>23410375.43150001</v>
      </c>
      <c r="N6" s="120">
        <f t="shared" si="21"/>
        <v>18833617.796750009</v>
      </c>
      <c r="O6" s="120">
        <f t="shared" si="21"/>
        <v>18832923.888696887</v>
      </c>
      <c r="P6" s="120">
        <f t="shared" si="21"/>
        <v>19631902.238842849</v>
      </c>
      <c r="Q6" s="120">
        <f t="shared" si="21"/>
        <v>22245813.938951895</v>
      </c>
      <c r="R6" s="120">
        <f t="shared" si="21"/>
        <v>24716897.538023278</v>
      </c>
      <c r="S6" s="120">
        <f t="shared" si="21"/>
        <v>27042296.474036247</v>
      </c>
      <c r="T6" s="120">
        <f t="shared" si="21"/>
        <v>29219097.053729624</v>
      </c>
      <c r="U6" s="120">
        <f t="shared" ref="U6" si="22">SUM(U7:U8)</f>
        <v>31244327.309977029</v>
      </c>
      <c r="V6" s="120">
        <f t="shared" ref="V6" si="23">SUM(V7:V8)</f>
        <v>33114955.836309537</v>
      </c>
      <c r="W6" s="120">
        <f t="shared" ref="W6" si="24">SUM(W7:W8)</f>
        <v>35056693.784463696</v>
      </c>
      <c r="X6" s="120">
        <f t="shared" ref="X6" si="25">SUM(X7:X8)</f>
        <v>37694947.282875933</v>
      </c>
      <c r="Y6" s="120">
        <f t="shared" ref="Y6" si="26">SUM(Y7:Y8)</f>
        <v>41336412.243751429</v>
      </c>
      <c r="Z6" s="120">
        <f t="shared" ref="Z6" si="27">SUM(Z7:Z8)</f>
        <v>45053339.09193942</v>
      </c>
      <c r="AA6" s="120">
        <f t="shared" ref="AA6" si="28">SUM(AA7:AA8)</f>
        <v>48847237.065186173</v>
      </c>
      <c r="AB6" s="120">
        <f t="shared" ref="AB6" si="29">SUM(AB7:AB8)</f>
        <v>52719645.585992865</v>
      </c>
    </row>
    <row r="7" spans="1:29">
      <c r="B7" s="71" t="s">
        <v>246</v>
      </c>
      <c r="C7" s="65">
        <f>'BS"A"'!D16+'BS"A"'!D17</f>
        <v>15044885.440000003</v>
      </c>
      <c r="D7" s="65">
        <f>'BS"A"'!E16+'BS"A"'!E17</f>
        <v>14886130.83</v>
      </c>
      <c r="E7" s="65">
        <f>'BS"A"'!F16+'BS"A"'!F17</f>
        <v>21128592.480000004</v>
      </c>
      <c r="F7" s="65">
        <f>'BS"A"'!G16+'BS"A"'!G17</f>
        <v>25907575.559999999</v>
      </c>
      <c r="G7" s="67">
        <f>'BS"A"'!H16+'BS"A"'!H17</f>
        <v>25090281.460000008</v>
      </c>
      <c r="H7" s="55">
        <f>G7+H27-H17-H20</f>
        <v>22094635.341500007</v>
      </c>
      <c r="I7" s="55">
        <f t="shared" ref="I7:AB7" si="30">H7+I27-I17-I20</f>
        <v>19098989.223000005</v>
      </c>
      <c r="J7" s="55">
        <f t="shared" si="30"/>
        <v>16103343.104500003</v>
      </c>
      <c r="K7" s="55">
        <f t="shared" si="30"/>
        <v>13107696.986000001</v>
      </c>
      <c r="L7" s="55">
        <f t="shared" si="30"/>
        <v>10112050.8675</v>
      </c>
      <c r="M7" s="55">
        <f t="shared" si="30"/>
        <v>7116404.7489999989</v>
      </c>
      <c r="N7" s="55">
        <f t="shared" si="30"/>
        <v>4120758.6304999981</v>
      </c>
      <c r="O7" s="55">
        <f t="shared" si="30"/>
        <v>5701176.2386968723</v>
      </c>
      <c r="P7" s="55">
        <f t="shared" si="30"/>
        <v>8081266.1050928347</v>
      </c>
      <c r="Q7" s="55">
        <f t="shared" si="30"/>
        <v>12276289.32145188</v>
      </c>
      <c r="R7" s="55">
        <f t="shared" si="30"/>
        <v>16328484.436773263</v>
      </c>
      <c r="S7" s="55">
        <f t="shared" si="30"/>
        <v>20234994.889036231</v>
      </c>
      <c r="T7" s="55">
        <f t="shared" si="30"/>
        <v>23992906.984979611</v>
      </c>
      <c r="U7" s="55">
        <f t="shared" si="30"/>
        <v>27599248.757477015</v>
      </c>
      <c r="V7" s="55">
        <f t="shared" si="30"/>
        <v>31050988.800059523</v>
      </c>
      <c r="W7" s="55">
        <f t="shared" si="30"/>
        <v>34573838.264463685</v>
      </c>
      <c r="X7" s="55">
        <f t="shared" si="30"/>
        <v>38169219.339125931</v>
      </c>
      <c r="Y7" s="55">
        <f t="shared" si="30"/>
        <v>41838582.656251423</v>
      </c>
      <c r="Z7" s="55">
        <f t="shared" si="30"/>
        <v>45583407.860689417</v>
      </c>
      <c r="AA7" s="55">
        <f t="shared" si="30"/>
        <v>49405204.190186173</v>
      </c>
      <c r="AB7" s="55">
        <f t="shared" si="30"/>
        <v>53305511.067242861</v>
      </c>
    </row>
    <row r="8" spans="1:29">
      <c r="B8" s="289" t="s">
        <v>3051</v>
      </c>
      <c r="C8" s="65">
        <f>'BS"A"'!D15</f>
        <v>28610531.16</v>
      </c>
      <c r="D8" s="65">
        <f>'BS"A"'!E15</f>
        <v>27156569.57</v>
      </c>
      <c r="E8" s="65">
        <f>'BS"A"'!F15</f>
        <v>26775989.219999999</v>
      </c>
      <c r="F8" s="65">
        <f>'BS"A"'!G15</f>
        <v>26217918.690000001</v>
      </c>
      <c r="G8" s="67">
        <f>'BS"A"'!H15</f>
        <v>25780639.780000009</v>
      </c>
      <c r="H8" s="55">
        <f>G8+H28-H21-H18</f>
        <v>24199528.263750009</v>
      </c>
      <c r="I8" s="55">
        <f t="shared" ref="I8:AB8" si="31">H8+I28-I21-I18</f>
        <v>22618416.74750001</v>
      </c>
      <c r="J8" s="55">
        <f t="shared" si="31"/>
        <v>21037305.23125001</v>
      </c>
      <c r="K8" s="55">
        <f t="shared" si="31"/>
        <v>19456193.715000011</v>
      </c>
      <c r="L8" s="55">
        <f t="shared" si="31"/>
        <v>17875082.198750012</v>
      </c>
      <c r="M8" s="55">
        <f t="shared" si="31"/>
        <v>16293970.682500012</v>
      </c>
      <c r="N8" s="55">
        <f t="shared" si="31"/>
        <v>14712859.166250013</v>
      </c>
      <c r="O8" s="55">
        <f t="shared" si="31"/>
        <v>13131747.650000013</v>
      </c>
      <c r="P8" s="55">
        <f t="shared" si="31"/>
        <v>11550636.133750014</v>
      </c>
      <c r="Q8" s="55">
        <f t="shared" si="31"/>
        <v>9969524.6175000146</v>
      </c>
      <c r="R8" s="55">
        <f t="shared" si="31"/>
        <v>8388413.1012500152</v>
      </c>
      <c r="S8" s="55">
        <f t="shared" si="31"/>
        <v>6807301.5850000149</v>
      </c>
      <c r="T8" s="55">
        <f t="shared" si="31"/>
        <v>5226190.0687500145</v>
      </c>
      <c r="U8" s="55">
        <f t="shared" si="31"/>
        <v>3645078.5525000142</v>
      </c>
      <c r="V8" s="55">
        <f t="shared" si="31"/>
        <v>2063967.0362500141</v>
      </c>
      <c r="W8" s="55">
        <f t="shared" si="31"/>
        <v>482855.52000001399</v>
      </c>
      <c r="X8" s="845">
        <f t="shared" si="31"/>
        <v>-474272.05624999618</v>
      </c>
      <c r="Y8" s="845">
        <f t="shared" si="31"/>
        <v>-502170.41249999637</v>
      </c>
      <c r="Z8" s="845">
        <f t="shared" si="31"/>
        <v>-530068.76874999655</v>
      </c>
      <c r="AA8" s="845">
        <f t="shared" si="31"/>
        <v>-557967.12499999674</v>
      </c>
      <c r="AB8" s="845">
        <f t="shared" si="31"/>
        <v>-585865.48124999693</v>
      </c>
    </row>
    <row r="9" spans="1:29" s="172" customFormat="1">
      <c r="A9" s="170"/>
      <c r="B9" s="742" t="s">
        <v>3062</v>
      </c>
      <c r="C9" s="68">
        <f>SUM(C10:C11)</f>
        <v>0</v>
      </c>
      <c r="D9" s="68">
        <f t="shared" ref="D9:T9" si="32">SUM(D10:D11)</f>
        <v>0</v>
      </c>
      <c r="E9" s="68">
        <f t="shared" si="32"/>
        <v>0</v>
      </c>
      <c r="F9" s="68">
        <f t="shared" si="32"/>
        <v>0</v>
      </c>
      <c r="G9" s="171">
        <f t="shared" si="32"/>
        <v>0</v>
      </c>
      <c r="H9" s="120">
        <f t="shared" si="32"/>
        <v>25724222.696994852</v>
      </c>
      <c r="I9" s="120">
        <f t="shared" si="32"/>
        <v>158260263.52644065</v>
      </c>
      <c r="J9" s="120">
        <f t="shared" si="32"/>
        <v>326208789.40729201</v>
      </c>
      <c r="K9" s="120">
        <f t="shared" si="32"/>
        <v>454041389.39998114</v>
      </c>
      <c r="L9" s="120">
        <f t="shared" si="32"/>
        <v>516289849.66434288</v>
      </c>
      <c r="M9" s="120">
        <f t="shared" si="32"/>
        <v>696902816.26105964</v>
      </c>
      <c r="N9" s="120">
        <f t="shared" si="32"/>
        <v>792253214.73701215</v>
      </c>
      <c r="O9" s="120">
        <f t="shared" si="32"/>
        <v>756233922.32208323</v>
      </c>
      <c r="P9" s="120">
        <f t="shared" si="32"/>
        <v>720214629.90715432</v>
      </c>
      <c r="Q9" s="120">
        <f t="shared" si="32"/>
        <v>684195337.49222529</v>
      </c>
      <c r="R9" s="120">
        <f t="shared" si="32"/>
        <v>648704640.93324542</v>
      </c>
      <c r="S9" s="120">
        <f t="shared" si="32"/>
        <v>621106094.14652836</v>
      </c>
      <c r="T9" s="120">
        <f t="shared" si="32"/>
        <v>593507547.35981107</v>
      </c>
      <c r="U9" s="120">
        <f t="shared" ref="U9" si="33">SUM(U10:U11)</f>
        <v>565909000.57309389</v>
      </c>
      <c r="V9" s="120">
        <f t="shared" ref="V9" si="34">SUM(V10:V11)</f>
        <v>548963439.61964643</v>
      </c>
      <c r="W9" s="120">
        <f t="shared" ref="W9" si="35">SUM(W10:W11)</f>
        <v>532017878.66619891</v>
      </c>
      <c r="X9" s="120">
        <f t="shared" ref="X9" si="36">SUM(X10:X11)</f>
        <v>515072317.71275139</v>
      </c>
      <c r="Y9" s="120">
        <f t="shared" ref="Y9" si="37">SUM(Y10:Y11)</f>
        <v>498126756.75930387</v>
      </c>
      <c r="Z9" s="120">
        <f t="shared" ref="Z9" si="38">SUM(Z10:Z11)</f>
        <v>481181195.80585635</v>
      </c>
      <c r="AA9" s="120">
        <f t="shared" ref="AA9" si="39">SUM(AA10:AA11)</f>
        <v>464235634.85240883</v>
      </c>
      <c r="AB9" s="120">
        <f t="shared" ref="AB9" si="40">SUM(AB10:AB11)</f>
        <v>447290073.89896131</v>
      </c>
    </row>
    <row r="10" spans="1:29">
      <c r="B10" s="71" t="s">
        <v>246</v>
      </c>
      <c r="C10" s="65"/>
      <c r="D10" s="65"/>
      <c r="E10" s="65"/>
      <c r="F10" s="65"/>
      <c r="G10" s="67"/>
      <c r="H10" s="55">
        <f>G10+H30-H23</f>
        <v>0</v>
      </c>
      <c r="I10" s="55">
        <f t="shared" ref="I10:T11" si="41">H10+I30-I23</f>
        <v>0</v>
      </c>
      <c r="J10" s="55">
        <f t="shared" si="41"/>
        <v>5285958.5594906956</v>
      </c>
      <c r="K10" s="55">
        <f t="shared" si="41"/>
        <v>83678860.426169038</v>
      </c>
      <c r="L10" s="55">
        <f t="shared" si="41"/>
        <v>75258114.797957227</v>
      </c>
      <c r="M10" s="55">
        <f t="shared" si="41"/>
        <v>66837369.169745415</v>
      </c>
      <c r="N10" s="55">
        <f t="shared" si="41"/>
        <v>164946481.87423038</v>
      </c>
      <c r="O10" s="55">
        <f t="shared" si="41"/>
        <v>145872750.4127489</v>
      </c>
      <c r="P10" s="55">
        <f t="shared" si="41"/>
        <v>126799018.95126742</v>
      </c>
      <c r="Q10" s="55">
        <f t="shared" si="41"/>
        <v>107725287.48978594</v>
      </c>
      <c r="R10" s="55">
        <f t="shared" si="41"/>
        <v>89180151.884253532</v>
      </c>
      <c r="S10" s="55">
        <f t="shared" si="41"/>
        <v>78527166.050983861</v>
      </c>
      <c r="T10" s="55">
        <f t="shared" si="41"/>
        <v>67874180.21771419</v>
      </c>
      <c r="U10" s="55">
        <f t="shared" ref="U10:AB10" si="42">T10+U30-U23</f>
        <v>57221194.38444452</v>
      </c>
      <c r="V10" s="55">
        <f t="shared" si="42"/>
        <v>57221194.38444452</v>
      </c>
      <c r="W10" s="55">
        <f t="shared" si="42"/>
        <v>57221194.38444452</v>
      </c>
      <c r="X10" s="55">
        <f t="shared" si="42"/>
        <v>57221194.38444452</v>
      </c>
      <c r="Y10" s="55">
        <f t="shared" si="42"/>
        <v>57221194.38444452</v>
      </c>
      <c r="Z10" s="55">
        <f t="shared" si="42"/>
        <v>57221194.38444452</v>
      </c>
      <c r="AA10" s="55">
        <f t="shared" si="42"/>
        <v>57221194.38444452</v>
      </c>
      <c r="AB10" s="55">
        <f t="shared" si="42"/>
        <v>57221194.38444452</v>
      </c>
    </row>
    <row r="11" spans="1:29">
      <c r="B11" s="302" t="s">
        <v>3051</v>
      </c>
      <c r="C11" s="285"/>
      <c r="D11" s="285"/>
      <c r="E11" s="285"/>
      <c r="F11" s="285"/>
      <c r="G11" s="286"/>
      <c r="H11" s="303">
        <f>G11+H31-H24</f>
        <v>25724222.696994852</v>
      </c>
      <c r="I11" s="303">
        <f t="shared" si="41"/>
        <v>158260263.52644065</v>
      </c>
      <c r="J11" s="303">
        <f t="shared" si="41"/>
        <v>320922830.84780133</v>
      </c>
      <c r="K11" s="303">
        <f t="shared" si="41"/>
        <v>370362528.9738121</v>
      </c>
      <c r="L11" s="303">
        <f t="shared" si="41"/>
        <v>441031734.86638564</v>
      </c>
      <c r="M11" s="303">
        <f t="shared" si="41"/>
        <v>630065447.0913142</v>
      </c>
      <c r="N11" s="303">
        <f t="shared" si="41"/>
        <v>627306732.86278176</v>
      </c>
      <c r="O11" s="303">
        <f t="shared" si="41"/>
        <v>610361171.9093343</v>
      </c>
      <c r="P11" s="303">
        <f t="shared" si="41"/>
        <v>593415610.95588684</v>
      </c>
      <c r="Q11" s="303">
        <f t="shared" si="41"/>
        <v>576470050.00243938</v>
      </c>
      <c r="R11" s="303">
        <f t="shared" si="41"/>
        <v>559524489.04899192</v>
      </c>
      <c r="S11" s="303">
        <f t="shared" si="41"/>
        <v>542578928.09554446</v>
      </c>
      <c r="T11" s="303">
        <f t="shared" si="41"/>
        <v>525633367.14209694</v>
      </c>
      <c r="U11" s="303">
        <f t="shared" ref="U11:AB11" si="43">T11+U31-U24</f>
        <v>508687806.18864942</v>
      </c>
      <c r="V11" s="303">
        <f t="shared" si="43"/>
        <v>491742245.2352019</v>
      </c>
      <c r="W11" s="303">
        <f t="shared" si="43"/>
        <v>474796684.28175437</v>
      </c>
      <c r="X11" s="303">
        <f t="shared" si="43"/>
        <v>457851123.32830685</v>
      </c>
      <c r="Y11" s="303">
        <f t="shared" si="43"/>
        <v>440905562.37485933</v>
      </c>
      <c r="Z11" s="303">
        <f t="shared" si="43"/>
        <v>423960001.42141181</v>
      </c>
      <c r="AA11" s="303">
        <f t="shared" si="43"/>
        <v>407014440.46796429</v>
      </c>
      <c r="AB11" s="303">
        <f t="shared" si="43"/>
        <v>390068879.51451677</v>
      </c>
      <c r="AC11" s="752"/>
    </row>
    <row r="12" spans="1:29" s="49" customFormat="1">
      <c r="A12" s="57"/>
      <c r="B12" s="58"/>
      <c r="C12" s="77"/>
      <c r="D12" s="77"/>
      <c r="E12" s="77"/>
      <c r="F12" s="77"/>
      <c r="G12" s="174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</row>
    <row r="13" spans="1:29" s="172" customFormat="1">
      <c r="A13" s="170"/>
      <c r="B13" s="748" t="s">
        <v>247</v>
      </c>
      <c r="C13" s="744">
        <f>SUM(C14:C15)</f>
        <v>3137294.2</v>
      </c>
      <c r="D13" s="744">
        <f t="shared" ref="D13:T13" si="44">SUM(D14:D15)</f>
        <v>3230372.16</v>
      </c>
      <c r="E13" s="744">
        <f t="shared" si="44"/>
        <v>3423404.12</v>
      </c>
      <c r="F13" s="744">
        <f t="shared" si="44"/>
        <v>3970695.5700000003</v>
      </c>
      <c r="G13" s="745">
        <f t="shared" si="44"/>
        <v>4445128.2300000004</v>
      </c>
      <c r="H13" s="749">
        <f t="shared" si="44"/>
        <v>4576757.6347500011</v>
      </c>
      <c r="I13" s="749">
        <f t="shared" si="44"/>
        <v>5219863.2021748722</v>
      </c>
      <c r="J13" s="749">
        <f t="shared" si="44"/>
        <v>8549341.8620966394</v>
      </c>
      <c r="K13" s="749">
        <f t="shared" si="44"/>
        <v>13243816.506763393</v>
      </c>
      <c r="L13" s="749">
        <f t="shared" si="44"/>
        <v>22575420.307578012</v>
      </c>
      <c r="M13" s="749">
        <f t="shared" si="44"/>
        <v>24581598.381007757</v>
      </c>
      <c r="N13" s="749">
        <f t="shared" si="44"/>
        <v>29597043.564582117</v>
      </c>
      <c r="O13" s="749">
        <f t="shared" si="44"/>
        <v>40596050.049678989</v>
      </c>
      <c r="P13" s="749">
        <f t="shared" si="44"/>
        <v>39887899.066013843</v>
      </c>
      <c r="Q13" s="749">
        <f t="shared" si="44"/>
        <v>38166317.416075371</v>
      </c>
      <c r="R13" s="749">
        <f t="shared" si="44"/>
        <v>37875768.395189077</v>
      </c>
      <c r="S13" s="749">
        <f t="shared" si="44"/>
        <v>30226426.394690357</v>
      </c>
      <c r="T13" s="749">
        <f t="shared" si="44"/>
        <v>30474090.321889669</v>
      </c>
      <c r="U13" s="749">
        <f t="shared" ref="U13" si="45">SUM(U14:U15)</f>
        <v>30726707.527632959</v>
      </c>
      <c r="V13" s="749">
        <f t="shared" ref="V13" si="46">SUM(V14:V15)</f>
        <v>20331391.244221445</v>
      </c>
      <c r="W13" s="749">
        <f t="shared" ref="W13" si="47">SUM(W14:W15)</f>
        <v>20365410.998741925</v>
      </c>
      <c r="X13" s="749">
        <f t="shared" ref="X13" si="48">SUM(X14:X15)</f>
        <v>19776127.208352823</v>
      </c>
      <c r="Y13" s="749">
        <f t="shared" ref="Y13" si="49">SUM(Y14:Y15)</f>
        <v>18882292.140955918</v>
      </c>
      <c r="Z13" s="749">
        <f t="shared" ref="Z13" si="50">SUM(Z14:Z15)</f>
        <v>18918394.176611088</v>
      </c>
      <c r="AA13" s="749">
        <f t="shared" ref="AA13" si="51">SUM(AA14:AA15)</f>
        <v>18955218.252979357</v>
      </c>
      <c r="AB13" s="749">
        <f t="shared" ref="AB13" si="52">SUM(AB14:AB15)</f>
        <v>18992778.810874995</v>
      </c>
      <c r="AC13" s="750"/>
    </row>
    <row r="14" spans="1:29">
      <c r="B14" s="71" t="s">
        <v>246</v>
      </c>
      <c r="C14" s="65">
        <f>C17+C20+C23</f>
        <v>1531682.6800000002</v>
      </c>
      <c r="D14" s="65">
        <f t="shared" ref="D14:T15" si="53">D17+D20+D23</f>
        <v>1642994.04</v>
      </c>
      <c r="E14" s="65">
        <f t="shared" si="53"/>
        <v>1854175.7000000002</v>
      </c>
      <c r="F14" s="65">
        <f t="shared" si="53"/>
        <v>2380452.5</v>
      </c>
      <c r="G14" s="67">
        <f t="shared" si="53"/>
        <v>2891915.0700000003</v>
      </c>
      <c r="H14" s="55">
        <f t="shared" si="53"/>
        <v>2995646.1185000008</v>
      </c>
      <c r="I14" s="55">
        <f t="shared" si="53"/>
        <v>2995646.1185000008</v>
      </c>
      <c r="J14" s="55">
        <f t="shared" si="53"/>
        <v>2995646.1185000008</v>
      </c>
      <c r="K14" s="55">
        <f t="shared" si="53"/>
        <v>3524241.9744490702</v>
      </c>
      <c r="L14" s="55">
        <f t="shared" si="53"/>
        <v>11416391.746711813</v>
      </c>
      <c r="M14" s="55">
        <f t="shared" si="53"/>
        <v>11416391.746711813</v>
      </c>
      <c r="N14" s="55">
        <f t="shared" si="53"/>
        <v>11416391.746711813</v>
      </c>
      <c r="O14" s="55">
        <f t="shared" si="53"/>
        <v>22069377.579981487</v>
      </c>
      <c r="P14" s="55">
        <f t="shared" si="53"/>
        <v>21361226.596316338</v>
      </c>
      <c r="Q14" s="55">
        <f t="shared" si="53"/>
        <v>19639644.94637787</v>
      </c>
      <c r="R14" s="55">
        <f t="shared" si="53"/>
        <v>19349095.925491571</v>
      </c>
      <c r="S14" s="55">
        <f t="shared" si="53"/>
        <v>11699753.924992858</v>
      </c>
      <c r="T14" s="55">
        <f t="shared" si="53"/>
        <v>11947417.852192165</v>
      </c>
      <c r="U14" s="55">
        <f t="shared" ref="U14:AB14" si="54">U17+U20+U23</f>
        <v>12200035.057935458</v>
      </c>
      <c r="V14" s="55">
        <f t="shared" si="54"/>
        <v>1804718.7745239434</v>
      </c>
      <c r="W14" s="55">
        <f t="shared" si="54"/>
        <v>1838738.5290444223</v>
      </c>
      <c r="X14" s="55">
        <f t="shared" si="54"/>
        <v>1873438.6786553108</v>
      </c>
      <c r="Y14" s="55">
        <f t="shared" si="54"/>
        <v>1908832.8312584169</v>
      </c>
      <c r="Z14" s="55">
        <f t="shared" si="54"/>
        <v>1944934.866913585</v>
      </c>
      <c r="AA14" s="55">
        <f t="shared" si="54"/>
        <v>1981758.9432818568</v>
      </c>
      <c r="AB14" s="55">
        <f t="shared" si="54"/>
        <v>2019319.5011774942</v>
      </c>
    </row>
    <row r="15" spans="1:29">
      <c r="B15" s="289" t="s">
        <v>3051</v>
      </c>
      <c r="C15" s="65">
        <f>C18+C21+C24</f>
        <v>1605611.52</v>
      </c>
      <c r="D15" s="65">
        <f t="shared" si="53"/>
        <v>1587378.12</v>
      </c>
      <c r="E15" s="65">
        <f t="shared" si="53"/>
        <v>1569228.42</v>
      </c>
      <c r="F15" s="65">
        <f t="shared" si="53"/>
        <v>1590243.07</v>
      </c>
      <c r="G15" s="67">
        <f t="shared" si="53"/>
        <v>1553213.16</v>
      </c>
      <c r="H15" s="55">
        <f t="shared" si="53"/>
        <v>1581111.5162500001</v>
      </c>
      <c r="I15" s="55">
        <f t="shared" si="53"/>
        <v>2224217.0836748714</v>
      </c>
      <c r="J15" s="55">
        <f t="shared" si="53"/>
        <v>5553695.7435966386</v>
      </c>
      <c r="K15" s="55">
        <f t="shared" si="53"/>
        <v>9719574.5323143229</v>
      </c>
      <c r="L15" s="55">
        <f t="shared" si="53"/>
        <v>11159028.560866199</v>
      </c>
      <c r="M15" s="55">
        <f t="shared" si="53"/>
        <v>13165206.634295944</v>
      </c>
      <c r="N15" s="55">
        <f t="shared" si="53"/>
        <v>18180651.817870304</v>
      </c>
      <c r="O15" s="55">
        <f t="shared" si="53"/>
        <v>18526672.469697502</v>
      </c>
      <c r="P15" s="55">
        <f t="shared" si="53"/>
        <v>18526672.469697502</v>
      </c>
      <c r="Q15" s="55">
        <f t="shared" si="53"/>
        <v>18526672.469697502</v>
      </c>
      <c r="R15" s="55">
        <f t="shared" si="53"/>
        <v>18526672.469697502</v>
      </c>
      <c r="S15" s="55">
        <f t="shared" si="53"/>
        <v>18526672.469697502</v>
      </c>
      <c r="T15" s="55">
        <f t="shared" si="53"/>
        <v>18526672.469697502</v>
      </c>
      <c r="U15" s="55">
        <f t="shared" ref="U15:AB15" si="55">U18+U21+U24</f>
        <v>18526672.469697502</v>
      </c>
      <c r="V15" s="55">
        <f t="shared" si="55"/>
        <v>18526672.469697502</v>
      </c>
      <c r="W15" s="55">
        <f t="shared" si="55"/>
        <v>18526672.469697502</v>
      </c>
      <c r="X15" s="55">
        <f t="shared" si="55"/>
        <v>17902688.529697511</v>
      </c>
      <c r="Y15" s="55">
        <f t="shared" si="55"/>
        <v>16973459.309697501</v>
      </c>
      <c r="Z15" s="55">
        <f t="shared" si="55"/>
        <v>16973459.309697501</v>
      </c>
      <c r="AA15" s="55">
        <f t="shared" si="55"/>
        <v>16973459.309697501</v>
      </c>
      <c r="AB15" s="55">
        <f t="shared" si="55"/>
        <v>16973459.309697501</v>
      </c>
    </row>
    <row r="16" spans="1:29" s="172" customFormat="1">
      <c r="A16" s="170"/>
      <c r="B16" s="742" t="s">
        <v>3063</v>
      </c>
      <c r="C16" s="68">
        <f>SUM(C17:C18)</f>
        <v>3137294.2</v>
      </c>
      <c r="D16" s="68">
        <f t="shared" ref="D16:T16" si="56">SUM(D17:D18)</f>
        <v>3230372.16</v>
      </c>
      <c r="E16" s="68">
        <f t="shared" si="56"/>
        <v>3423404.12</v>
      </c>
      <c r="F16" s="68">
        <f t="shared" si="56"/>
        <v>3970695.5700000003</v>
      </c>
      <c r="G16" s="171">
        <f t="shared" si="56"/>
        <v>4445128.2300000004</v>
      </c>
      <c r="H16" s="120">
        <f t="shared" si="56"/>
        <v>4445128.2300000004</v>
      </c>
      <c r="I16" s="120">
        <f t="shared" si="56"/>
        <v>4445128.2300000004</v>
      </c>
      <c r="J16" s="120">
        <f t="shared" si="56"/>
        <v>4445128.2300000004</v>
      </c>
      <c r="K16" s="120">
        <f t="shared" si="56"/>
        <v>4445128.2300000004</v>
      </c>
      <c r="L16" s="120">
        <f t="shared" si="56"/>
        <v>4445128.2300000004</v>
      </c>
      <c r="M16" s="120">
        <f t="shared" si="56"/>
        <v>4445128.2300000004</v>
      </c>
      <c r="N16" s="120">
        <f t="shared" si="56"/>
        <v>4445128.2300000004</v>
      </c>
      <c r="O16" s="120">
        <f t="shared" si="56"/>
        <v>4445128.2300000004</v>
      </c>
      <c r="P16" s="120">
        <f t="shared" si="56"/>
        <v>3508174.0600000061</v>
      </c>
      <c r="Q16" s="120">
        <f t="shared" si="56"/>
        <v>1553213.16</v>
      </c>
      <c r="R16" s="120">
        <f t="shared" si="56"/>
        <v>1553213.16</v>
      </c>
      <c r="S16" s="120">
        <f t="shared" si="56"/>
        <v>1553213.16</v>
      </c>
      <c r="T16" s="120">
        <f t="shared" si="56"/>
        <v>1553213.16</v>
      </c>
      <c r="U16" s="120">
        <f t="shared" ref="U16" si="57">SUM(U17:U18)</f>
        <v>1553213.16</v>
      </c>
      <c r="V16" s="120">
        <f t="shared" ref="V16" si="58">SUM(V17:V18)</f>
        <v>1553213.16</v>
      </c>
      <c r="W16" s="120">
        <f t="shared" ref="W16" si="59">SUM(W17:W18)</f>
        <v>1553213.16</v>
      </c>
      <c r="X16" s="120">
        <f t="shared" ref="X16" si="60">SUM(X17:X18)</f>
        <v>929229.22000000998</v>
      </c>
      <c r="Y16" s="120">
        <f t="shared" ref="Y16" si="61">SUM(Y17:Y18)</f>
        <v>0</v>
      </c>
      <c r="Z16" s="120">
        <f t="shared" ref="Z16" si="62">SUM(Z17:Z18)</f>
        <v>0</v>
      </c>
      <c r="AA16" s="120">
        <f t="shared" ref="AA16" si="63">SUM(AA17:AA18)</f>
        <v>0</v>
      </c>
      <c r="AB16" s="120">
        <f t="shared" ref="AB16" si="64">SUM(AB17:AB18)</f>
        <v>0</v>
      </c>
    </row>
    <row r="17" spans="1:29">
      <c r="B17" s="71" t="s">
        <v>246</v>
      </c>
      <c r="C17" s="65">
        <f>'Costs"A"'!C56</f>
        <v>1531682.6800000002</v>
      </c>
      <c r="D17" s="65">
        <f>'Costs"A"'!D56</f>
        <v>1642994.04</v>
      </c>
      <c r="E17" s="65">
        <f>'Costs"A"'!E56</f>
        <v>1854175.7000000002</v>
      </c>
      <c r="F17" s="65">
        <f>'Costs"A"'!F56</f>
        <v>2380452.5</v>
      </c>
      <c r="G17" s="67">
        <f>'Costs"A"'!G56</f>
        <v>2891915.0700000003</v>
      </c>
      <c r="H17" s="55">
        <f>G17</f>
        <v>2891915.0700000003</v>
      </c>
      <c r="I17" s="55">
        <f t="shared" ref="I17:T18" si="65">H17</f>
        <v>2891915.0700000003</v>
      </c>
      <c r="J17" s="55">
        <f t="shared" si="65"/>
        <v>2891915.0700000003</v>
      </c>
      <c r="K17" s="55">
        <f t="shared" si="65"/>
        <v>2891915.0700000003</v>
      </c>
      <c r="L17" s="55">
        <f t="shared" si="65"/>
        <v>2891915.0700000003</v>
      </c>
      <c r="M17" s="55">
        <f t="shared" si="65"/>
        <v>2891915.0700000003</v>
      </c>
      <c r="N17" s="55">
        <f t="shared" si="65"/>
        <v>2891915.0700000003</v>
      </c>
      <c r="O17" s="55">
        <f t="shared" si="65"/>
        <v>2891915.0700000003</v>
      </c>
      <c r="P17" s="56">
        <v>1954960.900000006</v>
      </c>
      <c r="Q17" s="56">
        <v>0</v>
      </c>
      <c r="R17" s="55">
        <f t="shared" ref="R17:T17" si="66">Q17</f>
        <v>0</v>
      </c>
      <c r="S17" s="55">
        <f t="shared" si="66"/>
        <v>0</v>
      </c>
      <c r="T17" s="55">
        <f t="shared" si="66"/>
        <v>0</v>
      </c>
      <c r="U17" s="55">
        <f t="shared" ref="U17:AB17" si="67">T17</f>
        <v>0</v>
      </c>
      <c r="V17" s="55">
        <f t="shared" si="67"/>
        <v>0</v>
      </c>
      <c r="W17" s="55">
        <f t="shared" si="67"/>
        <v>0</v>
      </c>
      <c r="X17" s="55">
        <f t="shared" si="67"/>
        <v>0</v>
      </c>
      <c r="Y17" s="55">
        <f t="shared" si="67"/>
        <v>0</v>
      </c>
      <c r="Z17" s="55">
        <f t="shared" si="67"/>
        <v>0</v>
      </c>
      <c r="AA17" s="55">
        <f t="shared" si="67"/>
        <v>0</v>
      </c>
      <c r="AB17" s="55">
        <f t="shared" si="67"/>
        <v>0</v>
      </c>
      <c r="AC17" s="751" t="s">
        <v>3059</v>
      </c>
    </row>
    <row r="18" spans="1:29">
      <c r="B18" s="289" t="s">
        <v>3051</v>
      </c>
      <c r="C18" s="65">
        <f>'Costs"A"'!C55</f>
        <v>1605611.52</v>
      </c>
      <c r="D18" s="65">
        <f>'Costs"A"'!D55</f>
        <v>1587378.12</v>
      </c>
      <c r="E18" s="65">
        <f>'Costs"A"'!E55</f>
        <v>1569228.42</v>
      </c>
      <c r="F18" s="65">
        <f>'Costs"A"'!F55</f>
        <v>1590243.07</v>
      </c>
      <c r="G18" s="67">
        <f>'Costs"A"'!G55</f>
        <v>1553213.16</v>
      </c>
      <c r="H18" s="55">
        <f>G18</f>
        <v>1553213.16</v>
      </c>
      <c r="I18" s="55">
        <f t="shared" si="65"/>
        <v>1553213.16</v>
      </c>
      <c r="J18" s="55">
        <f t="shared" si="65"/>
        <v>1553213.16</v>
      </c>
      <c r="K18" s="55">
        <f t="shared" si="65"/>
        <v>1553213.16</v>
      </c>
      <c r="L18" s="55">
        <f t="shared" si="65"/>
        <v>1553213.16</v>
      </c>
      <c r="M18" s="55">
        <f t="shared" si="65"/>
        <v>1553213.16</v>
      </c>
      <c r="N18" s="55">
        <f t="shared" si="65"/>
        <v>1553213.16</v>
      </c>
      <c r="O18" s="55">
        <f t="shared" si="65"/>
        <v>1553213.16</v>
      </c>
      <c r="P18" s="55">
        <f t="shared" si="65"/>
        <v>1553213.16</v>
      </c>
      <c r="Q18" s="55">
        <f t="shared" si="65"/>
        <v>1553213.16</v>
      </c>
      <c r="R18" s="55">
        <f t="shared" si="65"/>
        <v>1553213.16</v>
      </c>
      <c r="S18" s="55">
        <f t="shared" si="65"/>
        <v>1553213.16</v>
      </c>
      <c r="T18" s="55">
        <f t="shared" si="65"/>
        <v>1553213.16</v>
      </c>
      <c r="U18" s="55">
        <f t="shared" ref="U18:AB18" si="68">T18</f>
        <v>1553213.16</v>
      </c>
      <c r="V18" s="55">
        <f t="shared" si="68"/>
        <v>1553213.16</v>
      </c>
      <c r="W18" s="55">
        <f t="shared" si="68"/>
        <v>1553213.16</v>
      </c>
      <c r="X18" s="55">
        <f>G8-SUM(H18:W18)</f>
        <v>929229.22000000998</v>
      </c>
      <c r="Y18" s="55">
        <v>0</v>
      </c>
      <c r="Z18" s="55">
        <f t="shared" si="68"/>
        <v>0</v>
      </c>
      <c r="AA18" s="55">
        <f t="shared" si="68"/>
        <v>0</v>
      </c>
      <c r="AB18" s="55">
        <f t="shared" si="68"/>
        <v>0</v>
      </c>
      <c r="AC18" s="751" t="s">
        <v>3060</v>
      </c>
    </row>
    <row r="19" spans="1:29" s="172" customFormat="1">
      <c r="A19" s="170"/>
      <c r="B19" s="742" t="s">
        <v>3057</v>
      </c>
      <c r="C19" s="68">
        <f>SUM(C20:C21)</f>
        <v>0</v>
      </c>
      <c r="D19" s="68">
        <f t="shared" ref="D19:T19" si="69">SUM(D20:D21)</f>
        <v>0</v>
      </c>
      <c r="E19" s="68">
        <f t="shared" si="69"/>
        <v>0</v>
      </c>
      <c r="F19" s="68">
        <f t="shared" si="69"/>
        <v>0</v>
      </c>
      <c r="G19" s="171">
        <f t="shared" si="69"/>
        <v>0</v>
      </c>
      <c r="H19" s="120">
        <f t="shared" si="69"/>
        <v>131629.40475000069</v>
      </c>
      <c r="I19" s="120">
        <f t="shared" si="69"/>
        <v>131629.40475000069</v>
      </c>
      <c r="J19" s="120">
        <f t="shared" si="69"/>
        <v>131629.40475000069</v>
      </c>
      <c r="K19" s="120">
        <f t="shared" si="69"/>
        <v>131629.40475000069</v>
      </c>
      <c r="L19" s="120">
        <f t="shared" si="69"/>
        <v>131629.40475000069</v>
      </c>
      <c r="M19" s="120">
        <f t="shared" si="69"/>
        <v>131629.40475000069</v>
      </c>
      <c r="N19" s="120">
        <f t="shared" si="69"/>
        <v>131629.40475000069</v>
      </c>
      <c r="O19" s="120">
        <f t="shared" si="69"/>
        <v>131629.40475000069</v>
      </c>
      <c r="P19" s="120">
        <f t="shared" si="69"/>
        <v>360432.59108484443</v>
      </c>
      <c r="Q19" s="120">
        <f t="shared" si="69"/>
        <v>593811.84114638506</v>
      </c>
      <c r="R19" s="120">
        <f t="shared" si="69"/>
        <v>831858.67620915652</v>
      </c>
      <c r="S19" s="120">
        <f t="shared" si="69"/>
        <v>1074666.4479731834</v>
      </c>
      <c r="T19" s="120">
        <f t="shared" si="69"/>
        <v>1322330.3751724907</v>
      </c>
      <c r="U19" s="120">
        <f t="shared" ref="U19" si="70">SUM(U20:U21)</f>
        <v>1574947.5809157842</v>
      </c>
      <c r="V19" s="120">
        <f t="shared" ref="V19" si="71">SUM(V20:V21)</f>
        <v>1832617.1307739436</v>
      </c>
      <c r="W19" s="120">
        <f t="shared" ref="W19" si="72">SUM(W20:W21)</f>
        <v>1866636.8852944225</v>
      </c>
      <c r="X19" s="120">
        <f t="shared" ref="X19" si="73">SUM(X20:X21)</f>
        <v>1901337.034905311</v>
      </c>
      <c r="Y19" s="120">
        <f t="shared" ref="Y19" si="74">SUM(Y20:Y21)</f>
        <v>1936731.1875084171</v>
      </c>
      <c r="Z19" s="120">
        <f t="shared" ref="Z19" si="75">SUM(Z20:Z21)</f>
        <v>1972833.2231635852</v>
      </c>
      <c r="AA19" s="120">
        <f t="shared" ref="AA19" si="76">SUM(AA20:AA21)</f>
        <v>2009657.299531857</v>
      </c>
      <c r="AB19" s="120">
        <f t="shared" ref="AB19" si="77">SUM(AB20:AB21)</f>
        <v>2047217.8574274944</v>
      </c>
    </row>
    <row r="20" spans="1:29">
      <c r="B20" s="71" t="s">
        <v>246</v>
      </c>
      <c r="C20" s="65"/>
      <c r="D20" s="65"/>
      <c r="E20" s="65"/>
      <c r="F20" s="65"/>
      <c r="G20" s="67"/>
      <c r="H20" s="55">
        <f>G27/$AC$27</f>
        <v>103731.0485000005</v>
      </c>
      <c r="I20" s="55">
        <f>H27/$AC$27+H20</f>
        <v>103731.0485000005</v>
      </c>
      <c r="J20" s="55">
        <f t="shared" ref="J20:O20" si="78">I27/$AC$27+I20</f>
        <v>103731.0485000005</v>
      </c>
      <c r="K20" s="55">
        <f t="shared" si="78"/>
        <v>103731.0485000005</v>
      </c>
      <c r="L20" s="55">
        <f t="shared" si="78"/>
        <v>103731.0485000005</v>
      </c>
      <c r="M20" s="55">
        <f t="shared" si="78"/>
        <v>103731.0485000005</v>
      </c>
      <c r="N20" s="55">
        <f t="shared" si="78"/>
        <v>103731.0485000005</v>
      </c>
      <c r="O20" s="55">
        <f t="shared" si="78"/>
        <v>103731.0485000005</v>
      </c>
      <c r="P20" s="55">
        <f>O27/$AC$27+O20-H27/$AC$27</f>
        <v>332534.23483484425</v>
      </c>
      <c r="Q20" s="55">
        <f t="shared" ref="Q20:T20" si="79">P27/$AC$27+P20-I27/$AC$27</f>
        <v>565913.48489638488</v>
      </c>
      <c r="R20" s="55">
        <f t="shared" si="79"/>
        <v>803960.31995915633</v>
      </c>
      <c r="S20" s="55">
        <f t="shared" si="79"/>
        <v>1046768.0917231832</v>
      </c>
      <c r="T20" s="55">
        <f t="shared" si="79"/>
        <v>1294432.0189224905</v>
      </c>
      <c r="U20" s="55">
        <f t="shared" ref="U20" si="80">T27/$AC$27+T20-M27/$AC$27</f>
        <v>1547049.224665784</v>
      </c>
      <c r="V20" s="55">
        <f t="shared" ref="V20" si="81">U27/$AC$27+U20-N27/$AC$27</f>
        <v>1804718.7745239434</v>
      </c>
      <c r="W20" s="55">
        <f t="shared" ref="W20" si="82">V27/$AC$27+V20-O27/$AC$27</f>
        <v>1838738.5290444223</v>
      </c>
      <c r="X20" s="55">
        <f t="shared" ref="X20" si="83">W27/$AC$27+W20-P27/$AC$27</f>
        <v>1873438.6786553108</v>
      </c>
      <c r="Y20" s="55">
        <f t="shared" ref="Y20" si="84">X27/$AC$27+X20-Q27/$AC$27</f>
        <v>1908832.8312584169</v>
      </c>
      <c r="Z20" s="55">
        <f t="shared" ref="Z20" si="85">Y27/$AC$27+Y20-R27/$AC$27</f>
        <v>1944934.866913585</v>
      </c>
      <c r="AA20" s="55">
        <f t="shared" ref="AA20" si="86">Z27/$AC$27+Z20-S27/$AC$27</f>
        <v>1981758.9432818568</v>
      </c>
      <c r="AB20" s="55">
        <f t="shared" ref="AB20" si="87">AA27/$AC$27+AA20-T27/$AC$27</f>
        <v>2019319.5011774942</v>
      </c>
      <c r="AC20" s="751"/>
    </row>
    <row r="21" spans="1:29">
      <c r="B21" s="289" t="s">
        <v>3051</v>
      </c>
      <c r="C21" s="65"/>
      <c r="D21" s="65"/>
      <c r="E21" s="65"/>
      <c r="F21" s="65"/>
      <c r="G21" s="67"/>
      <c r="H21" s="55">
        <f>G28/$AC$28</f>
        <v>27898.356250000179</v>
      </c>
      <c r="I21" s="55">
        <f>H28/$AC$28+H21</f>
        <v>27898.356250000179</v>
      </c>
      <c r="J21" s="55">
        <f t="shared" ref="J21:T21" si="88">I28/$AC$28+I21</f>
        <v>27898.356250000179</v>
      </c>
      <c r="K21" s="55">
        <f t="shared" si="88"/>
        <v>27898.356250000179</v>
      </c>
      <c r="L21" s="55">
        <f t="shared" si="88"/>
        <v>27898.356250000179</v>
      </c>
      <c r="M21" s="55">
        <f t="shared" si="88"/>
        <v>27898.356250000179</v>
      </c>
      <c r="N21" s="55">
        <f t="shared" si="88"/>
        <v>27898.356250000179</v>
      </c>
      <c r="O21" s="55">
        <f t="shared" si="88"/>
        <v>27898.356250000179</v>
      </c>
      <c r="P21" s="55">
        <f t="shared" si="88"/>
        <v>27898.356250000179</v>
      </c>
      <c r="Q21" s="55">
        <f t="shared" si="88"/>
        <v>27898.356250000179</v>
      </c>
      <c r="R21" s="55">
        <f t="shared" si="88"/>
        <v>27898.356250000179</v>
      </c>
      <c r="S21" s="55">
        <f t="shared" si="88"/>
        <v>27898.356250000179</v>
      </c>
      <c r="T21" s="55">
        <f t="shared" si="88"/>
        <v>27898.356250000179</v>
      </c>
      <c r="U21" s="55">
        <f t="shared" ref="U21:AB21" si="89">T28/$AC$28+T21</f>
        <v>27898.356250000179</v>
      </c>
      <c r="V21" s="55">
        <f t="shared" si="89"/>
        <v>27898.356250000179</v>
      </c>
      <c r="W21" s="55">
        <f t="shared" si="89"/>
        <v>27898.356250000179</v>
      </c>
      <c r="X21" s="55">
        <f t="shared" si="89"/>
        <v>27898.356250000179</v>
      </c>
      <c r="Y21" s="55">
        <f t="shared" si="89"/>
        <v>27898.356250000179</v>
      </c>
      <c r="Z21" s="55">
        <f t="shared" si="89"/>
        <v>27898.356250000179</v>
      </c>
      <c r="AA21" s="55">
        <f t="shared" si="89"/>
        <v>27898.356250000179</v>
      </c>
      <c r="AB21" s="55">
        <f t="shared" si="89"/>
        <v>27898.356250000179</v>
      </c>
      <c r="AC21" s="751"/>
    </row>
    <row r="22" spans="1:29" s="172" customFormat="1">
      <c r="A22" s="170"/>
      <c r="B22" s="742" t="s">
        <v>3058</v>
      </c>
      <c r="C22" s="68">
        <f>SUM(C23:C24)</f>
        <v>0</v>
      </c>
      <c r="D22" s="68">
        <f t="shared" ref="D22:T22" si="90">SUM(D23:D24)</f>
        <v>0</v>
      </c>
      <c r="E22" s="68">
        <f t="shared" si="90"/>
        <v>0</v>
      </c>
      <c r="F22" s="68">
        <f t="shared" si="90"/>
        <v>0</v>
      </c>
      <c r="G22" s="171">
        <f t="shared" si="90"/>
        <v>0</v>
      </c>
      <c r="H22" s="120">
        <f t="shared" si="90"/>
        <v>0</v>
      </c>
      <c r="I22" s="120">
        <f t="shared" si="90"/>
        <v>643105.56742487126</v>
      </c>
      <c r="J22" s="120">
        <f t="shared" si="90"/>
        <v>3972584.2273466382</v>
      </c>
      <c r="K22" s="120">
        <f t="shared" si="90"/>
        <v>8667058.8720133919</v>
      </c>
      <c r="L22" s="120">
        <f t="shared" si="90"/>
        <v>17998662.672828011</v>
      </c>
      <c r="M22" s="120">
        <f t="shared" si="90"/>
        <v>20004840.746257756</v>
      </c>
      <c r="N22" s="120">
        <f t="shared" si="90"/>
        <v>25020285.929832116</v>
      </c>
      <c r="O22" s="120">
        <f t="shared" si="90"/>
        <v>36019292.414928988</v>
      </c>
      <c r="P22" s="120">
        <f t="shared" si="90"/>
        <v>36019292.414928988</v>
      </c>
      <c r="Q22" s="120">
        <f t="shared" si="90"/>
        <v>36019292.414928988</v>
      </c>
      <c r="R22" s="120">
        <f t="shared" si="90"/>
        <v>35490696.558979914</v>
      </c>
      <c r="S22" s="120">
        <f t="shared" si="90"/>
        <v>27598546.786717176</v>
      </c>
      <c r="T22" s="120">
        <f t="shared" si="90"/>
        <v>27598546.786717176</v>
      </c>
      <c r="U22" s="120">
        <f t="shared" ref="U22" si="91">SUM(U23:U24)</f>
        <v>27598546.786717176</v>
      </c>
      <c r="V22" s="120">
        <f t="shared" ref="V22" si="92">SUM(V23:V24)</f>
        <v>16945560.953447502</v>
      </c>
      <c r="W22" s="120">
        <f t="shared" ref="W22" si="93">SUM(W23:W24)</f>
        <v>16945560.953447502</v>
      </c>
      <c r="X22" s="120">
        <f t="shared" ref="X22" si="94">SUM(X23:X24)</f>
        <v>16945560.953447502</v>
      </c>
      <c r="Y22" s="120">
        <f t="shared" ref="Y22" si="95">SUM(Y23:Y24)</f>
        <v>16945560.953447502</v>
      </c>
      <c r="Z22" s="120">
        <f t="shared" ref="Z22" si="96">SUM(Z23:Z24)</f>
        <v>16945560.953447502</v>
      </c>
      <c r="AA22" s="120">
        <f t="shared" ref="AA22" si="97">SUM(AA23:AA24)</f>
        <v>16945560.953447502</v>
      </c>
      <c r="AB22" s="120">
        <f t="shared" ref="AB22" si="98">SUM(AB23:AB24)</f>
        <v>16945560.953447502</v>
      </c>
    </row>
    <row r="23" spans="1:29">
      <c r="B23" s="71" t="s">
        <v>246</v>
      </c>
      <c r="C23" s="65"/>
      <c r="D23" s="65"/>
      <c r="E23" s="65"/>
      <c r="F23" s="65"/>
      <c r="G23" s="67"/>
      <c r="H23" s="55">
        <f>G30/$AC$30</f>
        <v>0</v>
      </c>
      <c r="I23" s="55">
        <f>H30/$AC$30+H23</f>
        <v>0</v>
      </c>
      <c r="J23" s="55">
        <f t="shared" ref="J23:O23" si="99">I30/$AC$30+I23</f>
        <v>0</v>
      </c>
      <c r="K23" s="55">
        <f t="shared" si="99"/>
        <v>528595.85594906961</v>
      </c>
      <c r="L23" s="55">
        <f t="shared" si="99"/>
        <v>8420745.6282118112</v>
      </c>
      <c r="M23" s="55">
        <f t="shared" si="99"/>
        <v>8420745.6282118112</v>
      </c>
      <c r="N23" s="55">
        <f t="shared" si="99"/>
        <v>8420745.6282118112</v>
      </c>
      <c r="O23" s="55">
        <f t="shared" si="99"/>
        <v>19073731.461481486</v>
      </c>
      <c r="P23" s="55">
        <f>O30/$AC$30+O23-H30/$AC$30</f>
        <v>19073731.461481486</v>
      </c>
      <c r="Q23" s="55">
        <f t="shared" ref="Q23:T23" si="100">P30/$AC$30+P23-I30/$AC$30</f>
        <v>19073731.461481486</v>
      </c>
      <c r="R23" s="55">
        <f t="shared" si="100"/>
        <v>18545135.605532415</v>
      </c>
      <c r="S23" s="55">
        <f t="shared" si="100"/>
        <v>10652985.833269674</v>
      </c>
      <c r="T23" s="55">
        <f t="shared" si="100"/>
        <v>10652985.833269674</v>
      </c>
      <c r="U23" s="55">
        <f t="shared" ref="U23" si="101">T30/$AC$30+T23-M30/$AC$30</f>
        <v>10652985.833269674</v>
      </c>
      <c r="V23" s="55">
        <f t="shared" ref="V23" si="102">U30/$AC$30+U23-N30/$AC$30</f>
        <v>0</v>
      </c>
      <c r="W23" s="55">
        <f t="shared" ref="W23" si="103">V30/$AC$30+V23-O30/$AC$30</f>
        <v>0</v>
      </c>
      <c r="X23" s="55">
        <f t="shared" ref="X23" si="104">W30/$AC$30+W23-P30/$AC$30</f>
        <v>0</v>
      </c>
      <c r="Y23" s="55">
        <f t="shared" ref="Y23" si="105">X30/$AC$30+X23-Q30/$AC$30</f>
        <v>0</v>
      </c>
      <c r="Z23" s="55">
        <f t="shared" ref="Z23" si="106">Y30/$AC$30+Y23-R30/$AC$30</f>
        <v>0</v>
      </c>
      <c r="AA23" s="55">
        <f t="shared" ref="AA23" si="107">Z30/$AC$30+Z23-S30/$AC$30</f>
        <v>0</v>
      </c>
      <c r="AB23" s="55">
        <f t="shared" ref="AB23" si="108">AA30/$AC$30+AA23-T30/$AC$30</f>
        <v>0</v>
      </c>
    </row>
    <row r="24" spans="1:29">
      <c r="B24" s="302" t="s">
        <v>3051</v>
      </c>
      <c r="C24" s="285"/>
      <c r="D24" s="285"/>
      <c r="E24" s="285"/>
      <c r="F24" s="285"/>
      <c r="G24" s="286"/>
      <c r="H24" s="800">
        <f>G31/$AC$31</f>
        <v>0</v>
      </c>
      <c r="I24" s="303">
        <f>H31/$AC$31+H24</f>
        <v>643105.56742487126</v>
      </c>
      <c r="J24" s="303">
        <f t="shared" ref="J24:T24" si="109">I31/$AC$31+I24</f>
        <v>3972584.2273466382</v>
      </c>
      <c r="K24" s="303">
        <f t="shared" si="109"/>
        <v>8138463.0160643226</v>
      </c>
      <c r="L24" s="303">
        <f t="shared" si="109"/>
        <v>9577917.0446162</v>
      </c>
      <c r="M24" s="303">
        <f t="shared" si="109"/>
        <v>11584095.118045945</v>
      </c>
      <c r="N24" s="303">
        <f t="shared" si="109"/>
        <v>16599540.301620305</v>
      </c>
      <c r="O24" s="303">
        <f t="shared" si="109"/>
        <v>16945560.953447502</v>
      </c>
      <c r="P24" s="303">
        <f t="shared" si="109"/>
        <v>16945560.953447502</v>
      </c>
      <c r="Q24" s="303">
        <f t="shared" si="109"/>
        <v>16945560.953447502</v>
      </c>
      <c r="R24" s="303">
        <f t="shared" si="109"/>
        <v>16945560.953447502</v>
      </c>
      <c r="S24" s="303">
        <f t="shared" si="109"/>
        <v>16945560.953447502</v>
      </c>
      <c r="T24" s="303">
        <f t="shared" si="109"/>
        <v>16945560.953447502</v>
      </c>
      <c r="U24" s="303">
        <f t="shared" ref="U24:AB24" si="110">T31/$AC$31+T24</f>
        <v>16945560.953447502</v>
      </c>
      <c r="V24" s="303">
        <f t="shared" si="110"/>
        <v>16945560.953447502</v>
      </c>
      <c r="W24" s="303">
        <f t="shared" si="110"/>
        <v>16945560.953447502</v>
      </c>
      <c r="X24" s="303">
        <f t="shared" si="110"/>
        <v>16945560.953447502</v>
      </c>
      <c r="Y24" s="303">
        <f t="shared" si="110"/>
        <v>16945560.953447502</v>
      </c>
      <c r="Z24" s="303">
        <f t="shared" si="110"/>
        <v>16945560.953447502</v>
      </c>
      <c r="AA24" s="303">
        <f t="shared" si="110"/>
        <v>16945560.953447502</v>
      </c>
      <c r="AB24" s="303">
        <f t="shared" si="110"/>
        <v>16945560.953447502</v>
      </c>
      <c r="AC24" s="752"/>
    </row>
    <row r="25" spans="1:29">
      <c r="B25" s="289"/>
      <c r="C25" s="65"/>
      <c r="D25" s="65"/>
      <c r="E25" s="65"/>
      <c r="F25" s="65"/>
      <c r="G25" s="67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9" s="60" customFormat="1">
      <c r="A26" s="170"/>
      <c r="B26" s="743" t="s">
        <v>3055</v>
      </c>
      <c r="C26" s="744">
        <f>SUM(C27:C28)</f>
        <v>0</v>
      </c>
      <c r="D26" s="744">
        <f t="shared" ref="D26:T26" si="111">SUM(D27:D28)</f>
        <v>1617655.9599999972</v>
      </c>
      <c r="E26" s="744">
        <f t="shared" si="111"/>
        <v>9285285.4200000018</v>
      </c>
      <c r="F26" s="744">
        <f t="shared" si="111"/>
        <v>8191608.1199999973</v>
      </c>
      <c r="G26" s="745">
        <f t="shared" si="111"/>
        <v>3190555.2200000174</v>
      </c>
      <c r="H26" s="746">
        <f t="shared" si="111"/>
        <v>0</v>
      </c>
      <c r="I26" s="746">
        <f t="shared" si="111"/>
        <v>0</v>
      </c>
      <c r="J26" s="746">
        <f t="shared" si="111"/>
        <v>0</v>
      </c>
      <c r="K26" s="746">
        <f t="shared" si="111"/>
        <v>0</v>
      </c>
      <c r="L26" s="747">
        <f t="shared" si="111"/>
        <v>0</v>
      </c>
      <c r="M26" s="747">
        <f t="shared" si="111"/>
        <v>0</v>
      </c>
      <c r="N26" s="747">
        <f t="shared" si="111"/>
        <v>0</v>
      </c>
      <c r="O26" s="747">
        <f t="shared" si="111"/>
        <v>4576063.7266968749</v>
      </c>
      <c r="P26" s="747">
        <f t="shared" si="111"/>
        <v>4667585.0012308126</v>
      </c>
      <c r="Q26" s="747">
        <f t="shared" si="111"/>
        <v>4760936.7012554286</v>
      </c>
      <c r="R26" s="747">
        <f t="shared" si="111"/>
        <v>4856155.4352805372</v>
      </c>
      <c r="S26" s="747">
        <f t="shared" si="111"/>
        <v>4953278.5439861482</v>
      </c>
      <c r="T26" s="747">
        <f t="shared" si="111"/>
        <v>5052344.1148658711</v>
      </c>
      <c r="U26" s="747">
        <f t="shared" ref="U26" si="112">SUM(U27:U28)</f>
        <v>5153390.9971631886</v>
      </c>
      <c r="V26" s="747">
        <f t="shared" ref="V26" si="113">SUM(V27:V28)</f>
        <v>5256458.8171064528</v>
      </c>
      <c r="W26" s="747">
        <f t="shared" ref="W26" si="114">SUM(W27:W28)</f>
        <v>5361587.9934485815</v>
      </c>
      <c r="X26" s="747">
        <f t="shared" ref="X26" si="115">SUM(X27:X28)</f>
        <v>5468819.7533175536</v>
      </c>
      <c r="Y26" s="747">
        <f t="shared" ref="Y26" si="116">SUM(Y27:Y28)</f>
        <v>5578196.1483839052</v>
      </c>
      <c r="Z26" s="747">
        <f t="shared" ref="Z26" si="117">SUM(Z27:Z28)</f>
        <v>5689760.0713515831</v>
      </c>
      <c r="AA26" s="747">
        <f t="shared" ref="AA26" si="118">SUM(AA27:AA28)</f>
        <v>5803555.2727786144</v>
      </c>
      <c r="AB26" s="747">
        <f t="shared" ref="AB26" si="119">SUM(AB27:AB28)</f>
        <v>5919626.3782341871</v>
      </c>
      <c r="AC26" s="743"/>
    </row>
    <row r="27" spans="1:29">
      <c r="B27" s="289" t="s">
        <v>3052</v>
      </c>
      <c r="C27" s="65"/>
      <c r="D27" s="65">
        <f>D4-C4+D14</f>
        <v>1484239.4299999969</v>
      </c>
      <c r="E27" s="65">
        <f>E4-D4+E14</f>
        <v>8096637.3500000043</v>
      </c>
      <c r="F27" s="65">
        <f t="shared" ref="F27:G28" si="120">F4-E4+F14</f>
        <v>7159435.5799999945</v>
      </c>
      <c r="G27" s="67">
        <f t="shared" si="120"/>
        <v>2074620.97000001</v>
      </c>
      <c r="H27" s="61"/>
      <c r="I27" s="61"/>
      <c r="J27" s="61"/>
      <c r="K27" s="61"/>
      <c r="L27" s="61"/>
      <c r="M27" s="61"/>
      <c r="N27" s="61"/>
      <c r="O27" s="792">
        <f>O32*'PL"A"'!P9</f>
        <v>4576063.7266968749</v>
      </c>
      <c r="P27" s="792">
        <f t="shared" ref="P27:R27" si="121">O27*1.02</f>
        <v>4667585.0012308126</v>
      </c>
      <c r="Q27" s="792">
        <f t="shared" si="121"/>
        <v>4760936.7012554286</v>
      </c>
      <c r="R27" s="792">
        <f t="shared" si="121"/>
        <v>4856155.4352805372</v>
      </c>
      <c r="S27" s="792">
        <f t="shared" ref="S27:AB27" si="122">R27*1.02</f>
        <v>4953278.5439861482</v>
      </c>
      <c r="T27" s="792">
        <f t="shared" si="122"/>
        <v>5052344.1148658711</v>
      </c>
      <c r="U27" s="792">
        <f t="shared" si="122"/>
        <v>5153390.9971631886</v>
      </c>
      <c r="V27" s="792">
        <f t="shared" si="122"/>
        <v>5256458.8171064528</v>
      </c>
      <c r="W27" s="792">
        <f t="shared" si="122"/>
        <v>5361587.9934485815</v>
      </c>
      <c r="X27" s="792">
        <f t="shared" si="122"/>
        <v>5468819.7533175536</v>
      </c>
      <c r="Y27" s="792">
        <f t="shared" si="122"/>
        <v>5578196.1483839052</v>
      </c>
      <c r="Z27" s="792">
        <f t="shared" si="122"/>
        <v>5689760.0713515831</v>
      </c>
      <c r="AA27" s="792">
        <f t="shared" si="122"/>
        <v>5803555.2727786144</v>
      </c>
      <c r="AB27" s="792">
        <f t="shared" si="122"/>
        <v>5919626.3782341871</v>
      </c>
      <c r="AC27" s="61">
        <v>20</v>
      </c>
    </row>
    <row r="28" spans="1:29">
      <c r="B28" s="289" t="s">
        <v>3053</v>
      </c>
      <c r="C28" s="65"/>
      <c r="D28" s="65">
        <f>D5-C5+D15</f>
        <v>133416.53000000026</v>
      </c>
      <c r="E28" s="65">
        <f>E5-D5+E15</f>
        <v>1188648.0699999984</v>
      </c>
      <c r="F28" s="65">
        <f t="shared" si="120"/>
        <v>1032172.5400000026</v>
      </c>
      <c r="G28" s="67">
        <f t="shared" si="120"/>
        <v>1115934.2500000072</v>
      </c>
      <c r="H28" s="61"/>
      <c r="I28" s="61"/>
      <c r="J28" s="61"/>
      <c r="K28" s="61"/>
      <c r="L28" s="61"/>
      <c r="M28" s="61"/>
      <c r="N28" s="61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61">
        <v>40</v>
      </c>
    </row>
    <row r="29" spans="1:29" s="60" customFormat="1">
      <c r="A29" s="170"/>
      <c r="B29" s="60" t="s">
        <v>3056</v>
      </c>
      <c r="C29" s="68">
        <f>SUM(C30:C31)</f>
        <v>0</v>
      </c>
      <c r="D29" s="68">
        <f t="shared" ref="D29:T29" si="123">SUM(D30:D31)</f>
        <v>0</v>
      </c>
      <c r="E29" s="68">
        <f t="shared" si="123"/>
        <v>0</v>
      </c>
      <c r="F29" s="68">
        <f t="shared" si="123"/>
        <v>0</v>
      </c>
      <c r="G29" s="171">
        <f t="shared" si="123"/>
        <v>0</v>
      </c>
      <c r="H29" s="739">
        <f t="shared" si="123"/>
        <v>25724222.696994852</v>
      </c>
      <c r="I29" s="739">
        <f t="shared" si="123"/>
        <v>133179146.39687067</v>
      </c>
      <c r="J29" s="739">
        <f t="shared" si="123"/>
        <v>171921110.10819805</v>
      </c>
      <c r="K29" s="739">
        <f t="shared" si="123"/>
        <v>136499658.86470252</v>
      </c>
      <c r="L29" s="740">
        <f t="shared" si="123"/>
        <v>80247122.937189758</v>
      </c>
      <c r="M29" s="740">
        <f t="shared" si="123"/>
        <v>200617807.34297442</v>
      </c>
      <c r="N29" s="740">
        <f t="shared" si="123"/>
        <v>120370684.40578464</v>
      </c>
      <c r="O29" s="740">
        <f t="shared" si="123"/>
        <v>0</v>
      </c>
      <c r="P29" s="740">
        <f t="shared" si="123"/>
        <v>0</v>
      </c>
      <c r="Q29" s="740">
        <f t="shared" si="123"/>
        <v>0</v>
      </c>
      <c r="R29" s="740">
        <f t="shared" si="123"/>
        <v>0</v>
      </c>
      <c r="S29" s="740">
        <f t="shared" si="123"/>
        <v>0</v>
      </c>
      <c r="T29" s="740">
        <f t="shared" si="123"/>
        <v>0</v>
      </c>
      <c r="U29" s="740">
        <f t="shared" ref="U29" si="124">SUM(U30:U31)</f>
        <v>0</v>
      </c>
      <c r="V29" s="740">
        <f t="shared" ref="V29" si="125">SUM(V30:V31)</f>
        <v>0</v>
      </c>
      <c r="W29" s="740">
        <f t="shared" ref="W29" si="126">SUM(W30:W31)</f>
        <v>0</v>
      </c>
      <c r="X29" s="740">
        <f t="shared" ref="X29" si="127">SUM(X30:X31)</f>
        <v>0</v>
      </c>
      <c r="Y29" s="740">
        <f t="shared" ref="Y29" si="128">SUM(Y30:Y31)</f>
        <v>0</v>
      </c>
      <c r="Z29" s="740">
        <f t="shared" ref="Z29" si="129">SUM(Z30:Z31)</f>
        <v>0</v>
      </c>
      <c r="AA29" s="740">
        <f t="shared" ref="AA29" si="130">SUM(AA30:AA31)</f>
        <v>0</v>
      </c>
      <c r="AB29" s="740">
        <f t="shared" ref="AB29" si="131">SUM(AB30:AB31)</f>
        <v>0</v>
      </c>
    </row>
    <row r="30" spans="1:29">
      <c r="B30" s="289" t="s">
        <v>3052</v>
      </c>
      <c r="C30" s="65"/>
      <c r="D30" s="65"/>
      <c r="E30" s="65"/>
      <c r="F30" s="65"/>
      <c r="G30" s="67"/>
      <c r="H30" s="61">
        <f>Capex_model!D19</f>
        <v>0</v>
      </c>
      <c r="I30" s="61">
        <f>Capex_model!E19</f>
        <v>0</v>
      </c>
      <c r="J30" s="61">
        <f>Capex_model!F19</f>
        <v>5285958.5594906956</v>
      </c>
      <c r="K30" s="61">
        <f>Capex_model!G19</f>
        <v>78921497.722627416</v>
      </c>
      <c r="L30" s="61">
        <f>Capex_model!H19</f>
        <v>0</v>
      </c>
      <c r="M30" s="61">
        <f>Capex_model!I19</f>
        <v>0</v>
      </c>
      <c r="N30" s="61">
        <f>Capex_model!J19</f>
        <v>106529858.33269675</v>
      </c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61">
        <v>10</v>
      </c>
    </row>
    <row r="31" spans="1:29">
      <c r="B31" s="302" t="s">
        <v>3053</v>
      </c>
      <c r="C31" s="285"/>
      <c r="D31" s="285"/>
      <c r="E31" s="285"/>
      <c r="F31" s="285"/>
      <c r="G31" s="286"/>
      <c r="H31" s="287">
        <f>Capex_model!D18</f>
        <v>25724222.696994852</v>
      </c>
      <c r="I31" s="287">
        <f>Capex_model!E18</f>
        <v>133179146.39687067</v>
      </c>
      <c r="J31" s="287">
        <f>Capex_model!F18</f>
        <v>166635151.54870737</v>
      </c>
      <c r="K31" s="287">
        <f>Capex_model!G18</f>
        <v>57578161.142075121</v>
      </c>
      <c r="L31" s="287">
        <f>Capex_model!H18</f>
        <v>80247122.937189758</v>
      </c>
      <c r="M31" s="287">
        <f>Capex_model!I18</f>
        <v>200617807.34297442</v>
      </c>
      <c r="N31" s="287">
        <f>Capex_model!J18</f>
        <v>13840826.07308789</v>
      </c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7">
        <v>40</v>
      </c>
    </row>
    <row r="32" spans="1:29" s="49" customFormat="1">
      <c r="A32" s="57"/>
      <c r="B32" s="58"/>
      <c r="C32" s="77"/>
      <c r="D32" s="77"/>
      <c r="E32" s="77"/>
      <c r="F32" s="77"/>
      <c r="G32" s="174"/>
      <c r="H32" s="59"/>
      <c r="I32" s="59"/>
      <c r="J32" s="59"/>
      <c r="K32" s="59"/>
      <c r="L32" s="59"/>
      <c r="M32" s="59"/>
      <c r="N32" s="59" t="s">
        <v>3371</v>
      </c>
      <c r="O32" s="1080">
        <f>Capex_model!K22</f>
        <v>2.8000000000000001E-2</v>
      </c>
      <c r="P32" s="59">
        <f>O32</f>
        <v>2.8000000000000001E-2</v>
      </c>
      <c r="Q32" s="59">
        <f t="shared" ref="Q32:AB32" si="132">P32</f>
        <v>2.8000000000000001E-2</v>
      </c>
      <c r="R32" s="59">
        <f t="shared" si="132"/>
        <v>2.8000000000000001E-2</v>
      </c>
      <c r="S32" s="59">
        <f t="shared" si="132"/>
        <v>2.8000000000000001E-2</v>
      </c>
      <c r="T32" s="59">
        <f t="shared" si="132"/>
        <v>2.8000000000000001E-2</v>
      </c>
      <c r="U32" s="59">
        <f t="shared" si="132"/>
        <v>2.8000000000000001E-2</v>
      </c>
      <c r="V32" s="59">
        <f t="shared" si="132"/>
        <v>2.8000000000000001E-2</v>
      </c>
      <c r="W32" s="59">
        <f t="shared" si="132"/>
        <v>2.8000000000000001E-2</v>
      </c>
      <c r="X32" s="59">
        <f t="shared" si="132"/>
        <v>2.8000000000000001E-2</v>
      </c>
      <c r="Y32" s="59">
        <f t="shared" si="132"/>
        <v>2.8000000000000001E-2</v>
      </c>
      <c r="Z32" s="59">
        <f t="shared" si="132"/>
        <v>2.8000000000000001E-2</v>
      </c>
      <c r="AA32" s="59">
        <f t="shared" si="132"/>
        <v>2.8000000000000001E-2</v>
      </c>
      <c r="AB32" s="59">
        <f t="shared" si="132"/>
        <v>2.8000000000000001E-2</v>
      </c>
    </row>
    <row r="33" spans="1:28" s="49" customFormat="1">
      <c r="A33" s="57"/>
      <c r="B33" s="58"/>
      <c r="C33" s="77"/>
      <c r="D33" s="77"/>
      <c r="E33" s="77"/>
      <c r="F33" s="77"/>
      <c r="G33" s="174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</row>
    <row r="34" spans="1:28" s="49" customFormat="1">
      <c r="A34" s="57"/>
      <c r="B34" s="58"/>
      <c r="C34" s="77"/>
      <c r="D34" s="77"/>
      <c r="E34" s="77"/>
      <c r="F34" s="77"/>
      <c r="G34" s="174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</row>
    <row r="35" spans="1:28" s="49" customFormat="1">
      <c r="A35" s="57"/>
      <c r="B35" s="58"/>
      <c r="C35" s="77"/>
      <c r="D35" s="77"/>
      <c r="E35" s="77"/>
      <c r="F35" s="77"/>
      <c r="G35" s="174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</row>
    <row r="36" spans="1:28" s="49" customFormat="1">
      <c r="A36" s="57"/>
      <c r="B36" s="58"/>
      <c r="C36" s="77"/>
      <c r="D36" s="77"/>
      <c r="E36" s="77"/>
      <c r="F36" s="77"/>
      <c r="G36" s="174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</row>
    <row r="37" spans="1:28" s="49" customFormat="1">
      <c r="A37" s="57"/>
      <c r="B37" s="58"/>
      <c r="C37" s="77"/>
      <c r="D37" s="77"/>
      <c r="E37" s="77"/>
      <c r="F37" s="77"/>
      <c r="G37" s="174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</row>
    <row r="38" spans="1:28" s="49" customFormat="1">
      <c r="A38" s="57"/>
      <c r="B38" s="58"/>
      <c r="C38" s="77"/>
      <c r="D38" s="77"/>
      <c r="E38" s="77"/>
      <c r="F38" s="77"/>
      <c r="G38" s="174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</row>
    <row r="39" spans="1:28" s="49" customFormat="1">
      <c r="A39" s="57"/>
      <c r="B39" s="58"/>
      <c r="C39" s="77"/>
      <c r="D39" s="77"/>
      <c r="E39" s="77"/>
      <c r="F39" s="77"/>
      <c r="G39" s="174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</row>
    <row r="40" spans="1:28">
      <c r="B40" s="725" t="s">
        <v>248</v>
      </c>
      <c r="C40" s="65"/>
      <c r="D40" s="65"/>
      <c r="E40" s="65"/>
      <c r="F40" s="65"/>
      <c r="G40" s="67"/>
      <c r="H40" s="55"/>
      <c r="I40" s="55"/>
      <c r="J40" s="55"/>
      <c r="K40" s="55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</row>
    <row r="41" spans="1:28" s="206" customFormat="1">
      <c r="A41" s="175"/>
      <c r="B41" s="293" t="s">
        <v>249</v>
      </c>
      <c r="C41" s="203"/>
      <c r="D41" s="203"/>
      <c r="E41" s="203"/>
      <c r="F41" s="203"/>
      <c r="G41" s="204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</row>
    <row r="42" spans="1:28" s="206" customFormat="1">
      <c r="A42" s="175"/>
      <c r="B42" s="290" t="s">
        <v>209</v>
      </c>
      <c r="C42" s="203">
        <f>C47/'PL"A"'!D9*365</f>
        <v>61.084953822786645</v>
      </c>
      <c r="D42" s="203">
        <f>D47/'PL"A"'!E9*365</f>
        <v>60.647854009863892</v>
      </c>
      <c r="E42" s="203">
        <f>E47/'PL"A"'!F9*365</f>
        <v>51.209528511086205</v>
      </c>
      <c r="F42" s="203">
        <f>F47/'PL"A"'!G9*365</f>
        <v>49.760576246269167</v>
      </c>
      <c r="G42" s="204">
        <f>G47/'PL"A"'!H9*365</f>
        <v>63.208466926072973</v>
      </c>
      <c r="H42" s="291">
        <f>G42</f>
        <v>63.208466926072973</v>
      </c>
      <c r="I42" s="205">
        <f t="shared" ref="I42:T45" si="133">H42</f>
        <v>63.208466926072973</v>
      </c>
      <c r="J42" s="205">
        <f t="shared" si="133"/>
        <v>63.208466926072973</v>
      </c>
      <c r="K42" s="205">
        <f t="shared" si="133"/>
        <v>63.208466926072973</v>
      </c>
      <c r="L42" s="205">
        <f t="shared" si="133"/>
        <v>63.208466926072973</v>
      </c>
      <c r="M42" s="205">
        <f t="shared" si="133"/>
        <v>63.208466926072973</v>
      </c>
      <c r="N42" s="205">
        <f t="shared" si="133"/>
        <v>63.208466926072973</v>
      </c>
      <c r="O42" s="205">
        <f t="shared" si="133"/>
        <v>63.208466926072973</v>
      </c>
      <c r="P42" s="205">
        <f t="shared" si="133"/>
        <v>63.208466926072973</v>
      </c>
      <c r="Q42" s="205">
        <f t="shared" si="133"/>
        <v>63.208466926072973</v>
      </c>
      <c r="R42" s="205">
        <f t="shared" si="133"/>
        <v>63.208466926072973</v>
      </c>
      <c r="S42" s="205">
        <f t="shared" si="133"/>
        <v>63.208466926072973</v>
      </c>
      <c r="T42" s="205">
        <f t="shared" si="133"/>
        <v>63.208466926072973</v>
      </c>
      <c r="U42" s="205">
        <f t="shared" ref="U42:U45" si="134">T42</f>
        <v>63.208466926072973</v>
      </c>
      <c r="V42" s="205">
        <f t="shared" ref="V42:V45" si="135">U42</f>
        <v>63.208466926072973</v>
      </c>
      <c r="W42" s="205">
        <f t="shared" ref="W42:W45" si="136">V42</f>
        <v>63.208466926072973</v>
      </c>
      <c r="X42" s="205">
        <f t="shared" ref="X42:X45" si="137">W42</f>
        <v>63.208466926072973</v>
      </c>
      <c r="Y42" s="205">
        <f t="shared" ref="Y42:Y45" si="138">X42</f>
        <v>63.208466926072973</v>
      </c>
      <c r="Z42" s="205">
        <f t="shared" ref="Z42:Z45" si="139">Y42</f>
        <v>63.208466926072973</v>
      </c>
      <c r="AA42" s="205">
        <f t="shared" ref="AA42:AA45" si="140">Z42</f>
        <v>63.208466926072973</v>
      </c>
      <c r="AB42" s="205">
        <f t="shared" ref="AB42:AB45" si="141">AA42</f>
        <v>63.208466926072973</v>
      </c>
    </row>
    <row r="43" spans="1:28" s="206" customFormat="1">
      <c r="A43" s="175"/>
      <c r="B43" s="290" t="s">
        <v>212</v>
      </c>
      <c r="C43" s="203">
        <f>C48/'PL"A"'!D17*365</f>
        <v>119.13443452312713</v>
      </c>
      <c r="D43" s="203">
        <f>D48/'PL"A"'!E17*365</f>
        <v>163.4062407674476</v>
      </c>
      <c r="E43" s="203">
        <f>E48/'PL"A"'!F17*365</f>
        <v>214.85454161349023</v>
      </c>
      <c r="F43" s="203">
        <f>F48/'PL"A"'!G17*365</f>
        <v>159.08063595980423</v>
      </c>
      <c r="G43" s="204">
        <f>G48/'PL"A"'!H17*365</f>
        <v>180.78518768125534</v>
      </c>
      <c r="H43" s="724">
        <f>G43</f>
        <v>180.78518768125534</v>
      </c>
      <c r="I43" s="295">
        <f t="shared" si="133"/>
        <v>180.78518768125534</v>
      </c>
      <c r="J43" s="295">
        <f t="shared" si="133"/>
        <v>180.78518768125534</v>
      </c>
      <c r="K43" s="295">
        <f t="shared" si="133"/>
        <v>180.78518768125534</v>
      </c>
      <c r="L43" s="295">
        <f t="shared" si="133"/>
        <v>180.78518768125534</v>
      </c>
      <c r="M43" s="295">
        <f t="shared" si="133"/>
        <v>180.78518768125534</v>
      </c>
      <c r="N43" s="295">
        <f t="shared" si="133"/>
        <v>180.78518768125534</v>
      </c>
      <c r="O43" s="295">
        <f t="shared" si="133"/>
        <v>180.78518768125534</v>
      </c>
      <c r="P43" s="295">
        <f t="shared" si="133"/>
        <v>180.78518768125534</v>
      </c>
      <c r="Q43" s="295">
        <f t="shared" si="133"/>
        <v>180.78518768125534</v>
      </c>
      <c r="R43" s="295">
        <f t="shared" si="133"/>
        <v>180.78518768125534</v>
      </c>
      <c r="S43" s="295">
        <f t="shared" si="133"/>
        <v>180.78518768125534</v>
      </c>
      <c r="T43" s="295">
        <f t="shared" si="133"/>
        <v>180.78518768125534</v>
      </c>
      <c r="U43" s="295">
        <f t="shared" si="134"/>
        <v>180.78518768125534</v>
      </c>
      <c r="V43" s="295">
        <f t="shared" si="135"/>
        <v>180.78518768125534</v>
      </c>
      <c r="W43" s="295">
        <f t="shared" si="136"/>
        <v>180.78518768125534</v>
      </c>
      <c r="X43" s="295">
        <f t="shared" si="137"/>
        <v>180.78518768125534</v>
      </c>
      <c r="Y43" s="295">
        <f t="shared" si="138"/>
        <v>180.78518768125534</v>
      </c>
      <c r="Z43" s="295">
        <f t="shared" si="139"/>
        <v>180.78518768125534</v>
      </c>
      <c r="AA43" s="295">
        <f t="shared" si="140"/>
        <v>180.78518768125534</v>
      </c>
      <c r="AB43" s="295">
        <f t="shared" si="141"/>
        <v>180.78518768125534</v>
      </c>
    </row>
    <row r="44" spans="1:28" s="206" customFormat="1">
      <c r="A44" s="175"/>
      <c r="B44" s="290" t="s">
        <v>210</v>
      </c>
      <c r="C44" s="203">
        <f>C49/('PL"A"'!D13)*365</f>
        <v>773.43708904777895</v>
      </c>
      <c r="D44" s="203">
        <f>D49/('PL"A"'!E13)*365</f>
        <v>606.91977912873995</v>
      </c>
      <c r="E44" s="203">
        <f>E49/('PL"A"'!F13)*365</f>
        <v>314.37546636761277</v>
      </c>
      <c r="F44" s="203">
        <f>F49/('PL"A"'!G13)*365</f>
        <v>409.46886847181344</v>
      </c>
      <c r="G44" s="204">
        <f>G49/('PL"A"'!H13)*365</f>
        <v>386.24520243585317</v>
      </c>
      <c r="H44" s="294">
        <f>G44</f>
        <v>386.24520243585317</v>
      </c>
      <c r="I44" s="295">
        <f t="shared" si="133"/>
        <v>386.24520243585317</v>
      </c>
      <c r="J44" s="295">
        <f t="shared" si="133"/>
        <v>386.24520243585317</v>
      </c>
      <c r="K44" s="295">
        <f t="shared" si="133"/>
        <v>386.24520243585317</v>
      </c>
      <c r="L44" s="295">
        <f t="shared" si="133"/>
        <v>386.24520243585317</v>
      </c>
      <c r="M44" s="295">
        <f t="shared" si="133"/>
        <v>386.24520243585317</v>
      </c>
      <c r="N44" s="295">
        <f t="shared" si="133"/>
        <v>386.24520243585317</v>
      </c>
      <c r="O44" s="295">
        <f t="shared" si="133"/>
        <v>386.24520243585317</v>
      </c>
      <c r="P44" s="295">
        <f t="shared" si="133"/>
        <v>386.24520243585317</v>
      </c>
      <c r="Q44" s="295">
        <f t="shared" si="133"/>
        <v>386.24520243585317</v>
      </c>
      <c r="R44" s="295">
        <f t="shared" si="133"/>
        <v>386.24520243585317</v>
      </c>
      <c r="S44" s="295">
        <f t="shared" si="133"/>
        <v>386.24520243585317</v>
      </c>
      <c r="T44" s="295">
        <f t="shared" si="133"/>
        <v>386.24520243585317</v>
      </c>
      <c r="U44" s="295">
        <f t="shared" si="134"/>
        <v>386.24520243585317</v>
      </c>
      <c r="V44" s="295">
        <f t="shared" si="135"/>
        <v>386.24520243585317</v>
      </c>
      <c r="W44" s="295">
        <f t="shared" si="136"/>
        <v>386.24520243585317</v>
      </c>
      <c r="X44" s="295">
        <f t="shared" si="137"/>
        <v>386.24520243585317</v>
      </c>
      <c r="Y44" s="295">
        <f t="shared" si="138"/>
        <v>386.24520243585317</v>
      </c>
      <c r="Z44" s="295">
        <f t="shared" si="139"/>
        <v>386.24520243585317</v>
      </c>
      <c r="AA44" s="295">
        <f t="shared" si="140"/>
        <v>386.24520243585317</v>
      </c>
      <c r="AB44" s="295">
        <f t="shared" si="141"/>
        <v>386.24520243585317</v>
      </c>
    </row>
    <row r="45" spans="1:28" s="73" customFormat="1">
      <c r="A45" s="72"/>
      <c r="B45" s="292" t="s">
        <v>217</v>
      </c>
      <c r="C45" s="296">
        <f>C50/'PL"A"'!D9*365</f>
        <v>4.7951404595951006</v>
      </c>
      <c r="D45" s="296">
        <f>D50/'PL"A"'!E9*365</f>
        <v>5.5012837676082702</v>
      </c>
      <c r="E45" s="296">
        <f>E50/'PL"A"'!F9*365</f>
        <v>7.2390525948648543</v>
      </c>
      <c r="F45" s="296">
        <f>F50/'PL"A"'!G9*365</f>
        <v>13.116616620690897</v>
      </c>
      <c r="G45" s="297">
        <f>G50/'PL"A"'!H9*365</f>
        <v>18.15158596832574</v>
      </c>
      <c r="H45" s="298">
        <f>G45</f>
        <v>18.15158596832574</v>
      </c>
      <c r="I45" s="299">
        <f t="shared" si="133"/>
        <v>18.15158596832574</v>
      </c>
      <c r="J45" s="299">
        <f t="shared" si="133"/>
        <v>18.15158596832574</v>
      </c>
      <c r="K45" s="299">
        <f t="shared" si="133"/>
        <v>18.15158596832574</v>
      </c>
      <c r="L45" s="299">
        <f t="shared" si="133"/>
        <v>18.15158596832574</v>
      </c>
      <c r="M45" s="299">
        <f t="shared" si="133"/>
        <v>18.15158596832574</v>
      </c>
      <c r="N45" s="299">
        <f t="shared" si="133"/>
        <v>18.15158596832574</v>
      </c>
      <c r="O45" s="299">
        <f t="shared" si="133"/>
        <v>18.15158596832574</v>
      </c>
      <c r="P45" s="299">
        <f t="shared" si="133"/>
        <v>18.15158596832574</v>
      </c>
      <c r="Q45" s="299">
        <f t="shared" si="133"/>
        <v>18.15158596832574</v>
      </c>
      <c r="R45" s="299">
        <f t="shared" si="133"/>
        <v>18.15158596832574</v>
      </c>
      <c r="S45" s="299">
        <f t="shared" si="133"/>
        <v>18.15158596832574</v>
      </c>
      <c r="T45" s="299">
        <f t="shared" si="133"/>
        <v>18.15158596832574</v>
      </c>
      <c r="U45" s="299">
        <f t="shared" si="134"/>
        <v>18.15158596832574</v>
      </c>
      <c r="V45" s="299">
        <f t="shared" si="135"/>
        <v>18.15158596832574</v>
      </c>
      <c r="W45" s="299">
        <f t="shared" si="136"/>
        <v>18.15158596832574</v>
      </c>
      <c r="X45" s="299">
        <f t="shared" si="137"/>
        <v>18.15158596832574</v>
      </c>
      <c r="Y45" s="299">
        <f t="shared" si="138"/>
        <v>18.15158596832574</v>
      </c>
      <c r="Z45" s="299">
        <f t="shared" si="139"/>
        <v>18.15158596832574</v>
      </c>
      <c r="AA45" s="299">
        <f t="shared" si="140"/>
        <v>18.15158596832574</v>
      </c>
      <c r="AB45" s="299">
        <f t="shared" si="141"/>
        <v>18.15158596832574</v>
      </c>
    </row>
    <row r="46" spans="1:28" s="206" customFormat="1">
      <c r="A46" s="175"/>
      <c r="B46" s="172" t="s">
        <v>250</v>
      </c>
      <c r="C46" s="203"/>
      <c r="D46" s="203"/>
      <c r="E46" s="203"/>
      <c r="F46" s="203"/>
      <c r="G46" s="204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</row>
    <row r="47" spans="1:28">
      <c r="B47" s="289" t="s">
        <v>211</v>
      </c>
      <c r="C47" s="65">
        <f>'BS"A"'!D34</f>
        <v>15326629.039999999</v>
      </c>
      <c r="D47" s="65">
        <f>'BS"A"'!E34</f>
        <v>16084519.91</v>
      </c>
      <c r="E47" s="65">
        <f>'BS"A"'!F34</f>
        <v>14931860.189999999</v>
      </c>
      <c r="F47" s="65">
        <f>'BS"A"'!G34</f>
        <v>15184155.800000001</v>
      </c>
      <c r="G47" s="67">
        <f>'BS"A"'!H34</f>
        <v>22086269.469999999</v>
      </c>
      <c r="H47" s="55">
        <f>H42*'PL"A"'!I9/365</f>
        <v>23247762.732513636</v>
      </c>
      <c r="I47" s="55">
        <f>I42*'PL"A"'!J9/365</f>
        <v>23115711.77455977</v>
      </c>
      <c r="J47" s="55">
        <f>J42*'PL"A"'!K9/365</f>
        <v>23856584.457561892</v>
      </c>
      <c r="K47" s="55">
        <f>K42*'PL"A"'!L9/365</f>
        <v>25240973.729341626</v>
      </c>
      <c r="L47" s="55">
        <f>L42*'PL"A"'!M9/365</f>
        <v>26262265.204240192</v>
      </c>
      <c r="M47" s="55">
        <f>M42*'PL"A"'!N9/365</f>
        <v>26432403.114042252</v>
      </c>
      <c r="N47" s="55">
        <f>N42*'PL"A"'!O9/365</f>
        <v>27172008.306277718</v>
      </c>
      <c r="O47" s="55">
        <f>O42*'PL"A"'!P9/365</f>
        <v>28301954.277937535</v>
      </c>
      <c r="P47" s="55">
        <f>P42*'PL"A"'!Q9/365</f>
        <v>28422225.543889247</v>
      </c>
      <c r="Q47" s="55">
        <f>Q42*'PL"A"'!R9/365</f>
        <v>28528531.42654942</v>
      </c>
      <c r="R47" s="55">
        <f>R42*'PL"A"'!S9/365</f>
        <v>28641698.581697959</v>
      </c>
      <c r="S47" s="55">
        <f>S42*'PL"A"'!T9/365</f>
        <v>28745698.909513619</v>
      </c>
      <c r="T47" s="55">
        <f>T42*'PL"A"'!U9/365</f>
        <v>28830929.065018751</v>
      </c>
      <c r="U47" s="55">
        <f>U42*'PL"A"'!V9/365</f>
        <v>28901759.753629889</v>
      </c>
      <c r="V47" s="55">
        <f>V42*'PL"A"'!W9/365</f>
        <v>28530102.009230752</v>
      </c>
      <c r="W47" s="55">
        <f>W42*'PL"A"'!X9/365</f>
        <v>28530102.009230752</v>
      </c>
      <c r="X47" s="55">
        <f>X42*'PL"A"'!Y9/365</f>
        <v>28530102.009230752</v>
      </c>
      <c r="Y47" s="55">
        <f>Y42*'PL"A"'!Z9/365</f>
        <v>28530102.009230752</v>
      </c>
      <c r="Z47" s="55">
        <f>Z42*'PL"A"'!AA9/365</f>
        <v>28530102.009230752</v>
      </c>
      <c r="AA47" s="55">
        <f>AA42*'PL"A"'!AB9/365</f>
        <v>28530102.009230752</v>
      </c>
      <c r="AB47" s="55">
        <f>AB42*'PL"A"'!AC9/365</f>
        <v>28530102.009230752</v>
      </c>
    </row>
    <row r="48" spans="1:28">
      <c r="B48" s="289" t="s">
        <v>212</v>
      </c>
      <c r="C48" s="65">
        <f>SUM('BS"A"'!D75:D76)</f>
        <v>21826724.93</v>
      </c>
      <c r="D48" s="65">
        <f>SUM('BS"A"'!E75:E76)</f>
        <v>30594286.859999999</v>
      </c>
      <c r="E48" s="65">
        <f>SUM('BS"A"'!F75:F76)</f>
        <v>44560734.939999998</v>
      </c>
      <c r="F48" s="65">
        <f>SUM('BS"A"'!G75:G76)</f>
        <v>37953920.25</v>
      </c>
      <c r="G48" s="67">
        <f>SUM('BS"A"'!H75:H76)</f>
        <v>56500059.469999999</v>
      </c>
      <c r="H48" s="55">
        <f>'PL"A"'!I17/365*H43</f>
        <v>56500059.469999991</v>
      </c>
      <c r="I48" s="55">
        <f>'PL"A"'!J17/365*I43</f>
        <v>56149164.615565069</v>
      </c>
      <c r="J48" s="55">
        <f>'PL"A"'!K17/365*J43</f>
        <v>57477913.721371233</v>
      </c>
      <c r="K48" s="55">
        <f>'PL"A"'!L17/365*K43</f>
        <v>58917952.898387447</v>
      </c>
      <c r="L48" s="55">
        <f>'PL"A"'!M17/365*L43</f>
        <v>59599998.822776198</v>
      </c>
      <c r="M48" s="55">
        <f>'PL"A"'!N17/365*M43</f>
        <v>58712857.233907156</v>
      </c>
      <c r="N48" s="55">
        <f>'PL"A"'!O17/365*N43</f>
        <v>58060107.243591063</v>
      </c>
      <c r="O48" s="55">
        <f>'PL"A"'!P17/365*O43</f>
        <v>58813228.434383512</v>
      </c>
      <c r="P48" s="55">
        <f>'PL"A"'!Q17/365*P43</f>
        <v>57846018.401132338</v>
      </c>
      <c r="Q48" s="55">
        <f>'PL"A"'!R17/365*Q43</f>
        <v>57919496.183500223</v>
      </c>
      <c r="R48" s="55">
        <f>'PL"A"'!S17/365*R43</f>
        <v>58003604.689764693</v>
      </c>
      <c r="S48" s="55">
        <f>'PL"A"'!T17/365*S43</f>
        <v>58072079.950023189</v>
      </c>
      <c r="T48" s="55">
        <f>'PL"A"'!U17/365*T43</f>
        <v>58109365.831546128</v>
      </c>
      <c r="U48" s="55">
        <f>'PL"A"'!V17/365*U43</f>
        <v>58122776.158803403</v>
      </c>
      <c r="V48" s="55">
        <f>'PL"A"'!W17/365*V43</f>
        <v>58122776.158803403</v>
      </c>
      <c r="W48" s="55">
        <f>'PL"A"'!X17/365*W43</f>
        <v>58122776.158803403</v>
      </c>
      <c r="X48" s="55">
        <f>'PL"A"'!Y17/365*X43</f>
        <v>58122776.158803403</v>
      </c>
      <c r="Y48" s="55">
        <f>'PL"A"'!Z17/365*Y43</f>
        <v>58122776.158803403</v>
      </c>
      <c r="Z48" s="55">
        <f>'PL"A"'!AA17/365*Z43</f>
        <v>58122776.158803403</v>
      </c>
      <c r="AA48" s="55">
        <f>'PL"A"'!AB17/365*AA43</f>
        <v>58122776.158803403</v>
      </c>
      <c r="AB48" s="55">
        <f>'PL"A"'!AC17/365*AB43</f>
        <v>58122776.158803403</v>
      </c>
    </row>
    <row r="49" spans="2:28">
      <c r="B49" s="289" t="s">
        <v>213</v>
      </c>
      <c r="C49" s="65">
        <f>'BS"A"'!D72</f>
        <v>88478742.439999998</v>
      </c>
      <c r="D49" s="65">
        <f>'BS"A"'!E72</f>
        <v>74291543.040000007</v>
      </c>
      <c r="E49" s="65">
        <f>'BS"A"'!F72</f>
        <v>45280650.93</v>
      </c>
      <c r="F49" s="65">
        <f>'BS"A"'!G72</f>
        <v>62512564.100000001</v>
      </c>
      <c r="G49" s="67">
        <f>'BS"A"'!H72</f>
        <v>65614825.579999998</v>
      </c>
      <c r="H49" s="55">
        <f>H44*('PL"A"'!I13)/365</f>
        <v>68604144.69791624</v>
      </c>
      <c r="I49" s="55">
        <f>I44*('PL"A"'!J13)/365</f>
        <v>68201351.035740435</v>
      </c>
      <c r="J49" s="55">
        <f>J44*('PL"A"'!K13)/365</f>
        <v>69751904.381822512</v>
      </c>
      <c r="K49" s="55">
        <f>K44*('PL"A"'!L13)/365</f>
        <v>72730092.579542145</v>
      </c>
      <c r="L49" s="55">
        <f>L44*('PL"A"'!M13)/365</f>
        <v>74886719.468749717</v>
      </c>
      <c r="M49" s="55">
        <f>M44*('PL"A"'!N13)/365</f>
        <v>75142732.408669338</v>
      </c>
      <c r="N49" s="55">
        <f>N44*('PL"A"'!O13)/365</f>
        <v>76658768.119186044</v>
      </c>
      <c r="O49" s="55">
        <f>O44*('PL"A"'!P13)/365</f>
        <v>79032348.851660118</v>
      </c>
      <c r="P49" s="55">
        <f>P44*('PL"A"'!Q13)/365</f>
        <v>77796745.036961555</v>
      </c>
      <c r="Q49" s="55">
        <f>Q44*('PL"A"'!R13)/365</f>
        <v>77901085.975655779</v>
      </c>
      <c r="R49" s="55">
        <f>R44*('PL"A"'!S13)/365</f>
        <v>78019523.392790258</v>
      </c>
      <c r="S49" s="55">
        <f>S44*('PL"A"'!T13)/365</f>
        <v>78117187.86095199</v>
      </c>
      <c r="T49" s="55">
        <f>T44*('PL"A"'!U13)/365</f>
        <v>78173413.908453509</v>
      </c>
      <c r="U49" s="55">
        <f>U44*('PL"A"'!V13)/365</f>
        <v>78197900.675133035</v>
      </c>
      <c r="V49" s="55">
        <f>V44*('PL"A"'!W13)/365</f>
        <v>78197900.675133035</v>
      </c>
      <c r="W49" s="55">
        <f>W44*('PL"A"'!X13)/365</f>
        <v>78197900.675133035</v>
      </c>
      <c r="X49" s="55">
        <f>X44*('PL"A"'!Y13)/365</f>
        <v>78197900.675133035</v>
      </c>
      <c r="Y49" s="55">
        <f>Y44*('PL"A"'!Z13)/365</f>
        <v>78197900.675133035</v>
      </c>
      <c r="Z49" s="55">
        <f>Z44*('PL"A"'!AA13)/365</f>
        <v>78197900.675133035</v>
      </c>
      <c r="AA49" s="55">
        <f>AA44*('PL"A"'!AB13)/365</f>
        <v>78197900.675133035</v>
      </c>
      <c r="AB49" s="55">
        <f>AB44*('PL"A"'!AC13)/365</f>
        <v>78197900.675133035</v>
      </c>
    </row>
    <row r="50" spans="2:28">
      <c r="B50" s="302" t="s">
        <v>214</v>
      </c>
      <c r="C50" s="285">
        <f>'BS"A"'!D23</f>
        <v>1203133.25</v>
      </c>
      <c r="D50" s="285">
        <f>'BS"A"'!E23</f>
        <v>1459004.77</v>
      </c>
      <c r="E50" s="285">
        <f>'BS"A"'!F23</f>
        <v>2110789.23</v>
      </c>
      <c r="F50" s="285">
        <f>'BS"A"'!G23</f>
        <v>4002460.69</v>
      </c>
      <c r="G50" s="286">
        <f>'BS"A"'!H23</f>
        <v>6342517.6800000006</v>
      </c>
      <c r="H50" s="303">
        <f>H45*'PL"A"'!I9/365</f>
        <v>6676063.8935287297</v>
      </c>
      <c r="I50" s="303">
        <f>I45*'PL"A"'!J9/365</f>
        <v>6638142.7979529928</v>
      </c>
      <c r="J50" s="303">
        <f>J45*'PL"A"'!K9/365</f>
        <v>6850899.3296503285</v>
      </c>
      <c r="K50" s="303">
        <f>K45*'PL"A"'!L9/365</f>
        <v>7248454.6272614514</v>
      </c>
      <c r="L50" s="303">
        <f>L45*'PL"A"'!M9/365</f>
        <v>7541739.0701039145</v>
      </c>
      <c r="M50" s="303">
        <f>M45*'PL"A"'!N9/365</f>
        <v>7590597.6019815383</v>
      </c>
      <c r="N50" s="303">
        <f>N45*'PL"A"'!O9/365</f>
        <v>7802990.1481444398</v>
      </c>
      <c r="O50" s="303">
        <f>O45*'PL"A"'!P9/365</f>
        <v>8127476.9209075719</v>
      </c>
      <c r="P50" s="303">
        <f>P45*'PL"A"'!Q9/365</f>
        <v>8162015.2403702969</v>
      </c>
      <c r="Q50" s="303">
        <f>Q45*'PL"A"'!R9/365</f>
        <v>8192543.1183886277</v>
      </c>
      <c r="R50" s="303">
        <f>R45*'PL"A"'!S9/365</f>
        <v>8225041.349169516</v>
      </c>
      <c r="S50" s="303">
        <f>S45*'PL"A"'!T9/365</f>
        <v>8254907.1406193841</v>
      </c>
      <c r="T50" s="303">
        <f>T45*'PL"A"'!U9/365</f>
        <v>8279382.6985625084</v>
      </c>
      <c r="U50" s="303">
        <f>U45*'PL"A"'!V9/365</f>
        <v>8299723.1592008667</v>
      </c>
      <c r="V50" s="303">
        <f>V45*'PL"A"'!W9/365</f>
        <v>8192994.1428786535</v>
      </c>
      <c r="W50" s="303">
        <f>W45*'PL"A"'!X9/365</f>
        <v>8192994.1428786535</v>
      </c>
      <c r="X50" s="303">
        <f>X45*'PL"A"'!Y9/365</f>
        <v>8192994.1428786535</v>
      </c>
      <c r="Y50" s="303">
        <f>Y45*'PL"A"'!Z9/365</f>
        <v>8192994.1428786535</v>
      </c>
      <c r="Z50" s="303">
        <f>Z45*'PL"A"'!AA9/365</f>
        <v>8192994.1428786535</v>
      </c>
      <c r="AA50" s="303">
        <f>AA45*'PL"A"'!AB9/365</f>
        <v>8192994.1428786535</v>
      </c>
      <c r="AB50" s="303">
        <f>AB45*'PL"A"'!AC9/365</f>
        <v>8192994.1428786535</v>
      </c>
    </row>
    <row r="51" spans="2:28">
      <c r="B51" s="289"/>
      <c r="C51" s="65"/>
      <c r="D51" s="65"/>
      <c r="E51" s="65"/>
      <c r="F51" s="65"/>
      <c r="G51" s="6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2:28">
      <c r="B52" s="726" t="s">
        <v>215</v>
      </c>
      <c r="C52" s="65"/>
      <c r="D52" s="65"/>
      <c r="E52" s="65"/>
      <c r="F52" s="65"/>
      <c r="G52" s="6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2:28">
      <c r="B53" s="293" t="s">
        <v>252</v>
      </c>
      <c r="C53" s="65"/>
      <c r="D53" s="65"/>
      <c r="E53" s="65"/>
      <c r="F53" s="65"/>
      <c r="G53" s="67"/>
      <c r="H53" s="55"/>
      <c r="I53" s="55"/>
      <c r="J53" s="55"/>
      <c r="K53" s="55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</row>
    <row r="54" spans="2:28">
      <c r="B54" s="289" t="str">
        <f>'BS"A"'!B67</f>
        <v>Transfers - State</v>
      </c>
      <c r="C54" s="65">
        <f>'BS"A"'!D67</f>
        <v>31063760.27</v>
      </c>
      <c r="D54" s="65">
        <f>'BS"A"'!E67</f>
        <v>30281763.219999999</v>
      </c>
      <c r="E54" s="65">
        <f>'BS"A"'!F67</f>
        <v>39388919.100000001</v>
      </c>
      <c r="F54" s="65">
        <f>'BS"A"'!G67</f>
        <v>42897420.07</v>
      </c>
      <c r="G54" s="67">
        <f>'BS"A"'!H67</f>
        <v>50056147.979999997</v>
      </c>
      <c r="H54" s="55">
        <f>G54+H62</f>
        <v>50056147.979999997</v>
      </c>
      <c r="I54" s="55">
        <f t="shared" ref="I54:T56" si="142">H54+I62</f>
        <v>50056147.979999997</v>
      </c>
      <c r="J54" s="55">
        <f t="shared" si="142"/>
        <v>50056147.979999997</v>
      </c>
      <c r="K54" s="55">
        <f t="shared" si="142"/>
        <v>50056147.979999997</v>
      </c>
      <c r="L54" s="55">
        <f t="shared" si="142"/>
        <v>50056147.979999997</v>
      </c>
      <c r="M54" s="55">
        <f t="shared" si="142"/>
        <v>50056147.979999997</v>
      </c>
      <c r="N54" s="55">
        <f t="shared" si="142"/>
        <v>50056147.979999997</v>
      </c>
      <c r="O54" s="55">
        <f t="shared" si="142"/>
        <v>50056147.979999997</v>
      </c>
      <c r="P54" s="55">
        <f t="shared" si="142"/>
        <v>50056147.979999997</v>
      </c>
      <c r="Q54" s="55">
        <f t="shared" si="142"/>
        <v>50056147.979999997</v>
      </c>
      <c r="R54" s="55">
        <f t="shared" si="142"/>
        <v>50056147.979999997</v>
      </c>
      <c r="S54" s="55">
        <f t="shared" si="142"/>
        <v>50056147.979999997</v>
      </c>
      <c r="T54" s="55">
        <f t="shared" si="142"/>
        <v>50056147.979999997</v>
      </c>
      <c r="U54" s="55">
        <f t="shared" ref="U54:U56" si="143">T54+U62</f>
        <v>50056147.979999997</v>
      </c>
      <c r="V54" s="55">
        <f t="shared" ref="V54:V56" si="144">U54+V62</f>
        <v>50056147.979999997</v>
      </c>
      <c r="W54" s="55">
        <f t="shared" ref="W54:W56" si="145">V54+W62</f>
        <v>50056147.979999997</v>
      </c>
      <c r="X54" s="55">
        <f t="shared" ref="X54:X56" si="146">W54+X62</f>
        <v>50056147.979999997</v>
      </c>
      <c r="Y54" s="55">
        <f t="shared" ref="Y54:Y56" si="147">X54+Y62</f>
        <v>50056147.979999997</v>
      </c>
      <c r="Z54" s="55">
        <f t="shared" ref="Z54:Z56" si="148">Y54+Z62</f>
        <v>50056147.979999997</v>
      </c>
      <c r="AA54" s="55">
        <f t="shared" ref="AA54:AA56" si="149">Z54+AA62</f>
        <v>50056147.979999997</v>
      </c>
      <c r="AB54" s="55">
        <f t="shared" ref="AB54:AB56" si="150">AA54+AB62</f>
        <v>50056147.979999997</v>
      </c>
    </row>
    <row r="55" spans="2:28">
      <c r="B55" s="289" t="str">
        <f>'BS"A"'!B81</f>
        <v>Navratne financne vypomoci</v>
      </c>
      <c r="C55" s="65">
        <f>'BS"A"'!D81</f>
        <v>608873.73</v>
      </c>
      <c r="D55" s="65">
        <f>'BS"A"'!E81</f>
        <v>608873.73</v>
      </c>
      <c r="E55" s="65">
        <f>'BS"A"'!F81</f>
        <v>608873.73</v>
      </c>
      <c r="F55" s="65">
        <f>'BS"A"'!G81</f>
        <v>608873.73</v>
      </c>
      <c r="G55" s="67">
        <f>'BS"A"'!H81</f>
        <v>608873.73</v>
      </c>
      <c r="H55" s="55">
        <f t="shared" ref="H55:I56" si="151">G55+H63</f>
        <v>608873.73</v>
      </c>
      <c r="I55" s="55">
        <f>H55+I63</f>
        <v>608873.73</v>
      </c>
      <c r="J55" s="55">
        <f t="shared" si="142"/>
        <v>608873.73</v>
      </c>
      <c r="K55" s="55">
        <f t="shared" si="142"/>
        <v>608873.73</v>
      </c>
      <c r="L55" s="55">
        <f t="shared" si="142"/>
        <v>608873.73</v>
      </c>
      <c r="M55" s="55">
        <f t="shared" si="142"/>
        <v>608873.73</v>
      </c>
      <c r="N55" s="55">
        <f t="shared" si="142"/>
        <v>608873.73</v>
      </c>
      <c r="O55" s="55">
        <f t="shared" si="142"/>
        <v>608873.73</v>
      </c>
      <c r="P55" s="55">
        <f t="shared" si="142"/>
        <v>608873.73</v>
      </c>
      <c r="Q55" s="55">
        <f t="shared" si="142"/>
        <v>608873.73</v>
      </c>
      <c r="R55" s="55">
        <f t="shared" si="142"/>
        <v>608873.73</v>
      </c>
      <c r="S55" s="55">
        <f t="shared" si="142"/>
        <v>608873.73</v>
      </c>
      <c r="T55" s="55">
        <f t="shared" si="142"/>
        <v>608873.73</v>
      </c>
      <c r="U55" s="55">
        <f t="shared" si="143"/>
        <v>608873.73</v>
      </c>
      <c r="V55" s="55">
        <f t="shared" si="144"/>
        <v>608873.73</v>
      </c>
      <c r="W55" s="55">
        <f t="shared" si="145"/>
        <v>608873.73</v>
      </c>
      <c r="X55" s="55">
        <f t="shared" si="146"/>
        <v>608873.73</v>
      </c>
      <c r="Y55" s="55">
        <f t="shared" si="147"/>
        <v>608873.73</v>
      </c>
      <c r="Z55" s="55">
        <f t="shared" si="148"/>
        <v>608873.73</v>
      </c>
      <c r="AA55" s="55">
        <f t="shared" si="149"/>
        <v>608873.73</v>
      </c>
      <c r="AB55" s="55">
        <f t="shared" si="150"/>
        <v>608873.73</v>
      </c>
    </row>
    <row r="56" spans="2:28">
      <c r="B56" s="289" t="str">
        <f>'BS"A"'!B78</f>
        <v>Other payables</v>
      </c>
      <c r="C56" s="65">
        <f>'BS"A"'!D78</f>
        <v>1231904.6400000006</v>
      </c>
      <c r="D56" s="65">
        <f>'BS"A"'!E78</f>
        <v>3834157.4699999988</v>
      </c>
      <c r="E56" s="65">
        <f>'BS"A"'!F78</f>
        <v>21913017.329999998</v>
      </c>
      <c r="F56" s="65">
        <f>'BS"A"'!G78</f>
        <v>25362671.829999998</v>
      </c>
      <c r="G56" s="67">
        <f>'BS"A"'!H78</f>
        <v>31200938.980000004</v>
      </c>
      <c r="H56" s="55">
        <f t="shared" si="151"/>
        <v>31200938.980000004</v>
      </c>
      <c r="I56" s="55">
        <f t="shared" si="151"/>
        <v>31200938.980000004</v>
      </c>
      <c r="J56" s="55">
        <f t="shared" si="142"/>
        <v>31200938.980000004</v>
      </c>
      <c r="K56" s="55">
        <f t="shared" si="142"/>
        <v>31200938.980000004</v>
      </c>
      <c r="L56" s="55">
        <f t="shared" si="142"/>
        <v>31200938.980000004</v>
      </c>
      <c r="M56" s="55">
        <f t="shared" si="142"/>
        <v>31200938.980000004</v>
      </c>
      <c r="N56" s="55">
        <f t="shared" si="142"/>
        <v>31200938.980000004</v>
      </c>
      <c r="O56" s="55">
        <f t="shared" si="142"/>
        <v>31200938.980000004</v>
      </c>
      <c r="P56" s="55">
        <f t="shared" si="142"/>
        <v>31200938.980000004</v>
      </c>
      <c r="Q56" s="55">
        <f t="shared" si="142"/>
        <v>31200938.980000004</v>
      </c>
      <c r="R56" s="55">
        <f t="shared" si="142"/>
        <v>31200938.980000004</v>
      </c>
      <c r="S56" s="55">
        <f t="shared" si="142"/>
        <v>31200938.980000004</v>
      </c>
      <c r="T56" s="55">
        <f t="shared" si="142"/>
        <v>31200938.980000004</v>
      </c>
      <c r="U56" s="55">
        <f t="shared" si="143"/>
        <v>31200938.980000004</v>
      </c>
      <c r="V56" s="55">
        <f t="shared" si="144"/>
        <v>31200938.980000004</v>
      </c>
      <c r="W56" s="55">
        <f t="shared" si="145"/>
        <v>31200938.980000004</v>
      </c>
      <c r="X56" s="55">
        <f t="shared" si="146"/>
        <v>31200938.980000004</v>
      </c>
      <c r="Y56" s="55">
        <f t="shared" si="147"/>
        <v>31200938.980000004</v>
      </c>
      <c r="Z56" s="55">
        <f t="shared" si="148"/>
        <v>31200938.980000004</v>
      </c>
      <c r="AA56" s="55">
        <f t="shared" si="149"/>
        <v>31200938.980000004</v>
      </c>
      <c r="AB56" s="55">
        <f t="shared" si="150"/>
        <v>31200938.980000004</v>
      </c>
    </row>
    <row r="57" spans="2:28">
      <c r="B57" s="293" t="s">
        <v>254</v>
      </c>
      <c r="C57" s="65"/>
      <c r="D57" s="65"/>
      <c r="E57" s="65"/>
      <c r="F57" s="65"/>
      <c r="G57" s="67"/>
      <c r="H57" s="55"/>
      <c r="I57" s="55"/>
      <c r="J57" s="55"/>
      <c r="K57" s="55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</row>
    <row r="58" spans="2:28">
      <c r="B58" s="289" t="str">
        <f>B54</f>
        <v>Transfers - State</v>
      </c>
      <c r="C58" s="65"/>
      <c r="D58" s="65"/>
      <c r="E58" s="65"/>
      <c r="F58" s="65"/>
      <c r="G58" s="67"/>
      <c r="H58" s="55">
        <f>H66*SUM(H54)</f>
        <v>0</v>
      </c>
      <c r="I58" s="55">
        <f t="shared" ref="I58:T58" si="152">I66*SUM(I54)</f>
        <v>0</v>
      </c>
      <c r="J58" s="55">
        <f t="shared" si="152"/>
        <v>0</v>
      </c>
      <c r="K58" s="55">
        <f t="shared" si="152"/>
        <v>0</v>
      </c>
      <c r="L58" s="55">
        <f t="shared" si="152"/>
        <v>0</v>
      </c>
      <c r="M58" s="55">
        <f t="shared" si="152"/>
        <v>0</v>
      </c>
      <c r="N58" s="55">
        <f t="shared" si="152"/>
        <v>0</v>
      </c>
      <c r="O58" s="55">
        <f t="shared" si="152"/>
        <v>0</v>
      </c>
      <c r="P58" s="55">
        <f t="shared" si="152"/>
        <v>0</v>
      </c>
      <c r="Q58" s="55">
        <f t="shared" si="152"/>
        <v>0</v>
      </c>
      <c r="R58" s="55">
        <f t="shared" si="152"/>
        <v>0</v>
      </c>
      <c r="S58" s="55">
        <f t="shared" si="152"/>
        <v>0</v>
      </c>
      <c r="T58" s="55">
        <f t="shared" si="152"/>
        <v>0</v>
      </c>
      <c r="U58" s="55">
        <f t="shared" ref="U58:AB58" si="153">U66*SUM(U54)</f>
        <v>0</v>
      </c>
      <c r="V58" s="55">
        <f t="shared" si="153"/>
        <v>0</v>
      </c>
      <c r="W58" s="55">
        <f t="shared" si="153"/>
        <v>0</v>
      </c>
      <c r="X58" s="55">
        <f t="shared" si="153"/>
        <v>0</v>
      </c>
      <c r="Y58" s="55">
        <f t="shared" si="153"/>
        <v>0</v>
      </c>
      <c r="Z58" s="55">
        <f t="shared" si="153"/>
        <v>0</v>
      </c>
      <c r="AA58" s="55">
        <f t="shared" si="153"/>
        <v>0</v>
      </c>
      <c r="AB58" s="55">
        <f t="shared" si="153"/>
        <v>0</v>
      </c>
    </row>
    <row r="59" spans="2:28">
      <c r="B59" s="289" t="str">
        <f>B55</f>
        <v>Navratne financne vypomoci</v>
      </c>
      <c r="C59" s="65"/>
      <c r="D59" s="65"/>
      <c r="E59" s="65"/>
      <c r="F59" s="65"/>
      <c r="G59" s="67"/>
      <c r="H59" s="55">
        <f>H67*SUM(H55)</f>
        <v>0</v>
      </c>
      <c r="I59" s="55">
        <f t="shared" ref="I59:T59" si="154">I67*SUM(I55)</f>
        <v>0</v>
      </c>
      <c r="J59" s="55">
        <f t="shared" si="154"/>
        <v>0</v>
      </c>
      <c r="K59" s="55">
        <f t="shared" si="154"/>
        <v>0</v>
      </c>
      <c r="L59" s="55">
        <f t="shared" si="154"/>
        <v>0</v>
      </c>
      <c r="M59" s="55">
        <f t="shared" si="154"/>
        <v>0</v>
      </c>
      <c r="N59" s="55">
        <f t="shared" si="154"/>
        <v>0</v>
      </c>
      <c r="O59" s="55">
        <f t="shared" si="154"/>
        <v>0</v>
      </c>
      <c r="P59" s="55">
        <f t="shared" si="154"/>
        <v>0</v>
      </c>
      <c r="Q59" s="55">
        <f t="shared" si="154"/>
        <v>0</v>
      </c>
      <c r="R59" s="55">
        <f t="shared" si="154"/>
        <v>0</v>
      </c>
      <c r="S59" s="55">
        <f t="shared" si="154"/>
        <v>0</v>
      </c>
      <c r="T59" s="55">
        <f t="shared" si="154"/>
        <v>0</v>
      </c>
      <c r="U59" s="55">
        <f t="shared" ref="U59:AB59" si="155">U67*SUM(U55)</f>
        <v>0</v>
      </c>
      <c r="V59" s="55">
        <f t="shared" si="155"/>
        <v>0</v>
      </c>
      <c r="W59" s="55">
        <f t="shared" si="155"/>
        <v>0</v>
      </c>
      <c r="X59" s="55">
        <f t="shared" si="155"/>
        <v>0</v>
      </c>
      <c r="Y59" s="55">
        <f t="shared" si="155"/>
        <v>0</v>
      </c>
      <c r="Z59" s="55">
        <f t="shared" si="155"/>
        <v>0</v>
      </c>
      <c r="AA59" s="55">
        <f t="shared" si="155"/>
        <v>0</v>
      </c>
      <c r="AB59" s="55">
        <f t="shared" si="155"/>
        <v>0</v>
      </c>
    </row>
    <row r="60" spans="2:28">
      <c r="B60" s="289" t="str">
        <f>B56</f>
        <v>Other payables</v>
      </c>
      <c r="C60" s="65"/>
      <c r="D60" s="65"/>
      <c r="E60" s="65"/>
      <c r="F60" s="65"/>
      <c r="G60" s="67"/>
      <c r="H60" s="55">
        <f>H68*H56</f>
        <v>0</v>
      </c>
      <c r="I60" s="55">
        <f t="shared" ref="I60:T60" si="156">I68*I56</f>
        <v>0</v>
      </c>
      <c r="J60" s="55">
        <f t="shared" si="156"/>
        <v>0</v>
      </c>
      <c r="K60" s="55">
        <f t="shared" si="156"/>
        <v>0</v>
      </c>
      <c r="L60" s="55">
        <f t="shared" si="156"/>
        <v>0</v>
      </c>
      <c r="M60" s="55">
        <f t="shared" si="156"/>
        <v>0</v>
      </c>
      <c r="N60" s="55">
        <f t="shared" si="156"/>
        <v>0</v>
      </c>
      <c r="O60" s="55">
        <f t="shared" si="156"/>
        <v>0</v>
      </c>
      <c r="P60" s="55">
        <f t="shared" si="156"/>
        <v>0</v>
      </c>
      <c r="Q60" s="55">
        <f t="shared" si="156"/>
        <v>0</v>
      </c>
      <c r="R60" s="55">
        <f t="shared" si="156"/>
        <v>0</v>
      </c>
      <c r="S60" s="55">
        <f t="shared" si="156"/>
        <v>0</v>
      </c>
      <c r="T60" s="55">
        <f t="shared" si="156"/>
        <v>0</v>
      </c>
      <c r="U60" s="55">
        <f t="shared" ref="U60:AB60" si="157">U68*U56</f>
        <v>0</v>
      </c>
      <c r="V60" s="55">
        <f t="shared" si="157"/>
        <v>0</v>
      </c>
      <c r="W60" s="55">
        <f t="shared" si="157"/>
        <v>0</v>
      </c>
      <c r="X60" s="55">
        <f t="shared" si="157"/>
        <v>0</v>
      </c>
      <c r="Y60" s="55">
        <f t="shared" si="157"/>
        <v>0</v>
      </c>
      <c r="Z60" s="55">
        <f t="shared" si="157"/>
        <v>0</v>
      </c>
      <c r="AA60" s="55">
        <f t="shared" si="157"/>
        <v>0</v>
      </c>
      <c r="AB60" s="55">
        <f t="shared" si="157"/>
        <v>0</v>
      </c>
    </row>
    <row r="61" spans="2:28">
      <c r="B61" s="293" t="s">
        <v>253</v>
      </c>
      <c r="C61" s="65"/>
      <c r="D61" s="65"/>
      <c r="E61" s="65"/>
      <c r="F61" s="65"/>
      <c r="G61" s="67"/>
      <c r="H61" s="55"/>
      <c r="I61" s="55"/>
      <c r="J61" s="55"/>
      <c r="K61" s="55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</row>
    <row r="62" spans="2:28">
      <c r="B62" s="289" t="str">
        <f>B58</f>
        <v>Transfers - State</v>
      </c>
      <c r="C62" s="65"/>
      <c r="D62" s="65"/>
      <c r="E62" s="65"/>
      <c r="F62" s="65"/>
      <c r="G62" s="67"/>
      <c r="H62" s="56">
        <v>0</v>
      </c>
      <c r="I62" s="56">
        <v>0</v>
      </c>
      <c r="J62" s="55">
        <f>I62</f>
        <v>0</v>
      </c>
      <c r="K62" s="55">
        <f>J62</f>
        <v>0</v>
      </c>
      <c r="L62" s="55">
        <f t="shared" ref="L62:T64" si="158">K62</f>
        <v>0</v>
      </c>
      <c r="M62" s="55">
        <f t="shared" si="158"/>
        <v>0</v>
      </c>
      <c r="N62" s="55">
        <f t="shared" si="158"/>
        <v>0</v>
      </c>
      <c r="O62" s="55">
        <f t="shared" si="158"/>
        <v>0</v>
      </c>
      <c r="P62" s="55">
        <f t="shared" si="158"/>
        <v>0</v>
      </c>
      <c r="Q62" s="55">
        <f t="shared" si="158"/>
        <v>0</v>
      </c>
      <c r="R62" s="55">
        <f t="shared" si="158"/>
        <v>0</v>
      </c>
      <c r="S62" s="55">
        <f t="shared" si="158"/>
        <v>0</v>
      </c>
      <c r="T62" s="55">
        <f t="shared" si="158"/>
        <v>0</v>
      </c>
      <c r="U62" s="55">
        <f t="shared" ref="U62:U64" si="159">T62</f>
        <v>0</v>
      </c>
      <c r="V62" s="55">
        <f t="shared" ref="V62:V64" si="160">U62</f>
        <v>0</v>
      </c>
      <c r="W62" s="55">
        <f t="shared" ref="W62:W64" si="161">V62</f>
        <v>0</v>
      </c>
      <c r="X62" s="55">
        <f t="shared" ref="X62:X64" si="162">W62</f>
        <v>0</v>
      </c>
      <c r="Y62" s="55">
        <f t="shared" ref="Y62:Y64" si="163">X62</f>
        <v>0</v>
      </c>
      <c r="Z62" s="55">
        <f t="shared" ref="Z62:Z64" si="164">Y62</f>
        <v>0</v>
      </c>
      <c r="AA62" s="55">
        <f t="shared" ref="AA62:AA64" si="165">Z62</f>
        <v>0</v>
      </c>
      <c r="AB62" s="55">
        <f t="shared" ref="AB62:AB64" si="166">AA62</f>
        <v>0</v>
      </c>
    </row>
    <row r="63" spans="2:28">
      <c r="B63" s="289" t="str">
        <f>B59</f>
        <v>Navratne financne vypomoci</v>
      </c>
      <c r="C63" s="65"/>
      <c r="D63" s="65"/>
      <c r="E63" s="65"/>
      <c r="F63" s="65"/>
      <c r="G63" s="67"/>
      <c r="H63" s="56">
        <f>G63</f>
        <v>0</v>
      </c>
      <c r="I63" s="55">
        <f>H63</f>
        <v>0</v>
      </c>
      <c r="J63" s="55">
        <f t="shared" ref="J63:K63" si="167">I63</f>
        <v>0</v>
      </c>
      <c r="K63" s="55">
        <f t="shared" si="167"/>
        <v>0</v>
      </c>
      <c r="L63" s="55">
        <f t="shared" si="158"/>
        <v>0</v>
      </c>
      <c r="M63" s="55">
        <f t="shared" si="158"/>
        <v>0</v>
      </c>
      <c r="N63" s="55">
        <f t="shared" si="158"/>
        <v>0</v>
      </c>
      <c r="O63" s="55">
        <f t="shared" si="158"/>
        <v>0</v>
      </c>
      <c r="P63" s="55">
        <f t="shared" si="158"/>
        <v>0</v>
      </c>
      <c r="Q63" s="55">
        <f t="shared" si="158"/>
        <v>0</v>
      </c>
      <c r="R63" s="55">
        <f t="shared" si="158"/>
        <v>0</v>
      </c>
      <c r="S63" s="55">
        <f t="shared" si="158"/>
        <v>0</v>
      </c>
      <c r="T63" s="55">
        <f t="shared" si="158"/>
        <v>0</v>
      </c>
      <c r="U63" s="55">
        <f t="shared" si="159"/>
        <v>0</v>
      </c>
      <c r="V63" s="55">
        <f t="shared" si="160"/>
        <v>0</v>
      </c>
      <c r="W63" s="55">
        <f t="shared" si="161"/>
        <v>0</v>
      </c>
      <c r="X63" s="55">
        <f t="shared" si="162"/>
        <v>0</v>
      </c>
      <c r="Y63" s="55">
        <f t="shared" si="163"/>
        <v>0</v>
      </c>
      <c r="Z63" s="55">
        <f t="shared" si="164"/>
        <v>0</v>
      </c>
      <c r="AA63" s="55">
        <f t="shared" si="165"/>
        <v>0</v>
      </c>
      <c r="AB63" s="55">
        <f t="shared" si="166"/>
        <v>0</v>
      </c>
    </row>
    <row r="64" spans="2:28">
      <c r="B64" s="289" t="str">
        <f>B60</f>
        <v>Other payables</v>
      </c>
      <c r="C64" s="65"/>
      <c r="D64" s="65"/>
      <c r="E64" s="65"/>
      <c r="F64" s="65"/>
      <c r="G64" s="67"/>
      <c r="H64" s="56">
        <v>0</v>
      </c>
      <c r="I64" s="56">
        <v>0</v>
      </c>
      <c r="J64" s="55">
        <f>I64</f>
        <v>0</v>
      </c>
      <c r="K64" s="55">
        <f>J64</f>
        <v>0</v>
      </c>
      <c r="L64" s="55">
        <f t="shared" si="158"/>
        <v>0</v>
      </c>
      <c r="M64" s="55">
        <f t="shared" si="158"/>
        <v>0</v>
      </c>
      <c r="N64" s="55">
        <f t="shared" si="158"/>
        <v>0</v>
      </c>
      <c r="O64" s="55">
        <f t="shared" si="158"/>
        <v>0</v>
      </c>
      <c r="P64" s="55">
        <f t="shared" si="158"/>
        <v>0</v>
      </c>
      <c r="Q64" s="55">
        <f t="shared" si="158"/>
        <v>0</v>
      </c>
      <c r="R64" s="55">
        <f t="shared" si="158"/>
        <v>0</v>
      </c>
      <c r="S64" s="55">
        <f t="shared" si="158"/>
        <v>0</v>
      </c>
      <c r="T64" s="55">
        <f t="shared" si="158"/>
        <v>0</v>
      </c>
      <c r="U64" s="55">
        <f t="shared" si="159"/>
        <v>0</v>
      </c>
      <c r="V64" s="55">
        <f t="shared" si="160"/>
        <v>0</v>
      </c>
      <c r="W64" s="55">
        <f t="shared" si="161"/>
        <v>0</v>
      </c>
      <c r="X64" s="55">
        <f t="shared" si="162"/>
        <v>0</v>
      </c>
      <c r="Y64" s="55">
        <f t="shared" si="163"/>
        <v>0</v>
      </c>
      <c r="Z64" s="55">
        <f t="shared" si="164"/>
        <v>0</v>
      </c>
      <c r="AA64" s="55">
        <f t="shared" si="165"/>
        <v>0</v>
      </c>
      <c r="AB64" s="55">
        <f t="shared" si="166"/>
        <v>0</v>
      </c>
    </row>
    <row r="65" spans="1:28">
      <c r="B65" s="293" t="s">
        <v>255</v>
      </c>
      <c r="C65" s="65"/>
      <c r="D65" s="65"/>
      <c r="E65" s="65"/>
      <c r="F65" s="65"/>
      <c r="G65" s="67"/>
      <c r="H65" s="55"/>
      <c r="I65" s="55"/>
      <c r="J65" s="55"/>
      <c r="K65" s="55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</row>
    <row r="66" spans="1:28" s="307" customFormat="1">
      <c r="A66" s="304"/>
      <c r="B66" s="305" t="str">
        <f>B62</f>
        <v>Transfers - State</v>
      </c>
      <c r="C66" s="306"/>
      <c r="D66" s="732"/>
      <c r="E66" s="733"/>
      <c r="F66" s="733"/>
      <c r="G66" s="734">
        <v>0</v>
      </c>
      <c r="H66" s="312">
        <f>G66</f>
        <v>0</v>
      </c>
      <c r="I66" s="310">
        <f t="shared" ref="I66:T68" si="168">H66</f>
        <v>0</v>
      </c>
      <c r="J66" s="310">
        <f t="shared" si="168"/>
        <v>0</v>
      </c>
      <c r="K66" s="310">
        <f t="shared" si="168"/>
        <v>0</v>
      </c>
      <c r="L66" s="310">
        <f t="shared" si="168"/>
        <v>0</v>
      </c>
      <c r="M66" s="310">
        <f t="shared" si="168"/>
        <v>0</v>
      </c>
      <c r="N66" s="310">
        <f t="shared" si="168"/>
        <v>0</v>
      </c>
      <c r="O66" s="310">
        <f t="shared" si="168"/>
        <v>0</v>
      </c>
      <c r="P66" s="310">
        <f t="shared" si="168"/>
        <v>0</v>
      </c>
      <c r="Q66" s="310">
        <f t="shared" si="168"/>
        <v>0</v>
      </c>
      <c r="R66" s="310">
        <f t="shared" si="168"/>
        <v>0</v>
      </c>
      <c r="S66" s="310">
        <f t="shared" si="168"/>
        <v>0</v>
      </c>
      <c r="T66" s="310">
        <f t="shared" si="168"/>
        <v>0</v>
      </c>
      <c r="U66" s="310">
        <f t="shared" ref="U66:AB66" si="169">T66</f>
        <v>0</v>
      </c>
      <c r="V66" s="310">
        <f t="shared" si="169"/>
        <v>0</v>
      </c>
      <c r="W66" s="310">
        <f t="shared" si="169"/>
        <v>0</v>
      </c>
      <c r="X66" s="310">
        <f t="shared" si="169"/>
        <v>0</v>
      </c>
      <c r="Y66" s="310">
        <f t="shared" si="169"/>
        <v>0</v>
      </c>
      <c r="Z66" s="310">
        <f t="shared" si="169"/>
        <v>0</v>
      </c>
      <c r="AA66" s="310">
        <f t="shared" si="169"/>
        <v>0</v>
      </c>
      <c r="AB66" s="310">
        <f t="shared" si="169"/>
        <v>0</v>
      </c>
    </row>
    <row r="67" spans="1:28" s="307" customFormat="1">
      <c r="A67" s="304"/>
      <c r="B67" s="305" t="str">
        <f>B63</f>
        <v>Navratne financne vypomoci</v>
      </c>
      <c r="C67" s="306"/>
      <c r="D67" s="732"/>
      <c r="E67" s="733"/>
      <c r="F67" s="733"/>
      <c r="G67" s="734">
        <v>0</v>
      </c>
      <c r="H67" s="312">
        <f>G67</f>
        <v>0</v>
      </c>
      <c r="I67" s="312">
        <f t="shared" si="168"/>
        <v>0</v>
      </c>
      <c r="J67" s="310">
        <f t="shared" si="168"/>
        <v>0</v>
      </c>
      <c r="K67" s="310">
        <f t="shared" si="168"/>
        <v>0</v>
      </c>
      <c r="L67" s="310">
        <f t="shared" si="168"/>
        <v>0</v>
      </c>
      <c r="M67" s="310">
        <f t="shared" si="168"/>
        <v>0</v>
      </c>
      <c r="N67" s="310">
        <f t="shared" si="168"/>
        <v>0</v>
      </c>
      <c r="O67" s="310">
        <f t="shared" si="168"/>
        <v>0</v>
      </c>
      <c r="P67" s="310">
        <f t="shared" si="168"/>
        <v>0</v>
      </c>
      <c r="Q67" s="310">
        <f t="shared" si="168"/>
        <v>0</v>
      </c>
      <c r="R67" s="310">
        <f t="shared" si="168"/>
        <v>0</v>
      </c>
      <c r="S67" s="310">
        <f t="shared" si="168"/>
        <v>0</v>
      </c>
      <c r="T67" s="310">
        <f t="shared" si="168"/>
        <v>0</v>
      </c>
      <c r="U67" s="310">
        <f t="shared" ref="U67:AB67" si="170">T67</f>
        <v>0</v>
      </c>
      <c r="V67" s="310">
        <f t="shared" si="170"/>
        <v>0</v>
      </c>
      <c r="W67" s="310">
        <f t="shared" si="170"/>
        <v>0</v>
      </c>
      <c r="X67" s="310">
        <f t="shared" si="170"/>
        <v>0</v>
      </c>
      <c r="Y67" s="310">
        <f t="shared" si="170"/>
        <v>0</v>
      </c>
      <c r="Z67" s="310">
        <f t="shared" si="170"/>
        <v>0</v>
      </c>
      <c r="AA67" s="310">
        <f t="shared" si="170"/>
        <v>0</v>
      </c>
      <c r="AB67" s="310">
        <f t="shared" si="170"/>
        <v>0</v>
      </c>
    </row>
    <row r="68" spans="1:28" s="307" customFormat="1">
      <c r="A68" s="304"/>
      <c r="B68" s="308" t="str">
        <f>B64</f>
        <v>Other payables</v>
      </c>
      <c r="C68" s="309"/>
      <c r="D68" s="735"/>
      <c r="E68" s="736"/>
      <c r="F68" s="736"/>
      <c r="G68" s="737">
        <v>0</v>
      </c>
      <c r="H68" s="313">
        <f>G68</f>
        <v>0</v>
      </c>
      <c r="I68" s="313">
        <f t="shared" si="168"/>
        <v>0</v>
      </c>
      <c r="J68" s="311">
        <f t="shared" si="168"/>
        <v>0</v>
      </c>
      <c r="K68" s="311">
        <f t="shared" si="168"/>
        <v>0</v>
      </c>
      <c r="L68" s="311">
        <f t="shared" si="168"/>
        <v>0</v>
      </c>
      <c r="M68" s="311">
        <f t="shared" si="168"/>
        <v>0</v>
      </c>
      <c r="N68" s="311">
        <f t="shared" si="168"/>
        <v>0</v>
      </c>
      <c r="O68" s="311">
        <f t="shared" si="168"/>
        <v>0</v>
      </c>
      <c r="P68" s="311">
        <f t="shared" si="168"/>
        <v>0</v>
      </c>
      <c r="Q68" s="311">
        <f t="shared" si="168"/>
        <v>0</v>
      </c>
      <c r="R68" s="311">
        <f t="shared" si="168"/>
        <v>0</v>
      </c>
      <c r="S68" s="311">
        <f t="shared" si="168"/>
        <v>0</v>
      </c>
      <c r="T68" s="311">
        <f t="shared" si="168"/>
        <v>0</v>
      </c>
      <c r="U68" s="311">
        <f t="shared" ref="U68:AB68" si="171">T68</f>
        <v>0</v>
      </c>
      <c r="V68" s="311">
        <f t="shared" si="171"/>
        <v>0</v>
      </c>
      <c r="W68" s="311">
        <f t="shared" si="171"/>
        <v>0</v>
      </c>
      <c r="X68" s="311">
        <f t="shared" si="171"/>
        <v>0</v>
      </c>
      <c r="Y68" s="311">
        <f t="shared" si="171"/>
        <v>0</v>
      </c>
      <c r="Z68" s="311">
        <f t="shared" si="171"/>
        <v>0</v>
      </c>
      <c r="AA68" s="311">
        <f t="shared" si="171"/>
        <v>0</v>
      </c>
      <c r="AB68" s="311">
        <f t="shared" si="171"/>
        <v>0</v>
      </c>
    </row>
    <row r="69" spans="1:28">
      <c r="B69" s="325"/>
      <c r="C69" s="324"/>
      <c r="D69" s="324"/>
      <c r="E69" s="326"/>
      <c r="F69" s="326"/>
      <c r="G69" s="327"/>
      <c r="H69" s="328"/>
      <c r="I69" s="330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</row>
    <row r="70" spans="1:28">
      <c r="C70" s="65"/>
      <c r="D70" s="65"/>
      <c r="E70" s="65"/>
      <c r="F70" s="65"/>
      <c r="G70" s="6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>
      <c r="C71" s="65"/>
      <c r="D71" s="65"/>
      <c r="E71" s="65"/>
      <c r="F71" s="65"/>
      <c r="G71" s="65"/>
      <c r="H71" s="65"/>
      <c r="I71" s="65"/>
      <c r="J71" s="6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>
      <c r="C72" s="65"/>
      <c r="D72" s="65"/>
      <c r="E72" s="65"/>
      <c r="F72" s="65"/>
      <c r="G72" s="6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>
      <c r="C73" s="65"/>
      <c r="D73" s="65"/>
      <c r="E73" s="65"/>
      <c r="F73" s="65"/>
      <c r="G73" s="6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83" spans="9:9">
      <c r="I83" s="55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2:U39"/>
  <sheetViews>
    <sheetView workbookViewId="0"/>
  </sheetViews>
  <sheetFormatPr baseColWidth="10" defaultColWidth="9.1640625" defaultRowHeight="12"/>
  <cols>
    <col min="1" max="1" width="3.5" style="147" customWidth="1"/>
    <col min="2" max="2" width="30.6640625" style="147" customWidth="1"/>
    <col min="3" max="15" width="13.1640625" style="147" customWidth="1"/>
    <col min="16" max="18" width="15" style="147" customWidth="1"/>
    <col min="19" max="16384" width="9.1640625" style="147"/>
  </cols>
  <sheetData>
    <row r="2" spans="1:21" s="207" customFormat="1" ht="15" thickBot="1">
      <c r="B2" s="81" t="s">
        <v>261</v>
      </c>
      <c r="C2" s="343" t="s">
        <v>0</v>
      </c>
      <c r="D2" s="344" t="s">
        <v>1</v>
      </c>
      <c r="E2" s="208"/>
      <c r="F2" s="208"/>
      <c r="G2" s="208"/>
      <c r="H2" s="208"/>
      <c r="I2" s="208"/>
      <c r="J2" s="208"/>
      <c r="K2" s="209"/>
      <c r="L2" s="209"/>
      <c r="M2" s="208"/>
      <c r="N2" s="208"/>
      <c r="O2" s="208"/>
      <c r="P2" s="208"/>
      <c r="Q2" s="208"/>
      <c r="R2" s="208"/>
    </row>
    <row r="4" spans="1:21">
      <c r="B4" s="349" t="s">
        <v>263</v>
      </c>
      <c r="C4" s="347">
        <f>'summary"0"'!C4</f>
        <v>44682</v>
      </c>
      <c r="E4" s="354"/>
    </row>
    <row r="5" spans="1:21">
      <c r="B5" s="62" t="s">
        <v>3</v>
      </c>
      <c r="C5" s="148">
        <f>'summary"0"'!C5</f>
        <v>49674</v>
      </c>
      <c r="D5" s="210"/>
    </row>
    <row r="6" spans="1:21">
      <c r="B6" s="348" t="s">
        <v>262</v>
      </c>
      <c r="C6" s="148" t="s">
        <v>4</v>
      </c>
    </row>
    <row r="7" spans="1:21" ht="12" customHeight="1">
      <c r="B7" s="345" t="s">
        <v>219</v>
      </c>
      <c r="C7" s="346">
        <f>'FCFs"A"'!C47</f>
        <v>0.05</v>
      </c>
    </row>
    <row r="8" spans="1:21">
      <c r="B8" s="333" t="str">
        <f>+"Fair Value for Owner: CoE  "&amp;TEXT($C$7,"#%")</f>
        <v>Fair Value for Owner: CoE  5%</v>
      </c>
      <c r="C8" s="334"/>
    </row>
    <row r="9" spans="1:21" s="150" customFormat="1" ht="14">
      <c r="B9" s="350" t="s">
        <v>5</v>
      </c>
      <c r="C9" s="351"/>
      <c r="D9" s="149"/>
      <c r="G9" s="147"/>
      <c r="H9" s="147"/>
      <c r="I9" s="147"/>
      <c r="P9" s="147"/>
      <c r="Q9" s="147"/>
      <c r="R9" s="147"/>
      <c r="S9" s="149"/>
      <c r="T9" s="149"/>
      <c r="U9" s="149"/>
    </row>
    <row r="10" spans="1:21">
      <c r="H10" s="119"/>
    </row>
    <row r="11" spans="1:21" s="211" customFormat="1">
      <c r="A11" s="147"/>
      <c r="B11" s="212" t="s">
        <v>260</v>
      </c>
      <c r="C11" s="213">
        <f>C24</f>
        <v>44196</v>
      </c>
      <c r="D11" s="229">
        <f t="shared" ref="D11:R11" si="0">D24</f>
        <v>44561</v>
      </c>
      <c r="E11" s="213">
        <f t="shared" si="0"/>
        <v>44926</v>
      </c>
      <c r="F11" s="213">
        <f t="shared" si="0"/>
        <v>45291</v>
      </c>
      <c r="G11" s="213">
        <f t="shared" si="0"/>
        <v>45657</v>
      </c>
      <c r="H11" s="213">
        <f t="shared" si="0"/>
        <v>46022</v>
      </c>
      <c r="I11" s="213">
        <f t="shared" si="0"/>
        <v>46387</v>
      </c>
      <c r="J11" s="213">
        <f t="shared" si="0"/>
        <v>46752</v>
      </c>
      <c r="K11" s="213">
        <f t="shared" si="0"/>
        <v>47118</v>
      </c>
      <c r="L11" s="213">
        <f t="shared" si="0"/>
        <v>47483</v>
      </c>
      <c r="M11" s="213">
        <f t="shared" si="0"/>
        <v>47848</v>
      </c>
      <c r="N11" s="213">
        <f t="shared" si="0"/>
        <v>48213</v>
      </c>
      <c r="O11" s="213">
        <f t="shared" si="0"/>
        <v>48579</v>
      </c>
      <c r="P11" s="213">
        <f t="shared" si="0"/>
        <v>48944</v>
      </c>
      <c r="Q11" s="213">
        <f t="shared" si="0"/>
        <v>49309</v>
      </c>
      <c r="R11" s="213">
        <f t="shared" si="0"/>
        <v>49674</v>
      </c>
    </row>
    <row r="12" spans="1:21">
      <c r="B12" s="337" t="str">
        <f>'FCFs"A"'!B17</f>
        <v>Net Income</v>
      </c>
      <c r="C12" s="215"/>
      <c r="D12" s="220"/>
      <c r="E12" s="215">
        <f>'FCFs"A"'!C17</f>
        <v>-49921769.758126236</v>
      </c>
      <c r="F12" s="215">
        <f>'FCFs"A"'!D17</f>
        <v>-50228211.327922381</v>
      </c>
      <c r="G12" s="215">
        <f>'FCFs"A"'!E17</f>
        <v>-53008400.073576719</v>
      </c>
      <c r="H12" s="215">
        <f>'FCFs"A"'!F17</f>
        <v>-54592611.667923182</v>
      </c>
      <c r="I12" s="215">
        <f>'FCFs"A"'!G17</f>
        <v>-60825075.920034438</v>
      </c>
      <c r="J12" s="215">
        <f>'FCFs"A"'!H17</f>
        <v>-59697361.780353814</v>
      </c>
      <c r="K12" s="215">
        <f>'FCFs"A"'!I17</f>
        <v>-59101780.144131541</v>
      </c>
      <c r="L12" s="215">
        <f>'FCFs"A"'!J17</f>
        <v>-65827743.589300014</v>
      </c>
      <c r="M12" s="215">
        <f>'FCFs"A"'!K17</f>
        <v>-59820833.800317883</v>
      </c>
      <c r="N12" s="215">
        <f>'FCFs"A"'!L17</f>
        <v>-57560394.498564228</v>
      </c>
      <c r="O12" s="215">
        <f>'FCFs"A"'!M17</f>
        <v>-56723734.063596085</v>
      </c>
      <c r="P12" s="215">
        <f>'FCFs"A"'!N17</f>
        <v>-48530282.694537245</v>
      </c>
      <c r="Q12" s="215">
        <f>'FCFs"A"'!O17</f>
        <v>-48240947.860013597</v>
      </c>
      <c r="R12" s="215">
        <f>'FCFs"A"'!P17</f>
        <v>-47962067.537017129</v>
      </c>
    </row>
    <row r="13" spans="1:21">
      <c r="B13" s="337" t="str">
        <f>'FCFs"A"'!B18</f>
        <v>Depreciation</v>
      </c>
      <c r="C13" s="215"/>
      <c r="D13" s="220"/>
      <c r="E13" s="215">
        <f>'FCFs"A"'!C18</f>
        <v>4576757.6347500011</v>
      </c>
      <c r="F13" s="215">
        <f>'FCFs"A"'!D18</f>
        <v>5219863.2021748722</v>
      </c>
      <c r="G13" s="215">
        <f>'FCFs"A"'!E18</f>
        <v>8549341.8620966394</v>
      </c>
      <c r="H13" s="215">
        <f>'FCFs"A"'!F18</f>
        <v>13243816.506763393</v>
      </c>
      <c r="I13" s="215">
        <f>'FCFs"A"'!G18</f>
        <v>22575420.307578012</v>
      </c>
      <c r="J13" s="215">
        <f>'FCFs"A"'!H18</f>
        <v>24581598.381007757</v>
      </c>
      <c r="K13" s="215">
        <f>'FCFs"A"'!I18</f>
        <v>29597043.564582117</v>
      </c>
      <c r="L13" s="215">
        <f>'FCFs"A"'!J18</f>
        <v>40596050.049678989</v>
      </c>
      <c r="M13" s="215">
        <f>'FCFs"A"'!K18</f>
        <v>39887899.066013843</v>
      </c>
      <c r="N13" s="215">
        <f>'FCFs"A"'!L18</f>
        <v>38166317.416075371</v>
      </c>
      <c r="O13" s="215">
        <f>'FCFs"A"'!M18</f>
        <v>37875768.395189077</v>
      </c>
      <c r="P13" s="215">
        <f>'FCFs"A"'!N18</f>
        <v>30226426.394690357</v>
      </c>
      <c r="Q13" s="215">
        <f>'FCFs"A"'!O18</f>
        <v>30474090.321889669</v>
      </c>
      <c r="R13" s="215">
        <f>'FCFs"A"'!P18</f>
        <v>30726707.527632959</v>
      </c>
    </row>
    <row r="14" spans="1:21">
      <c r="B14" s="337" t="str">
        <f>'FCFs"A"'!B19</f>
        <v>Net increase of WC</v>
      </c>
      <c r="C14" s="215"/>
      <c r="D14" s="220"/>
      <c r="E14" s="215">
        <f>'FCFs"A"'!C19</f>
        <v>1552228.0418738723</v>
      </c>
      <c r="F14" s="215">
        <f>'FCFs"A"'!D19</f>
        <v>-583716.46308112144</v>
      </c>
      <c r="G14" s="215">
        <f>'FCFs"A"'!E19</f>
        <v>1925673.2371888161</v>
      </c>
      <c r="H14" s="215">
        <f>'FCFs"A"'!F19</f>
        <v>2636282.805344969</v>
      </c>
      <c r="I14" s="215">
        <f>'FCFs"A"'!G19</f>
        <v>1524096.8958552778</v>
      </c>
      <c r="J14" s="215">
        <f>'FCFs"A"'!H19</f>
        <v>-850125.090629071</v>
      </c>
      <c r="K14" s="215">
        <f>'FCFs"A"'!I19</f>
        <v>-88712.018197774887</v>
      </c>
      <c r="L14" s="215">
        <f>'FCFs"A"'!J19</f>
        <v>1672269.1788435876</v>
      </c>
      <c r="M14" s="215">
        <f>'FCFs"A"'!K19</f>
        <v>-2357623.4333641827</v>
      </c>
      <c r="N14" s="215">
        <f>'FCFs"A"'!L19</f>
        <v>40984.960383564234</v>
      </c>
      <c r="O14" s="215">
        <f>'FCFs"A"'!M19</f>
        <v>56880.537469536066</v>
      </c>
      <c r="P14" s="215">
        <f>'FCFs"A"'!N19</f>
        <v>32273.609154731035</v>
      </c>
      <c r="Q14" s="215">
        <f>'FCFs"A"'!O19</f>
        <v>-16193.784423857927</v>
      </c>
      <c r="R14" s="215">
        <f>'FCFs"A"'!P19</f>
        <v>-53274.055312693119</v>
      </c>
    </row>
    <row r="15" spans="1:21">
      <c r="B15" s="337" t="str">
        <f>'FCFs"A"'!B20</f>
        <v>CAPEX</v>
      </c>
      <c r="C15" s="215"/>
      <c r="D15" s="220"/>
      <c r="E15" s="215">
        <f>'FCFs"A"'!C20</f>
        <v>-25724222.696994841</v>
      </c>
      <c r="F15" s="215">
        <f>'FCFs"A"'!D20</f>
        <v>-133179146.39687067</v>
      </c>
      <c r="G15" s="215">
        <f>'FCFs"A"'!E20</f>
        <v>-171921110.10819799</v>
      </c>
      <c r="H15" s="215">
        <f>'FCFs"A"'!F20</f>
        <v>-136499658.86470258</v>
      </c>
      <c r="I15" s="215">
        <f>'FCFs"A"'!G20</f>
        <v>-80247122.937189743</v>
      </c>
      <c r="J15" s="215">
        <f>'FCFs"A"'!H20</f>
        <v>-200617807.34297451</v>
      </c>
      <c r="K15" s="215">
        <f>'FCFs"A"'!I20</f>
        <v>-120370684.40578461</v>
      </c>
      <c r="L15" s="215">
        <f>'FCFs"A"'!J20</f>
        <v>-4576063.7266969159</v>
      </c>
      <c r="M15" s="215">
        <f>'FCFs"A"'!K20</f>
        <v>-4667585.0012308657</v>
      </c>
      <c r="N15" s="215">
        <f>'FCFs"A"'!L20</f>
        <v>-4760936.7012555823</v>
      </c>
      <c r="O15" s="215">
        <f>'FCFs"A"'!M20</f>
        <v>-4856155.4352805912</v>
      </c>
      <c r="P15" s="215">
        <f>'FCFs"A"'!N20</f>
        <v>-4953278.543986164</v>
      </c>
      <c r="Q15" s="215">
        <f>'FCFs"A"'!O20</f>
        <v>-5052344.1148658097</v>
      </c>
      <c r="R15" s="215">
        <f>'FCFs"A"'!P20</f>
        <v>-5153390.997163184</v>
      </c>
    </row>
    <row r="16" spans="1:21">
      <c r="B16" s="337" t="str">
        <f>'FCFs"A"'!B21</f>
        <v>Change in LT receivables and payables</v>
      </c>
      <c r="C16" s="215"/>
      <c r="D16" s="220"/>
      <c r="E16" s="215">
        <f>'FCFs"A"'!C21</f>
        <v>0</v>
      </c>
      <c r="F16" s="215">
        <f>'FCFs"A"'!D21</f>
        <v>0</v>
      </c>
      <c r="G16" s="215">
        <f>'FCFs"A"'!E21</f>
        <v>0</v>
      </c>
      <c r="H16" s="215">
        <f>'FCFs"A"'!F21</f>
        <v>0</v>
      </c>
      <c r="I16" s="215">
        <f>'FCFs"A"'!G21</f>
        <v>0</v>
      </c>
      <c r="J16" s="215">
        <f>'FCFs"A"'!H21</f>
        <v>0</v>
      </c>
      <c r="K16" s="215">
        <f>'FCFs"A"'!I21</f>
        <v>0</v>
      </c>
      <c r="L16" s="215">
        <f>'FCFs"A"'!J21</f>
        <v>0</v>
      </c>
      <c r="M16" s="215">
        <f>'FCFs"A"'!K21</f>
        <v>0</v>
      </c>
      <c r="N16" s="215">
        <f>'FCFs"A"'!L21</f>
        <v>0</v>
      </c>
      <c r="O16" s="215">
        <f>'FCFs"A"'!M21</f>
        <v>0</v>
      </c>
      <c r="P16" s="215">
        <f>'FCFs"A"'!N21</f>
        <v>0</v>
      </c>
      <c r="Q16" s="215">
        <f>'FCFs"A"'!O21</f>
        <v>0</v>
      </c>
      <c r="R16" s="215">
        <f>'FCFs"A"'!P21</f>
        <v>0</v>
      </c>
    </row>
    <row r="17" spans="1:18">
      <c r="B17" s="337" t="str">
        <f>'FCFs"A"'!B23</f>
        <v>Interests (net of Tax shield)</v>
      </c>
      <c r="C17" s="215"/>
      <c r="D17" s="214"/>
      <c r="E17" s="215">
        <f>'FCFs"A"'!C23</f>
        <v>0</v>
      </c>
      <c r="F17" s="215">
        <f>'FCFs"A"'!D23</f>
        <v>0</v>
      </c>
      <c r="G17" s="215">
        <f>'FCFs"A"'!E23</f>
        <v>0</v>
      </c>
      <c r="H17" s="215">
        <f>'FCFs"A"'!F23</f>
        <v>0</v>
      </c>
      <c r="I17" s="215">
        <f>'FCFs"A"'!G23</f>
        <v>0</v>
      </c>
      <c r="J17" s="215">
        <f>'FCFs"A"'!H23</f>
        <v>0</v>
      </c>
      <c r="K17" s="215">
        <f>'FCFs"A"'!I23</f>
        <v>0</v>
      </c>
      <c r="L17" s="215">
        <f>'FCFs"A"'!J23</f>
        <v>0</v>
      </c>
      <c r="M17" s="215">
        <f>'FCFs"A"'!K23</f>
        <v>0</v>
      </c>
      <c r="N17" s="215">
        <f>'FCFs"A"'!L23</f>
        <v>0</v>
      </c>
      <c r="O17" s="215">
        <f>'FCFs"A"'!M23</f>
        <v>0</v>
      </c>
      <c r="P17" s="215">
        <f>'FCFs"A"'!N23</f>
        <v>0</v>
      </c>
      <c r="Q17" s="215">
        <f>'FCFs"A"'!O23</f>
        <v>0</v>
      </c>
      <c r="R17" s="215">
        <f>'FCFs"A"'!P23</f>
        <v>0</v>
      </c>
    </row>
    <row r="18" spans="1:18">
      <c r="B18" s="338" t="str">
        <f>'FCFs"A"'!B24</f>
        <v>FCFF</v>
      </c>
      <c r="C18" s="336"/>
      <c r="D18" s="335"/>
      <c r="E18" s="336">
        <f>'FCFs"A"'!C24</f>
        <v>-69517006.778497204</v>
      </c>
      <c r="F18" s="336">
        <f>'FCFs"A"'!D24</f>
        <v>-178747211.8208636</v>
      </c>
      <c r="G18" s="336">
        <f>'FCFs"A"'!E24</f>
        <v>-214810704.3558327</v>
      </c>
      <c r="H18" s="336">
        <f>'FCFs"A"'!F24</f>
        <v>-176352812.98156509</v>
      </c>
      <c r="I18" s="336">
        <f>'FCFs"A"'!G24</f>
        <v>-118675480.59012736</v>
      </c>
      <c r="J18" s="336">
        <f>'FCFs"A"'!H24</f>
        <v>-238840758.54974726</v>
      </c>
      <c r="K18" s="336">
        <f>'FCFs"A"'!I24</f>
        <v>-153615106.28793368</v>
      </c>
      <c r="L18" s="336">
        <f>'FCFs"A"'!J24</f>
        <v>-33234193.734424174</v>
      </c>
      <c r="M18" s="336">
        <f>'FCFs"A"'!K24</f>
        <v>-33436141.366736382</v>
      </c>
      <c r="N18" s="336">
        <f>'FCFs"A"'!L24</f>
        <v>-30720751.816460289</v>
      </c>
      <c r="O18" s="336">
        <f>'FCFs"A"'!M24</f>
        <v>-30384826.62670783</v>
      </c>
      <c r="P18" s="336">
        <f>'FCFs"A"'!N24</f>
        <v>-30093084.190730106</v>
      </c>
      <c r="Q18" s="336">
        <f>'FCFs"A"'!O24</f>
        <v>-29833701.609278124</v>
      </c>
      <c r="R18" s="336">
        <f>'FCFs"A"'!P24</f>
        <v>-29570141.452424578</v>
      </c>
    </row>
    <row r="19" spans="1:18">
      <c r="B19" s="337" t="str">
        <f>'FCFs"A"'!B25</f>
        <v>Interests (net of Tax shield)</v>
      </c>
      <c r="C19" s="215"/>
      <c r="D19" s="220"/>
      <c r="E19" s="215">
        <f>'FCFs"A"'!C25</f>
        <v>0</v>
      </c>
      <c r="F19" s="215">
        <f>'FCFs"A"'!D25</f>
        <v>0</v>
      </c>
      <c r="G19" s="215">
        <f>'FCFs"A"'!E25</f>
        <v>0</v>
      </c>
      <c r="H19" s="215">
        <f>'FCFs"A"'!F25</f>
        <v>0</v>
      </c>
      <c r="I19" s="215">
        <f>'FCFs"A"'!G25</f>
        <v>0</v>
      </c>
      <c r="J19" s="215">
        <f>'FCFs"A"'!H25</f>
        <v>0</v>
      </c>
      <c r="K19" s="215">
        <f>'FCFs"A"'!I25</f>
        <v>0</v>
      </c>
      <c r="L19" s="215">
        <f>'FCFs"A"'!J25</f>
        <v>0</v>
      </c>
      <c r="M19" s="215">
        <f>'FCFs"A"'!K25</f>
        <v>0</v>
      </c>
      <c r="N19" s="215">
        <f>'FCFs"A"'!L25</f>
        <v>0</v>
      </c>
      <c r="O19" s="215">
        <f>'FCFs"A"'!M25</f>
        <v>0</v>
      </c>
      <c r="P19" s="215">
        <f>'FCFs"A"'!N25</f>
        <v>0</v>
      </c>
      <c r="Q19" s="215">
        <f>'FCFs"A"'!O25</f>
        <v>0</v>
      </c>
      <c r="R19" s="215">
        <f>'FCFs"A"'!P25</f>
        <v>0</v>
      </c>
    </row>
    <row r="20" spans="1:18">
      <c r="B20" s="337" t="str">
        <f>'FCFs"A"'!B26</f>
        <v>Change in debt</v>
      </c>
      <c r="C20" s="215"/>
      <c r="D20" s="214"/>
      <c r="E20" s="215">
        <f>'FCFs"A"'!C26</f>
        <v>0</v>
      </c>
      <c r="F20" s="215">
        <f>'FCFs"A"'!D26</f>
        <v>0</v>
      </c>
      <c r="G20" s="215">
        <f>'FCFs"A"'!E26</f>
        <v>0</v>
      </c>
      <c r="H20" s="215">
        <f>'FCFs"A"'!F26</f>
        <v>0</v>
      </c>
      <c r="I20" s="215">
        <f>'FCFs"A"'!G26</f>
        <v>0</v>
      </c>
      <c r="J20" s="215">
        <f>'FCFs"A"'!H26</f>
        <v>0</v>
      </c>
      <c r="K20" s="215">
        <f>'FCFs"A"'!I26</f>
        <v>0</v>
      </c>
      <c r="L20" s="215">
        <f>'FCFs"A"'!J26</f>
        <v>0</v>
      </c>
      <c r="M20" s="215">
        <f>'FCFs"A"'!K26</f>
        <v>0</v>
      </c>
      <c r="N20" s="215">
        <f>'FCFs"A"'!L26</f>
        <v>0</v>
      </c>
      <c r="O20" s="215">
        <f>'FCFs"A"'!M26</f>
        <v>0</v>
      </c>
      <c r="P20" s="215">
        <f>'FCFs"A"'!N26</f>
        <v>0</v>
      </c>
      <c r="Q20" s="215">
        <f>'FCFs"A"'!O26</f>
        <v>0</v>
      </c>
      <c r="R20" s="215">
        <f>'FCFs"A"'!P26</f>
        <v>0</v>
      </c>
    </row>
    <row r="21" spans="1:18">
      <c r="B21" s="338" t="s">
        <v>33</v>
      </c>
      <c r="C21" s="336"/>
      <c r="D21" s="335"/>
      <c r="E21" s="336">
        <f>'FCFs"A"'!C27</f>
        <v>-69517006.778497204</v>
      </c>
      <c r="F21" s="336">
        <f>'FCFs"A"'!D27</f>
        <v>-178747211.8208636</v>
      </c>
      <c r="G21" s="336">
        <f>'FCFs"A"'!E27</f>
        <v>-214810704.3558327</v>
      </c>
      <c r="H21" s="336">
        <f>'FCFs"A"'!F27</f>
        <v>-176352812.98156509</v>
      </c>
      <c r="I21" s="336">
        <f>'FCFs"A"'!G27</f>
        <v>-118675480.59012736</v>
      </c>
      <c r="J21" s="336">
        <f>'FCFs"A"'!H27</f>
        <v>-238840758.54974726</v>
      </c>
      <c r="K21" s="336">
        <f>'FCFs"A"'!I27</f>
        <v>-153615106.28793368</v>
      </c>
      <c r="L21" s="336">
        <f>'FCFs"A"'!J27</f>
        <v>-33234193.734424174</v>
      </c>
      <c r="M21" s="336">
        <f>'FCFs"A"'!K27</f>
        <v>-33436141.366736382</v>
      </c>
      <c r="N21" s="336">
        <f>'FCFs"A"'!L27</f>
        <v>-30720751.816460289</v>
      </c>
      <c r="O21" s="336">
        <f>'FCFs"A"'!M27</f>
        <v>-30384826.62670783</v>
      </c>
      <c r="P21" s="336">
        <f>'FCFs"A"'!N27</f>
        <v>-30093084.190730106</v>
      </c>
      <c r="Q21" s="336">
        <f>'FCFs"A"'!O27</f>
        <v>-29833701.609278124</v>
      </c>
      <c r="R21" s="336">
        <f>'FCFs"A"'!P27</f>
        <v>-29570141.452424578</v>
      </c>
    </row>
    <row r="22" spans="1:18">
      <c r="A22" s="211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</row>
    <row r="23" spans="1:18">
      <c r="A23" s="211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</row>
    <row r="24" spans="1:18" s="211" customFormat="1">
      <c r="A24" s="147"/>
      <c r="B24" s="212" t="s">
        <v>6</v>
      </c>
      <c r="C24" s="323">
        <f>'PL"A"'!G5</f>
        <v>44196</v>
      </c>
      <c r="D24" s="229">
        <f>'PL"A"'!H5</f>
        <v>44561</v>
      </c>
      <c r="E24" s="213">
        <f>'PL"A"'!I5</f>
        <v>44926</v>
      </c>
      <c r="F24" s="213">
        <f>'PL"A"'!J5</f>
        <v>45291</v>
      </c>
      <c r="G24" s="213">
        <f>'PL"A"'!K5</f>
        <v>45657</v>
      </c>
      <c r="H24" s="213">
        <f>'PL"A"'!L5</f>
        <v>46022</v>
      </c>
      <c r="I24" s="213">
        <f>'PL"A"'!M5</f>
        <v>46387</v>
      </c>
      <c r="J24" s="213">
        <f>'PL"A"'!N5</f>
        <v>46752</v>
      </c>
      <c r="K24" s="213">
        <f>'PL"A"'!O5</f>
        <v>47118</v>
      </c>
      <c r="L24" s="213">
        <f>'PL"A"'!P5</f>
        <v>47483</v>
      </c>
      <c r="M24" s="213">
        <f>'PL"A"'!Q5</f>
        <v>47848</v>
      </c>
      <c r="N24" s="213">
        <f>'PL"A"'!R5</f>
        <v>48213</v>
      </c>
      <c r="O24" s="213">
        <f>'PL"A"'!S5</f>
        <v>48579</v>
      </c>
      <c r="P24" s="213">
        <f>'PL"A"'!T5</f>
        <v>48944</v>
      </c>
      <c r="Q24" s="213">
        <f>'PL"A"'!U5</f>
        <v>49309</v>
      </c>
      <c r="R24" s="213">
        <f>'PL"A"'!V5</f>
        <v>49674</v>
      </c>
    </row>
    <row r="25" spans="1:18" s="211" customFormat="1">
      <c r="A25" s="342"/>
      <c r="B25" s="219" t="s">
        <v>7</v>
      </c>
      <c r="C25" s="221">
        <f>+('PL"A"'!G6+'PL"A"'!G10)</f>
        <v>113754441.91</v>
      </c>
      <c r="D25" s="220">
        <f>+('PL"A"'!H6+'PL"A"'!H10)</f>
        <v>130654218.07000001</v>
      </c>
      <c r="E25" s="221">
        <f>+('PL"A"'!I6+'PL"A"'!I10)</f>
        <v>137361298.54177752</v>
      </c>
      <c r="F25" s="221">
        <f>+('PL"A"'!J6+'PL"A"'!J10)</f>
        <v>136697454.16007519</v>
      </c>
      <c r="G25" s="221">
        <f>+('PL"A"'!K6+'PL"A"'!K10)</f>
        <v>141204490.87048358</v>
      </c>
      <c r="H25" s="221">
        <f>+('PL"A"'!L6+'PL"A"'!L10)</f>
        <v>149536321.63545948</v>
      </c>
      <c r="I25" s="221">
        <f>+('PL"A"'!M6+'PL"A"'!M10)</f>
        <v>155728162.52462456</v>
      </c>
      <c r="J25" s="221">
        <f>+('PL"A"'!N6+'PL"A"'!N10)</f>
        <v>156874753.80285296</v>
      </c>
      <c r="K25" s="221">
        <f>+('PL"A"'!O6+'PL"A"'!O10)</f>
        <v>161410128.64262372</v>
      </c>
      <c r="L25" s="221">
        <f>+('PL"A"'!P6+'PL"A"'!P10)</f>
        <v>168276801.4662354</v>
      </c>
      <c r="M25" s="221">
        <f>+('PL"A"'!Q6+'PL"A"'!Q10)</f>
        <v>169141439.60152408</v>
      </c>
      <c r="N25" s="221">
        <f>+('PL"A"'!R6+'PL"A"'!R10)</f>
        <v>169924130.06538355</v>
      </c>
      <c r="O25" s="221">
        <f>+('PL"A"'!S6+'PL"A"'!S10)</f>
        <v>170749398.01662865</v>
      </c>
      <c r="P25" s="221">
        <f>+('PL"A"'!T6+'PL"A"'!T10)</f>
        <v>171521625.58592641</v>
      </c>
      <c r="Q25" s="221">
        <f>+('PL"A"'!U6+'PL"A"'!U10)</f>
        <v>172183257.84167805</v>
      </c>
      <c r="R25" s="221">
        <f>+('PL"A"'!V6+'PL"A"'!V10)</f>
        <v>172760153.9838419</v>
      </c>
    </row>
    <row r="26" spans="1:18">
      <c r="B26" s="216" t="s">
        <v>8</v>
      </c>
      <c r="C26" s="218"/>
      <c r="D26" s="217">
        <f t="shared" ref="D26:R26" si="1">+D25/C25-1</f>
        <v>0.14856365937227078</v>
      </c>
      <c r="E26" s="218">
        <f t="shared" si="1"/>
        <v>5.1334588127756264E-2</v>
      </c>
      <c r="F26" s="218">
        <f t="shared" si="1"/>
        <v>-4.8328342025715232E-3</v>
      </c>
      <c r="G26" s="218">
        <f t="shared" si="1"/>
        <v>3.2970889897704803E-2</v>
      </c>
      <c r="H26" s="218">
        <f t="shared" si="1"/>
        <v>5.9005423365876331E-2</v>
      </c>
      <c r="I26" s="218">
        <f t="shared" si="1"/>
        <v>4.14069359299849E-2</v>
      </c>
      <c r="J26" s="218">
        <f t="shared" si="1"/>
        <v>7.3627740778556827E-3</v>
      </c>
      <c r="K26" s="218">
        <f t="shared" si="1"/>
        <v>2.8910801322884927E-2</v>
      </c>
      <c r="L26" s="218">
        <f t="shared" si="1"/>
        <v>4.2541771581231513E-2</v>
      </c>
      <c r="M26" s="218">
        <f t="shared" si="1"/>
        <v>5.1381897430595735E-3</v>
      </c>
      <c r="N26" s="218">
        <f t="shared" si="1"/>
        <v>4.627431726390574E-3</v>
      </c>
      <c r="O26" s="218">
        <f t="shared" si="1"/>
        <v>4.856684868285388E-3</v>
      </c>
      <c r="P26" s="218">
        <f t="shared" si="1"/>
        <v>4.5225785757825321E-3</v>
      </c>
      <c r="Q26" s="218">
        <f t="shared" si="1"/>
        <v>3.8574276187708367E-3</v>
      </c>
      <c r="R26" s="218">
        <f t="shared" si="1"/>
        <v>3.3504775632384742E-3</v>
      </c>
    </row>
    <row r="27" spans="1:18">
      <c r="B27" s="62" t="s">
        <v>9</v>
      </c>
      <c r="C27" s="215">
        <f>+'PL"A"'!G16</f>
        <v>55924988.559999995</v>
      </c>
      <c r="D27" s="214">
        <f>+'PL"A"'!H16</f>
        <v>65819233.030000016</v>
      </c>
      <c r="E27" s="215">
        <f>+'PL"A"'!I16</f>
        <v>69767577.371053457</v>
      </c>
      <c r="F27" s="215">
        <f>+'PL"A"'!J16</f>
        <v>69396645.725712165</v>
      </c>
      <c r="G27" s="215">
        <f>+'PL"A"'!K16</f>
        <v>72235272.60055843</v>
      </c>
      <c r="H27" s="215">
        <f>+'PL"A"'!L16</f>
        <v>77453093.513569549</v>
      </c>
      <c r="I27" s="215">
        <f>+'PL"A"'!M16</f>
        <v>81345647.687376097</v>
      </c>
      <c r="J27" s="215">
        <f>+'PL"A"'!N16</f>
        <v>82104519.743638933</v>
      </c>
      <c r="K27" s="215">
        <f>+'PL"A"'!O16</f>
        <v>84972421.289773718</v>
      </c>
      <c r="L27" s="215">
        <f>+'PL"A"'!P16</f>
        <v>89292695.827915445</v>
      </c>
      <c r="M27" s="215">
        <f>+'PL"A"'!Q16</f>
        <v>91173838.519081935</v>
      </c>
      <c r="N27" s="215">
        <f>+'PL"A"'!R16</f>
        <v>91707946.191359475</v>
      </c>
      <c r="O27" s="215">
        <f>+'PL"A"'!S16</f>
        <v>92268684.812968135</v>
      </c>
      <c r="P27" s="215">
        <f>+'PL"A"'!T16</f>
        <v>92796105.43583402</v>
      </c>
      <c r="Q27" s="215">
        <f>+'PL"A"'!U16</f>
        <v>93254045.417173028</v>
      </c>
      <c r="R27" s="215">
        <f>+'PL"A"'!V16</f>
        <v>93658648.196939841</v>
      </c>
    </row>
    <row r="28" spans="1:18">
      <c r="A28" s="211"/>
      <c r="B28" s="62" t="s">
        <v>220</v>
      </c>
      <c r="C28" s="215">
        <f>'PL"A"'!G17</f>
        <v>87082760.310000002</v>
      </c>
      <c r="D28" s="214">
        <f>'PL"A"'!H17</f>
        <v>114071965.58000001</v>
      </c>
      <c r="E28" s="215">
        <f>'PL"A"'!I17</f>
        <v>114071965.57999998</v>
      </c>
      <c r="F28" s="215">
        <f>'PL"A"'!J17</f>
        <v>113363519.14414176</v>
      </c>
      <c r="G28" s="215">
        <f>'PL"A"'!K17</f>
        <v>116046224.67903517</v>
      </c>
      <c r="H28" s="215">
        <f>'PL"A"'!L17</f>
        <v>118953621.60879713</v>
      </c>
      <c r="I28" s="215">
        <f>'PL"A"'!M17</f>
        <v>120330652.35780305</v>
      </c>
      <c r="J28" s="215">
        <f>'PL"A"'!N17</f>
        <v>118539539.46802299</v>
      </c>
      <c r="K28" s="215">
        <f>'PL"A"'!O17</f>
        <v>117221656.35203762</v>
      </c>
      <c r="L28" s="215">
        <f>'PL"A"'!P17</f>
        <v>118742185.98261723</v>
      </c>
      <c r="M28" s="215">
        <f>'PL"A"'!Q17</f>
        <v>116789417.24827206</v>
      </c>
      <c r="N28" s="215">
        <f>'PL"A"'!R17</f>
        <v>116937766.73922463</v>
      </c>
      <c r="O28" s="215">
        <f>'PL"A"'!S17</f>
        <v>117107579.35042515</v>
      </c>
      <c r="P28" s="215">
        <f>'PL"A"'!T17</f>
        <v>117245828.8957276</v>
      </c>
      <c r="Q28" s="215">
        <f>'PL"A"'!U17</f>
        <v>117321107.9986808</v>
      </c>
      <c r="R28" s="215">
        <f>'PL"A"'!V17</f>
        <v>117348183.05671896</v>
      </c>
    </row>
    <row r="29" spans="1:18" s="211" customFormat="1">
      <c r="A29" s="147"/>
      <c r="B29" s="219" t="s">
        <v>11</v>
      </c>
      <c r="C29" s="221">
        <f>+'PL"A"'!G62</f>
        <v>-21025499.590000004</v>
      </c>
      <c r="D29" s="220">
        <f>+'PL"A"'!H62</f>
        <v>-14794588.939999998</v>
      </c>
      <c r="E29" s="221">
        <f>+'PL"A"'!I62</f>
        <v>-45227883.766676232</v>
      </c>
      <c r="F29" s="221">
        <f>+'PL"A"'!J62</f>
        <v>-44891219.769047506</v>
      </c>
      <c r="G29" s="221">
        <f>+'PL"A"'!K62</f>
        <v>-44341929.854780078</v>
      </c>
      <c r="H29" s="221">
        <f>+'PL"A"'!L62</f>
        <v>-41231666.804459788</v>
      </c>
      <c r="I29" s="221">
        <f>+'PL"A"'!M62</f>
        <v>-38132527.255756423</v>
      </c>
      <c r="J29" s="221">
        <f>+'PL"A"'!N62</f>
        <v>-34998635.04264605</v>
      </c>
      <c r="K29" s="221">
        <f>+'PL"A"'!O62</f>
        <v>-29387608.222849421</v>
      </c>
      <c r="L29" s="221">
        <f>+'PL"A"'!P62</f>
        <v>-25114565.182921022</v>
      </c>
      <c r="M29" s="221">
        <f>+'PL"A"'!Q62</f>
        <v>-19815806.377604038</v>
      </c>
      <c r="N29" s="221">
        <f>+'PL"A"'!R62</f>
        <v>-19276948.725788854</v>
      </c>
      <c r="O29" s="221">
        <f>+'PL"A"'!S62</f>
        <v>-18730837.311707005</v>
      </c>
      <c r="P29" s="221">
        <f>+'PL"A"'!T62</f>
        <v>-18186727.943146884</v>
      </c>
      <c r="Q29" s="221">
        <f>+'PL"A"'!U62</f>
        <v>-17649729.181423925</v>
      </c>
      <c r="R29" s="221">
        <f>+'PL"A"'!V62</f>
        <v>-17118231.652684167</v>
      </c>
    </row>
    <row r="30" spans="1:18">
      <c r="B30" s="216" t="s">
        <v>10</v>
      </c>
      <c r="C30" s="223">
        <f t="shared" ref="C30:R30" si="2">+C29/C25</f>
        <v>-0.18483233917700476</v>
      </c>
      <c r="D30" s="222">
        <f t="shared" si="2"/>
        <v>-0.11323468280276698</v>
      </c>
      <c r="E30" s="223">
        <f t="shared" si="2"/>
        <v>-0.32926220301361286</v>
      </c>
      <c r="F30" s="223">
        <f t="shared" si="2"/>
        <v>-0.32839836004903994</v>
      </c>
      <c r="G30" s="223">
        <f t="shared" si="2"/>
        <v>-0.3140263427984854</v>
      </c>
      <c r="H30" s="223">
        <f t="shared" si="2"/>
        <v>-0.27573011261420877</v>
      </c>
      <c r="I30" s="223">
        <f t="shared" si="2"/>
        <v>-0.24486596796341642</v>
      </c>
      <c r="J30" s="223">
        <f t="shared" si="2"/>
        <v>-0.22309921892613391</v>
      </c>
      <c r="K30" s="223">
        <f t="shared" si="2"/>
        <v>-0.18206793136207816</v>
      </c>
      <c r="L30" s="223">
        <f t="shared" si="2"/>
        <v>-0.14924555829497532</v>
      </c>
      <c r="M30" s="223">
        <f t="shared" si="2"/>
        <v>-0.11715524252535381</v>
      </c>
      <c r="N30" s="223">
        <f t="shared" si="2"/>
        <v>-0.11344444557916203</v>
      </c>
      <c r="O30" s="223">
        <f t="shared" si="2"/>
        <v>-0.10969782341418784</v>
      </c>
      <c r="P30" s="223">
        <f t="shared" si="2"/>
        <v>-0.10603169064553881</v>
      </c>
      <c r="Q30" s="223">
        <f t="shared" si="2"/>
        <v>-0.10250548980582533</v>
      </c>
      <c r="R30" s="223">
        <f t="shared" si="2"/>
        <v>-9.9086689019073346E-2</v>
      </c>
    </row>
    <row r="31" spans="1:18">
      <c r="B31" s="62" t="s">
        <v>12</v>
      </c>
      <c r="C31" s="215">
        <f>-'CF"A"'!F24</f>
        <v>8168920.8399999961</v>
      </c>
      <c r="D31" s="214">
        <f>-'CF"A"'!G24</f>
        <v>3317821.060000021</v>
      </c>
      <c r="E31" s="215">
        <f>-'CF"A"'!H24</f>
        <v>25724222.696994841</v>
      </c>
      <c r="F31" s="215">
        <f>-'CF"A"'!I24</f>
        <v>133179146.39687067</v>
      </c>
      <c r="G31" s="215">
        <f>-'CF"A"'!J24</f>
        <v>171921110.10819799</v>
      </c>
      <c r="H31" s="215">
        <f>-'CF"A"'!K24</f>
        <v>136499658.86470258</v>
      </c>
      <c r="I31" s="215">
        <f>-'CF"A"'!L24</f>
        <v>80247122.937189743</v>
      </c>
      <c r="J31" s="215">
        <f>-'CF"A"'!M24</f>
        <v>200617807.34297451</v>
      </c>
      <c r="K31" s="215">
        <f>-'CF"A"'!N24</f>
        <v>120370684.40578461</v>
      </c>
      <c r="L31" s="215">
        <f>-'CF"A"'!O24</f>
        <v>4576063.7266969159</v>
      </c>
      <c r="M31" s="215">
        <f>-'CF"A"'!P24</f>
        <v>4667585.0012308657</v>
      </c>
      <c r="N31" s="215">
        <f>-'CF"A"'!Q24</f>
        <v>4760936.7012555823</v>
      </c>
      <c r="O31" s="215">
        <f>-'CF"A"'!R24</f>
        <v>4856155.4352805912</v>
      </c>
      <c r="P31" s="215">
        <f>-'CF"A"'!S24</f>
        <v>4953278.543986164</v>
      </c>
      <c r="Q31" s="215">
        <f>-'CF"A"'!T24</f>
        <v>5052344.1148658097</v>
      </c>
      <c r="R31" s="215">
        <f>-'CF"A"'!U24</f>
        <v>5153390.997163184</v>
      </c>
    </row>
    <row r="32" spans="1:18">
      <c r="B32" s="62" t="s">
        <v>13</v>
      </c>
      <c r="C32" s="215">
        <f>+('BS"A"'!G33+'BS"A"'!G23-'BS"A"'!G71)</f>
        <v>-106995428.8</v>
      </c>
      <c r="D32" s="214">
        <f>+('BS"A"'!H33+'BS"A"'!H23-'BS"A"'!H71)</f>
        <v>-125949229.95999999</v>
      </c>
      <c r="E32" s="215">
        <f>+('BS"A"'!I33+'BS"A"'!I23-'BS"A"'!I71)</f>
        <v>-127501458.00187388</v>
      </c>
      <c r="F32" s="215">
        <f>+('BS"A"'!J33+'BS"A"'!J23-'BS"A"'!J71)</f>
        <v>-126917741.53879274</v>
      </c>
      <c r="G32" s="215">
        <f>+('BS"A"'!K33+'BS"A"'!K23-'BS"A"'!K71)</f>
        <v>-128843414.77598155</v>
      </c>
      <c r="H32" s="215">
        <f>+('BS"A"'!L33+'BS"A"'!L23-'BS"A"'!L71)</f>
        <v>-131479697.58132651</v>
      </c>
      <c r="I32" s="215">
        <f>+('BS"A"'!M33+'BS"A"'!M23-'BS"A"'!M71)</f>
        <v>-133003794.47718179</v>
      </c>
      <c r="J32" s="215">
        <f>+('BS"A"'!N33+'BS"A"'!N23-'BS"A"'!N71)</f>
        <v>-132153669.38655274</v>
      </c>
      <c r="K32" s="215">
        <f>+('BS"A"'!O33+'BS"A"'!O23-'BS"A"'!O71)</f>
        <v>-132064957.36835496</v>
      </c>
      <c r="L32" s="215">
        <f>+('BS"A"'!P33+'BS"A"'!P23-'BS"A"'!P71)</f>
        <v>-133737226.54719855</v>
      </c>
      <c r="M32" s="215">
        <f>+('BS"A"'!Q33+'BS"A"'!Q23-'BS"A"'!Q71)</f>
        <v>-131379603.11383437</v>
      </c>
      <c r="N32" s="215">
        <f>+('BS"A"'!R33+'BS"A"'!R23-'BS"A"'!R71)</f>
        <v>-131420588.07421792</v>
      </c>
      <c r="O32" s="215">
        <f>+('BS"A"'!S33+'BS"A"'!S23-'BS"A"'!S71)</f>
        <v>-131477468.61168747</v>
      </c>
      <c r="P32" s="215">
        <f>+('BS"A"'!T33+'BS"A"'!T23-'BS"A"'!T71)</f>
        <v>-131509742.2208422</v>
      </c>
      <c r="Q32" s="215">
        <f>+('BS"A"'!U33+'BS"A"'!U23-'BS"A"'!U71)</f>
        <v>-131493548.43641834</v>
      </c>
      <c r="R32" s="215">
        <f>+('BS"A"'!V33+'BS"A"'!V23-'BS"A"'!V71)</f>
        <v>-131440274.38110565</v>
      </c>
    </row>
    <row r="33" spans="2:18">
      <c r="B33" s="62" t="s">
        <v>14</v>
      </c>
      <c r="C33" s="215">
        <f t="shared" ref="C33:R33" si="3">+C34-C36</f>
        <v>-10408678.65</v>
      </c>
      <c r="D33" s="214">
        <f t="shared" si="3"/>
        <v>-27851088.379999999</v>
      </c>
      <c r="E33" s="215">
        <f t="shared" si="3"/>
        <v>-27851088.379999999</v>
      </c>
      <c r="F33" s="215">
        <f t="shared" si="3"/>
        <v>-27827089.215164308</v>
      </c>
      <c r="G33" s="215">
        <f t="shared" si="3"/>
        <v>-28183298.488507722</v>
      </c>
      <c r="H33" s="215">
        <f t="shared" si="3"/>
        <v>-29323940.249555442</v>
      </c>
      <c r="I33" s="215">
        <f t="shared" si="3"/>
        <v>-31026739.185891915</v>
      </c>
      <c r="J33" s="215">
        <f t="shared" si="3"/>
        <v>-33283801.902689476</v>
      </c>
      <c r="K33" s="215">
        <f t="shared" si="3"/>
        <v>-36934775.187091313</v>
      </c>
      <c r="L33" s="215">
        <f t="shared" si="3"/>
        <v>-42033480.834041052</v>
      </c>
      <c r="M33" s="215">
        <f t="shared" si="3"/>
        <v>-48511479.031878367</v>
      </c>
      <c r="N33" s="215">
        <f t="shared" si="3"/>
        <v>-55118202.024977908</v>
      </c>
      <c r="O33" s="215">
        <f t="shared" si="3"/>
        <v>-61855788.085467614</v>
      </c>
      <c r="P33" s="215">
        <f t="shared" si="3"/>
        <v>-68724011.041519299</v>
      </c>
      <c r="Q33" s="215">
        <f t="shared" si="3"/>
        <v>-75722317.213383928</v>
      </c>
      <c r="R33" s="215">
        <f t="shared" si="3"/>
        <v>-82850433.603948399</v>
      </c>
    </row>
    <row r="34" spans="2:18">
      <c r="B34" s="224" t="s">
        <v>15</v>
      </c>
      <c r="C34" s="215">
        <f>+('BS"A"'!G79)</f>
        <v>608873.73</v>
      </c>
      <c r="D34" s="214">
        <f>+('BS"A"'!H79)</f>
        <v>608873.73</v>
      </c>
      <c r="E34" s="215">
        <f>+('BS"A"'!I79)</f>
        <v>608873.73</v>
      </c>
      <c r="F34" s="215">
        <f>+('BS"A"'!J79)</f>
        <v>608873.73</v>
      </c>
      <c r="G34" s="215">
        <f>+('BS"A"'!K79)</f>
        <v>608873.73</v>
      </c>
      <c r="H34" s="215">
        <f>+('BS"A"'!L79)</f>
        <v>608873.73</v>
      </c>
      <c r="I34" s="215">
        <f>+('BS"A"'!M79)</f>
        <v>608873.73</v>
      </c>
      <c r="J34" s="215">
        <f>+('BS"A"'!N79)</f>
        <v>608873.73</v>
      </c>
      <c r="K34" s="215">
        <f>+('BS"A"'!O79)</f>
        <v>608873.73</v>
      </c>
      <c r="L34" s="215">
        <f>+('BS"A"'!P79)</f>
        <v>608873.73</v>
      </c>
      <c r="M34" s="215">
        <f>+('BS"A"'!Q79)</f>
        <v>608873.73</v>
      </c>
      <c r="N34" s="215">
        <f>+('BS"A"'!R79)</f>
        <v>608873.73</v>
      </c>
      <c r="O34" s="215">
        <f>+('BS"A"'!S79)</f>
        <v>608873.73</v>
      </c>
      <c r="P34" s="215">
        <f>+('BS"A"'!T79)</f>
        <v>608873.73</v>
      </c>
      <c r="Q34" s="215">
        <f>+('BS"A"'!U79)</f>
        <v>608873.73</v>
      </c>
      <c r="R34" s="215">
        <f>+('BS"A"'!V79)</f>
        <v>608873.73</v>
      </c>
    </row>
    <row r="35" spans="2:18">
      <c r="B35" s="225" t="s">
        <v>16</v>
      </c>
      <c r="C35" s="227">
        <f t="shared" ref="C35:R35" si="4">+C34/C29</f>
        <v>-2.8958823422659031E-2</v>
      </c>
      <c r="D35" s="226">
        <f t="shared" si="4"/>
        <v>-4.1155163720283806E-2</v>
      </c>
      <c r="E35" s="227">
        <f t="shared" si="4"/>
        <v>-1.3462352851640966E-2</v>
      </c>
      <c r="F35" s="227">
        <f t="shared" si="4"/>
        <v>-1.3563314455086791E-2</v>
      </c>
      <c r="G35" s="227">
        <f t="shared" si="4"/>
        <v>-1.3731331315395221E-2</v>
      </c>
      <c r="H35" s="227">
        <f t="shared" si="4"/>
        <v>-1.4767138396018996E-2</v>
      </c>
      <c r="I35" s="227">
        <f t="shared" si="4"/>
        <v>-1.5967305967324402E-2</v>
      </c>
      <c r="J35" s="227">
        <f t="shared" si="4"/>
        <v>-1.7397070750275936E-2</v>
      </c>
      <c r="K35" s="227">
        <f t="shared" si="4"/>
        <v>-2.0718723530776795E-2</v>
      </c>
      <c r="L35" s="227">
        <f t="shared" si="4"/>
        <v>-2.42438491594535E-2</v>
      </c>
      <c r="M35" s="227">
        <f t="shared" si="4"/>
        <v>-3.0726669326369343E-2</v>
      </c>
      <c r="N35" s="227">
        <f t="shared" si="4"/>
        <v>-3.1585586425586322E-2</v>
      </c>
      <c r="O35" s="227">
        <f t="shared" si="4"/>
        <v>-3.2506487556722648E-2</v>
      </c>
      <c r="P35" s="227">
        <f t="shared" si="4"/>
        <v>-3.3479014581588633E-2</v>
      </c>
      <c r="Q35" s="227">
        <f t="shared" si="4"/>
        <v>-3.4497624509776073E-2</v>
      </c>
      <c r="R35" s="227">
        <f t="shared" si="4"/>
        <v>-3.5568728263151383E-2</v>
      </c>
    </row>
    <row r="36" spans="2:18">
      <c r="B36" s="339" t="s">
        <v>17</v>
      </c>
      <c r="C36" s="340">
        <f>+'BS"A"'!G41</f>
        <v>11017552.380000001</v>
      </c>
      <c r="D36" s="341">
        <f>+'BS"A"'!H41</f>
        <v>28459962.109999999</v>
      </c>
      <c r="E36" s="340">
        <f>+'BS"A"'!I41</f>
        <v>28459962.109999999</v>
      </c>
      <c r="F36" s="340">
        <f>+'BS"A"'!J41</f>
        <v>28435962.945164308</v>
      </c>
      <c r="G36" s="340">
        <f>+'BS"A"'!K41</f>
        <v>28792172.218507722</v>
      </c>
      <c r="H36" s="340">
        <f>+'BS"A"'!L41</f>
        <v>29932813.979555443</v>
      </c>
      <c r="I36" s="340">
        <f>+'BS"A"'!M41</f>
        <v>31635612.915891916</v>
      </c>
      <c r="J36" s="340">
        <f>+'BS"A"'!N41</f>
        <v>33892675.632689476</v>
      </c>
      <c r="K36" s="340">
        <f>+'BS"A"'!O41</f>
        <v>37543648.91709131</v>
      </c>
      <c r="L36" s="340">
        <f>+'BS"A"'!P41</f>
        <v>42642354.564041048</v>
      </c>
      <c r="M36" s="340">
        <f>+'BS"A"'!Q41</f>
        <v>49120352.761878364</v>
      </c>
      <c r="N36" s="340">
        <f>+'BS"A"'!R41</f>
        <v>55727075.754977904</v>
      </c>
      <c r="O36" s="340">
        <f>+'BS"A"'!S41</f>
        <v>62464661.815467611</v>
      </c>
      <c r="P36" s="340">
        <f>+'BS"A"'!T41</f>
        <v>69332884.771519303</v>
      </c>
      <c r="Q36" s="340">
        <f>+'BS"A"'!U41</f>
        <v>76331190.943383932</v>
      </c>
      <c r="R36" s="340">
        <f>+'BS"A"'!V41</f>
        <v>83459307.333948404</v>
      </c>
    </row>
    <row r="38" spans="2:18">
      <c r="D38" s="215"/>
    </row>
    <row r="39" spans="2:18">
      <c r="D39" s="215"/>
    </row>
  </sheetData>
  <dataValidations count="1">
    <dataValidation type="list" allowBlank="1" showInputMessage="1" showErrorMessage="1" sqref="C5" xr:uid="{E6758CE7-7AE1-4896-A514-0D07FABFAEE4}">
      <formula1>$H$11:$R$11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043580-AB58-44F4-BCBB-67BCBA33AE18}">
          <x14:formula1>
            <xm:f>'FCFs"0"'!#REF!</xm:f>
          </x14:formula1>
          <xm:sqref>C6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6DF65-DC47-489B-B3A0-AB9DE5C15023}">
  <dimension ref="B2:N56"/>
  <sheetViews>
    <sheetView workbookViewId="0">
      <selection activeCell="E24" sqref="E24"/>
    </sheetView>
  </sheetViews>
  <sheetFormatPr baseColWidth="10" defaultColWidth="8.83203125" defaultRowHeight="15"/>
  <cols>
    <col min="1" max="1" width="4.5" style="770" customWidth="1"/>
    <col min="2" max="2" width="22" style="770" customWidth="1"/>
    <col min="3" max="3" width="13.5" style="770" customWidth="1"/>
    <col min="4" max="13" width="13.1640625" style="770" customWidth="1"/>
    <col min="14" max="251" width="8.83203125" style="770"/>
    <col min="252" max="252" width="4.1640625" style="770" customWidth="1"/>
    <col min="253" max="253" width="6.1640625" style="770" customWidth="1"/>
    <col min="254" max="254" width="58" style="770" customWidth="1"/>
    <col min="255" max="255" width="22.6640625" style="770" customWidth="1"/>
    <col min="256" max="258" width="8.83203125" style="770"/>
    <col min="259" max="259" width="13.5" style="770" customWidth="1"/>
    <col min="260" max="266" width="13.1640625" style="770" customWidth="1"/>
    <col min="267" max="507" width="8.83203125" style="770"/>
    <col min="508" max="508" width="4.1640625" style="770" customWidth="1"/>
    <col min="509" max="509" width="6.1640625" style="770" customWidth="1"/>
    <col min="510" max="510" width="58" style="770" customWidth="1"/>
    <col min="511" max="511" width="22.6640625" style="770" customWidth="1"/>
    <col min="512" max="514" width="8.83203125" style="770"/>
    <col min="515" max="515" width="13.5" style="770" customWidth="1"/>
    <col min="516" max="522" width="13.1640625" style="770" customWidth="1"/>
    <col min="523" max="763" width="8.83203125" style="770"/>
    <col min="764" max="764" width="4.1640625" style="770" customWidth="1"/>
    <col min="765" max="765" width="6.1640625" style="770" customWidth="1"/>
    <col min="766" max="766" width="58" style="770" customWidth="1"/>
    <col min="767" max="767" width="22.6640625" style="770" customWidth="1"/>
    <col min="768" max="770" width="8.83203125" style="770"/>
    <col min="771" max="771" width="13.5" style="770" customWidth="1"/>
    <col min="772" max="778" width="13.1640625" style="770" customWidth="1"/>
    <col min="779" max="1019" width="8.83203125" style="770"/>
    <col min="1020" max="1020" width="4.1640625" style="770" customWidth="1"/>
    <col min="1021" max="1021" width="6.1640625" style="770" customWidth="1"/>
    <col min="1022" max="1022" width="58" style="770" customWidth="1"/>
    <col min="1023" max="1023" width="22.6640625" style="770" customWidth="1"/>
    <col min="1024" max="1026" width="8.83203125" style="770"/>
    <col min="1027" max="1027" width="13.5" style="770" customWidth="1"/>
    <col min="1028" max="1034" width="13.1640625" style="770" customWidth="1"/>
    <col min="1035" max="1275" width="8.83203125" style="770"/>
    <col min="1276" max="1276" width="4.1640625" style="770" customWidth="1"/>
    <col min="1277" max="1277" width="6.1640625" style="770" customWidth="1"/>
    <col min="1278" max="1278" width="58" style="770" customWidth="1"/>
    <col min="1279" max="1279" width="22.6640625" style="770" customWidth="1"/>
    <col min="1280" max="1282" width="8.83203125" style="770"/>
    <col min="1283" max="1283" width="13.5" style="770" customWidth="1"/>
    <col min="1284" max="1290" width="13.1640625" style="770" customWidth="1"/>
    <col min="1291" max="1531" width="8.83203125" style="770"/>
    <col min="1532" max="1532" width="4.1640625" style="770" customWidth="1"/>
    <col min="1533" max="1533" width="6.1640625" style="770" customWidth="1"/>
    <col min="1534" max="1534" width="58" style="770" customWidth="1"/>
    <col min="1535" max="1535" width="22.6640625" style="770" customWidth="1"/>
    <col min="1536" max="1538" width="8.83203125" style="770"/>
    <col min="1539" max="1539" width="13.5" style="770" customWidth="1"/>
    <col min="1540" max="1546" width="13.1640625" style="770" customWidth="1"/>
    <col min="1547" max="1787" width="8.83203125" style="770"/>
    <col min="1788" max="1788" width="4.1640625" style="770" customWidth="1"/>
    <col min="1789" max="1789" width="6.1640625" style="770" customWidth="1"/>
    <col min="1790" max="1790" width="58" style="770" customWidth="1"/>
    <col min="1791" max="1791" width="22.6640625" style="770" customWidth="1"/>
    <col min="1792" max="1794" width="8.83203125" style="770"/>
    <col min="1795" max="1795" width="13.5" style="770" customWidth="1"/>
    <col min="1796" max="1802" width="13.1640625" style="770" customWidth="1"/>
    <col min="1803" max="2043" width="8.83203125" style="770"/>
    <col min="2044" max="2044" width="4.1640625" style="770" customWidth="1"/>
    <col min="2045" max="2045" width="6.1640625" style="770" customWidth="1"/>
    <col min="2046" max="2046" width="58" style="770" customWidth="1"/>
    <col min="2047" max="2047" width="22.6640625" style="770" customWidth="1"/>
    <col min="2048" max="2050" width="8.83203125" style="770"/>
    <col min="2051" max="2051" width="13.5" style="770" customWidth="1"/>
    <col min="2052" max="2058" width="13.1640625" style="770" customWidth="1"/>
    <col min="2059" max="2299" width="8.83203125" style="770"/>
    <col min="2300" max="2300" width="4.1640625" style="770" customWidth="1"/>
    <col min="2301" max="2301" width="6.1640625" style="770" customWidth="1"/>
    <col min="2302" max="2302" width="58" style="770" customWidth="1"/>
    <col min="2303" max="2303" width="22.6640625" style="770" customWidth="1"/>
    <col min="2304" max="2306" width="8.83203125" style="770"/>
    <col min="2307" max="2307" width="13.5" style="770" customWidth="1"/>
    <col min="2308" max="2314" width="13.1640625" style="770" customWidth="1"/>
    <col min="2315" max="2555" width="8.83203125" style="770"/>
    <col min="2556" max="2556" width="4.1640625" style="770" customWidth="1"/>
    <col min="2557" max="2557" width="6.1640625" style="770" customWidth="1"/>
    <col min="2558" max="2558" width="58" style="770" customWidth="1"/>
    <col min="2559" max="2559" width="22.6640625" style="770" customWidth="1"/>
    <col min="2560" max="2562" width="8.83203125" style="770"/>
    <col min="2563" max="2563" width="13.5" style="770" customWidth="1"/>
    <col min="2564" max="2570" width="13.1640625" style="770" customWidth="1"/>
    <col min="2571" max="2811" width="8.83203125" style="770"/>
    <col min="2812" max="2812" width="4.1640625" style="770" customWidth="1"/>
    <col min="2813" max="2813" width="6.1640625" style="770" customWidth="1"/>
    <col min="2814" max="2814" width="58" style="770" customWidth="1"/>
    <col min="2815" max="2815" width="22.6640625" style="770" customWidth="1"/>
    <col min="2816" max="2818" width="8.83203125" style="770"/>
    <col min="2819" max="2819" width="13.5" style="770" customWidth="1"/>
    <col min="2820" max="2826" width="13.1640625" style="770" customWidth="1"/>
    <col min="2827" max="3067" width="8.83203125" style="770"/>
    <col min="3068" max="3068" width="4.1640625" style="770" customWidth="1"/>
    <col min="3069" max="3069" width="6.1640625" style="770" customWidth="1"/>
    <col min="3070" max="3070" width="58" style="770" customWidth="1"/>
    <col min="3071" max="3071" width="22.6640625" style="770" customWidth="1"/>
    <col min="3072" max="3074" width="8.83203125" style="770"/>
    <col min="3075" max="3075" width="13.5" style="770" customWidth="1"/>
    <col min="3076" max="3082" width="13.1640625" style="770" customWidth="1"/>
    <col min="3083" max="3323" width="8.83203125" style="770"/>
    <col min="3324" max="3324" width="4.1640625" style="770" customWidth="1"/>
    <col min="3325" max="3325" width="6.1640625" style="770" customWidth="1"/>
    <col min="3326" max="3326" width="58" style="770" customWidth="1"/>
    <col min="3327" max="3327" width="22.6640625" style="770" customWidth="1"/>
    <col min="3328" max="3330" width="8.83203125" style="770"/>
    <col min="3331" max="3331" width="13.5" style="770" customWidth="1"/>
    <col min="3332" max="3338" width="13.1640625" style="770" customWidth="1"/>
    <col min="3339" max="3579" width="8.83203125" style="770"/>
    <col min="3580" max="3580" width="4.1640625" style="770" customWidth="1"/>
    <col min="3581" max="3581" width="6.1640625" style="770" customWidth="1"/>
    <col min="3582" max="3582" width="58" style="770" customWidth="1"/>
    <col min="3583" max="3583" width="22.6640625" style="770" customWidth="1"/>
    <col min="3584" max="3586" width="8.83203125" style="770"/>
    <col min="3587" max="3587" width="13.5" style="770" customWidth="1"/>
    <col min="3588" max="3594" width="13.1640625" style="770" customWidth="1"/>
    <col min="3595" max="3835" width="8.83203125" style="770"/>
    <col min="3836" max="3836" width="4.1640625" style="770" customWidth="1"/>
    <col min="3837" max="3837" width="6.1640625" style="770" customWidth="1"/>
    <col min="3838" max="3838" width="58" style="770" customWidth="1"/>
    <col min="3839" max="3839" width="22.6640625" style="770" customWidth="1"/>
    <col min="3840" max="3842" width="8.83203125" style="770"/>
    <col min="3843" max="3843" width="13.5" style="770" customWidth="1"/>
    <col min="3844" max="3850" width="13.1640625" style="770" customWidth="1"/>
    <col min="3851" max="4091" width="8.83203125" style="770"/>
    <col min="4092" max="4092" width="4.1640625" style="770" customWidth="1"/>
    <col min="4093" max="4093" width="6.1640625" style="770" customWidth="1"/>
    <col min="4094" max="4094" width="58" style="770" customWidth="1"/>
    <col min="4095" max="4095" width="22.6640625" style="770" customWidth="1"/>
    <col min="4096" max="4098" width="8.83203125" style="770"/>
    <col min="4099" max="4099" width="13.5" style="770" customWidth="1"/>
    <col min="4100" max="4106" width="13.1640625" style="770" customWidth="1"/>
    <col min="4107" max="4347" width="8.83203125" style="770"/>
    <col min="4348" max="4348" width="4.1640625" style="770" customWidth="1"/>
    <col min="4349" max="4349" width="6.1640625" style="770" customWidth="1"/>
    <col min="4350" max="4350" width="58" style="770" customWidth="1"/>
    <col min="4351" max="4351" width="22.6640625" style="770" customWidth="1"/>
    <col min="4352" max="4354" width="8.83203125" style="770"/>
    <col min="4355" max="4355" width="13.5" style="770" customWidth="1"/>
    <col min="4356" max="4362" width="13.1640625" style="770" customWidth="1"/>
    <col min="4363" max="4603" width="8.83203125" style="770"/>
    <col min="4604" max="4604" width="4.1640625" style="770" customWidth="1"/>
    <col min="4605" max="4605" width="6.1640625" style="770" customWidth="1"/>
    <col min="4606" max="4606" width="58" style="770" customWidth="1"/>
    <col min="4607" max="4607" width="22.6640625" style="770" customWidth="1"/>
    <col min="4608" max="4610" width="8.83203125" style="770"/>
    <col min="4611" max="4611" width="13.5" style="770" customWidth="1"/>
    <col min="4612" max="4618" width="13.1640625" style="770" customWidth="1"/>
    <col min="4619" max="4859" width="8.83203125" style="770"/>
    <col min="4860" max="4860" width="4.1640625" style="770" customWidth="1"/>
    <col min="4861" max="4861" width="6.1640625" style="770" customWidth="1"/>
    <col min="4862" max="4862" width="58" style="770" customWidth="1"/>
    <col min="4863" max="4863" width="22.6640625" style="770" customWidth="1"/>
    <col min="4864" max="4866" width="8.83203125" style="770"/>
    <col min="4867" max="4867" width="13.5" style="770" customWidth="1"/>
    <col min="4868" max="4874" width="13.1640625" style="770" customWidth="1"/>
    <col min="4875" max="5115" width="8.83203125" style="770"/>
    <col min="5116" max="5116" width="4.1640625" style="770" customWidth="1"/>
    <col min="5117" max="5117" width="6.1640625" style="770" customWidth="1"/>
    <col min="5118" max="5118" width="58" style="770" customWidth="1"/>
    <col min="5119" max="5119" width="22.6640625" style="770" customWidth="1"/>
    <col min="5120" max="5122" width="8.83203125" style="770"/>
    <col min="5123" max="5123" width="13.5" style="770" customWidth="1"/>
    <col min="5124" max="5130" width="13.1640625" style="770" customWidth="1"/>
    <col min="5131" max="5371" width="8.83203125" style="770"/>
    <col min="5372" max="5372" width="4.1640625" style="770" customWidth="1"/>
    <col min="5373" max="5373" width="6.1640625" style="770" customWidth="1"/>
    <col min="5374" max="5374" width="58" style="770" customWidth="1"/>
    <col min="5375" max="5375" width="22.6640625" style="770" customWidth="1"/>
    <col min="5376" max="5378" width="8.83203125" style="770"/>
    <col min="5379" max="5379" width="13.5" style="770" customWidth="1"/>
    <col min="5380" max="5386" width="13.1640625" style="770" customWidth="1"/>
    <col min="5387" max="5627" width="8.83203125" style="770"/>
    <col min="5628" max="5628" width="4.1640625" style="770" customWidth="1"/>
    <col min="5629" max="5629" width="6.1640625" style="770" customWidth="1"/>
    <col min="5630" max="5630" width="58" style="770" customWidth="1"/>
    <col min="5631" max="5631" width="22.6640625" style="770" customWidth="1"/>
    <col min="5632" max="5634" width="8.83203125" style="770"/>
    <col min="5635" max="5635" width="13.5" style="770" customWidth="1"/>
    <col min="5636" max="5642" width="13.1640625" style="770" customWidth="1"/>
    <col min="5643" max="5883" width="8.83203125" style="770"/>
    <col min="5884" max="5884" width="4.1640625" style="770" customWidth="1"/>
    <col min="5885" max="5885" width="6.1640625" style="770" customWidth="1"/>
    <col min="5886" max="5886" width="58" style="770" customWidth="1"/>
    <col min="5887" max="5887" width="22.6640625" style="770" customWidth="1"/>
    <col min="5888" max="5890" width="8.83203125" style="770"/>
    <col min="5891" max="5891" width="13.5" style="770" customWidth="1"/>
    <col min="5892" max="5898" width="13.1640625" style="770" customWidth="1"/>
    <col min="5899" max="6139" width="8.83203125" style="770"/>
    <col min="6140" max="6140" width="4.1640625" style="770" customWidth="1"/>
    <col min="6141" max="6141" width="6.1640625" style="770" customWidth="1"/>
    <col min="6142" max="6142" width="58" style="770" customWidth="1"/>
    <col min="6143" max="6143" width="22.6640625" style="770" customWidth="1"/>
    <col min="6144" max="6146" width="8.83203125" style="770"/>
    <col min="6147" max="6147" width="13.5" style="770" customWidth="1"/>
    <col min="6148" max="6154" width="13.1640625" style="770" customWidth="1"/>
    <col min="6155" max="6395" width="8.83203125" style="770"/>
    <col min="6396" max="6396" width="4.1640625" style="770" customWidth="1"/>
    <col min="6397" max="6397" width="6.1640625" style="770" customWidth="1"/>
    <col min="6398" max="6398" width="58" style="770" customWidth="1"/>
    <col min="6399" max="6399" width="22.6640625" style="770" customWidth="1"/>
    <col min="6400" max="6402" width="8.83203125" style="770"/>
    <col min="6403" max="6403" width="13.5" style="770" customWidth="1"/>
    <col min="6404" max="6410" width="13.1640625" style="770" customWidth="1"/>
    <col min="6411" max="6651" width="8.83203125" style="770"/>
    <col min="6652" max="6652" width="4.1640625" style="770" customWidth="1"/>
    <col min="6653" max="6653" width="6.1640625" style="770" customWidth="1"/>
    <col min="6654" max="6654" width="58" style="770" customWidth="1"/>
    <col min="6655" max="6655" width="22.6640625" style="770" customWidth="1"/>
    <col min="6656" max="6658" width="8.83203125" style="770"/>
    <col min="6659" max="6659" width="13.5" style="770" customWidth="1"/>
    <col min="6660" max="6666" width="13.1640625" style="770" customWidth="1"/>
    <col min="6667" max="6907" width="8.83203125" style="770"/>
    <col min="6908" max="6908" width="4.1640625" style="770" customWidth="1"/>
    <col min="6909" max="6909" width="6.1640625" style="770" customWidth="1"/>
    <col min="6910" max="6910" width="58" style="770" customWidth="1"/>
    <col min="6911" max="6911" width="22.6640625" style="770" customWidth="1"/>
    <col min="6912" max="6914" width="8.83203125" style="770"/>
    <col min="6915" max="6915" width="13.5" style="770" customWidth="1"/>
    <col min="6916" max="6922" width="13.1640625" style="770" customWidth="1"/>
    <col min="6923" max="7163" width="8.83203125" style="770"/>
    <col min="7164" max="7164" width="4.1640625" style="770" customWidth="1"/>
    <col min="7165" max="7165" width="6.1640625" style="770" customWidth="1"/>
    <col min="7166" max="7166" width="58" style="770" customWidth="1"/>
    <col min="7167" max="7167" width="22.6640625" style="770" customWidth="1"/>
    <col min="7168" max="7170" width="8.83203125" style="770"/>
    <col min="7171" max="7171" width="13.5" style="770" customWidth="1"/>
    <col min="7172" max="7178" width="13.1640625" style="770" customWidth="1"/>
    <col min="7179" max="7419" width="8.83203125" style="770"/>
    <col min="7420" max="7420" width="4.1640625" style="770" customWidth="1"/>
    <col min="7421" max="7421" width="6.1640625" style="770" customWidth="1"/>
    <col min="7422" max="7422" width="58" style="770" customWidth="1"/>
    <col min="7423" max="7423" width="22.6640625" style="770" customWidth="1"/>
    <col min="7424" max="7426" width="8.83203125" style="770"/>
    <col min="7427" max="7427" width="13.5" style="770" customWidth="1"/>
    <col min="7428" max="7434" width="13.1640625" style="770" customWidth="1"/>
    <col min="7435" max="7675" width="8.83203125" style="770"/>
    <col min="7676" max="7676" width="4.1640625" style="770" customWidth="1"/>
    <col min="7677" max="7677" width="6.1640625" style="770" customWidth="1"/>
    <col min="7678" max="7678" width="58" style="770" customWidth="1"/>
    <col min="7679" max="7679" width="22.6640625" style="770" customWidth="1"/>
    <col min="7680" max="7682" width="8.83203125" style="770"/>
    <col min="7683" max="7683" width="13.5" style="770" customWidth="1"/>
    <col min="7684" max="7690" width="13.1640625" style="770" customWidth="1"/>
    <col min="7691" max="7931" width="8.83203125" style="770"/>
    <col min="7932" max="7932" width="4.1640625" style="770" customWidth="1"/>
    <col min="7933" max="7933" width="6.1640625" style="770" customWidth="1"/>
    <col min="7934" max="7934" width="58" style="770" customWidth="1"/>
    <col min="7935" max="7935" width="22.6640625" style="770" customWidth="1"/>
    <col min="7936" max="7938" width="8.83203125" style="770"/>
    <col min="7939" max="7939" width="13.5" style="770" customWidth="1"/>
    <col min="7940" max="7946" width="13.1640625" style="770" customWidth="1"/>
    <col min="7947" max="8187" width="8.83203125" style="770"/>
    <col min="8188" max="8188" width="4.1640625" style="770" customWidth="1"/>
    <col min="8189" max="8189" width="6.1640625" style="770" customWidth="1"/>
    <col min="8190" max="8190" width="58" style="770" customWidth="1"/>
    <col min="8191" max="8191" width="22.6640625" style="770" customWidth="1"/>
    <col min="8192" max="8194" width="8.83203125" style="770"/>
    <col min="8195" max="8195" width="13.5" style="770" customWidth="1"/>
    <col min="8196" max="8202" width="13.1640625" style="770" customWidth="1"/>
    <col min="8203" max="8443" width="8.83203125" style="770"/>
    <col min="8444" max="8444" width="4.1640625" style="770" customWidth="1"/>
    <col min="8445" max="8445" width="6.1640625" style="770" customWidth="1"/>
    <col min="8446" max="8446" width="58" style="770" customWidth="1"/>
    <col min="8447" max="8447" width="22.6640625" style="770" customWidth="1"/>
    <col min="8448" max="8450" width="8.83203125" style="770"/>
    <col min="8451" max="8451" width="13.5" style="770" customWidth="1"/>
    <col min="8452" max="8458" width="13.1640625" style="770" customWidth="1"/>
    <col min="8459" max="8699" width="8.83203125" style="770"/>
    <col min="8700" max="8700" width="4.1640625" style="770" customWidth="1"/>
    <col min="8701" max="8701" width="6.1640625" style="770" customWidth="1"/>
    <col min="8702" max="8702" width="58" style="770" customWidth="1"/>
    <col min="8703" max="8703" width="22.6640625" style="770" customWidth="1"/>
    <col min="8704" max="8706" width="8.83203125" style="770"/>
    <col min="8707" max="8707" width="13.5" style="770" customWidth="1"/>
    <col min="8708" max="8714" width="13.1640625" style="770" customWidth="1"/>
    <col min="8715" max="8955" width="8.83203125" style="770"/>
    <col min="8956" max="8956" width="4.1640625" style="770" customWidth="1"/>
    <col min="8957" max="8957" width="6.1640625" style="770" customWidth="1"/>
    <col min="8958" max="8958" width="58" style="770" customWidth="1"/>
    <col min="8959" max="8959" width="22.6640625" style="770" customWidth="1"/>
    <col min="8960" max="8962" width="8.83203125" style="770"/>
    <col min="8963" max="8963" width="13.5" style="770" customWidth="1"/>
    <col min="8964" max="8970" width="13.1640625" style="770" customWidth="1"/>
    <col min="8971" max="9211" width="8.83203125" style="770"/>
    <col min="9212" max="9212" width="4.1640625" style="770" customWidth="1"/>
    <col min="9213" max="9213" width="6.1640625" style="770" customWidth="1"/>
    <col min="9214" max="9214" width="58" style="770" customWidth="1"/>
    <col min="9215" max="9215" width="22.6640625" style="770" customWidth="1"/>
    <col min="9216" max="9218" width="8.83203125" style="770"/>
    <col min="9219" max="9219" width="13.5" style="770" customWidth="1"/>
    <col min="9220" max="9226" width="13.1640625" style="770" customWidth="1"/>
    <col min="9227" max="9467" width="8.83203125" style="770"/>
    <col min="9468" max="9468" width="4.1640625" style="770" customWidth="1"/>
    <col min="9469" max="9469" width="6.1640625" style="770" customWidth="1"/>
    <col min="9470" max="9470" width="58" style="770" customWidth="1"/>
    <col min="9471" max="9471" width="22.6640625" style="770" customWidth="1"/>
    <col min="9472" max="9474" width="8.83203125" style="770"/>
    <col min="9475" max="9475" width="13.5" style="770" customWidth="1"/>
    <col min="9476" max="9482" width="13.1640625" style="770" customWidth="1"/>
    <col min="9483" max="9723" width="8.83203125" style="770"/>
    <col min="9724" max="9724" width="4.1640625" style="770" customWidth="1"/>
    <col min="9725" max="9725" width="6.1640625" style="770" customWidth="1"/>
    <col min="9726" max="9726" width="58" style="770" customWidth="1"/>
    <col min="9727" max="9727" width="22.6640625" style="770" customWidth="1"/>
    <col min="9728" max="9730" width="8.83203125" style="770"/>
    <col min="9731" max="9731" width="13.5" style="770" customWidth="1"/>
    <col min="9732" max="9738" width="13.1640625" style="770" customWidth="1"/>
    <col min="9739" max="9979" width="8.83203125" style="770"/>
    <col min="9980" max="9980" width="4.1640625" style="770" customWidth="1"/>
    <col min="9981" max="9981" width="6.1640625" style="770" customWidth="1"/>
    <col min="9982" max="9982" width="58" style="770" customWidth="1"/>
    <col min="9983" max="9983" width="22.6640625" style="770" customWidth="1"/>
    <col min="9984" max="9986" width="8.83203125" style="770"/>
    <col min="9987" max="9987" width="13.5" style="770" customWidth="1"/>
    <col min="9988" max="9994" width="13.1640625" style="770" customWidth="1"/>
    <col min="9995" max="10235" width="8.83203125" style="770"/>
    <col min="10236" max="10236" width="4.1640625" style="770" customWidth="1"/>
    <col min="10237" max="10237" width="6.1640625" style="770" customWidth="1"/>
    <col min="10238" max="10238" width="58" style="770" customWidth="1"/>
    <col min="10239" max="10239" width="22.6640625" style="770" customWidth="1"/>
    <col min="10240" max="10242" width="8.83203125" style="770"/>
    <col min="10243" max="10243" width="13.5" style="770" customWidth="1"/>
    <col min="10244" max="10250" width="13.1640625" style="770" customWidth="1"/>
    <col min="10251" max="10491" width="8.83203125" style="770"/>
    <col min="10492" max="10492" width="4.1640625" style="770" customWidth="1"/>
    <col min="10493" max="10493" width="6.1640625" style="770" customWidth="1"/>
    <col min="10494" max="10494" width="58" style="770" customWidth="1"/>
    <col min="10495" max="10495" width="22.6640625" style="770" customWidth="1"/>
    <col min="10496" max="10498" width="8.83203125" style="770"/>
    <col min="10499" max="10499" width="13.5" style="770" customWidth="1"/>
    <col min="10500" max="10506" width="13.1640625" style="770" customWidth="1"/>
    <col min="10507" max="10747" width="8.83203125" style="770"/>
    <col min="10748" max="10748" width="4.1640625" style="770" customWidth="1"/>
    <col min="10749" max="10749" width="6.1640625" style="770" customWidth="1"/>
    <col min="10750" max="10750" width="58" style="770" customWidth="1"/>
    <col min="10751" max="10751" width="22.6640625" style="770" customWidth="1"/>
    <col min="10752" max="10754" width="8.83203125" style="770"/>
    <col min="10755" max="10755" width="13.5" style="770" customWidth="1"/>
    <col min="10756" max="10762" width="13.1640625" style="770" customWidth="1"/>
    <col min="10763" max="11003" width="8.83203125" style="770"/>
    <col min="11004" max="11004" width="4.1640625" style="770" customWidth="1"/>
    <col min="11005" max="11005" width="6.1640625" style="770" customWidth="1"/>
    <col min="11006" max="11006" width="58" style="770" customWidth="1"/>
    <col min="11007" max="11007" width="22.6640625" style="770" customWidth="1"/>
    <col min="11008" max="11010" width="8.83203125" style="770"/>
    <col min="11011" max="11011" width="13.5" style="770" customWidth="1"/>
    <col min="11012" max="11018" width="13.1640625" style="770" customWidth="1"/>
    <col min="11019" max="11259" width="8.83203125" style="770"/>
    <col min="11260" max="11260" width="4.1640625" style="770" customWidth="1"/>
    <col min="11261" max="11261" width="6.1640625" style="770" customWidth="1"/>
    <col min="11262" max="11262" width="58" style="770" customWidth="1"/>
    <col min="11263" max="11263" width="22.6640625" style="770" customWidth="1"/>
    <col min="11264" max="11266" width="8.83203125" style="770"/>
    <col min="11267" max="11267" width="13.5" style="770" customWidth="1"/>
    <col min="11268" max="11274" width="13.1640625" style="770" customWidth="1"/>
    <col min="11275" max="11515" width="8.83203125" style="770"/>
    <col min="11516" max="11516" width="4.1640625" style="770" customWidth="1"/>
    <col min="11517" max="11517" width="6.1640625" style="770" customWidth="1"/>
    <col min="11518" max="11518" width="58" style="770" customWidth="1"/>
    <col min="11519" max="11519" width="22.6640625" style="770" customWidth="1"/>
    <col min="11520" max="11522" width="8.83203125" style="770"/>
    <col min="11523" max="11523" width="13.5" style="770" customWidth="1"/>
    <col min="11524" max="11530" width="13.1640625" style="770" customWidth="1"/>
    <col min="11531" max="11771" width="8.83203125" style="770"/>
    <col min="11772" max="11772" width="4.1640625" style="770" customWidth="1"/>
    <col min="11773" max="11773" width="6.1640625" style="770" customWidth="1"/>
    <col min="11774" max="11774" width="58" style="770" customWidth="1"/>
    <col min="11775" max="11775" width="22.6640625" style="770" customWidth="1"/>
    <col min="11776" max="11778" width="8.83203125" style="770"/>
    <col min="11779" max="11779" width="13.5" style="770" customWidth="1"/>
    <col min="11780" max="11786" width="13.1640625" style="770" customWidth="1"/>
    <col min="11787" max="12027" width="8.83203125" style="770"/>
    <col min="12028" max="12028" width="4.1640625" style="770" customWidth="1"/>
    <col min="12029" max="12029" width="6.1640625" style="770" customWidth="1"/>
    <col min="12030" max="12030" width="58" style="770" customWidth="1"/>
    <col min="12031" max="12031" width="22.6640625" style="770" customWidth="1"/>
    <col min="12032" max="12034" width="8.83203125" style="770"/>
    <col min="12035" max="12035" width="13.5" style="770" customWidth="1"/>
    <col min="12036" max="12042" width="13.1640625" style="770" customWidth="1"/>
    <col min="12043" max="12283" width="8.83203125" style="770"/>
    <col min="12284" max="12284" width="4.1640625" style="770" customWidth="1"/>
    <col min="12285" max="12285" width="6.1640625" style="770" customWidth="1"/>
    <col min="12286" max="12286" width="58" style="770" customWidth="1"/>
    <col min="12287" max="12287" width="22.6640625" style="770" customWidth="1"/>
    <col min="12288" max="12290" width="8.83203125" style="770"/>
    <col min="12291" max="12291" width="13.5" style="770" customWidth="1"/>
    <col min="12292" max="12298" width="13.1640625" style="770" customWidth="1"/>
    <col min="12299" max="12539" width="8.83203125" style="770"/>
    <col min="12540" max="12540" width="4.1640625" style="770" customWidth="1"/>
    <col min="12541" max="12541" width="6.1640625" style="770" customWidth="1"/>
    <col min="12542" max="12542" width="58" style="770" customWidth="1"/>
    <col min="12543" max="12543" width="22.6640625" style="770" customWidth="1"/>
    <col min="12544" max="12546" width="8.83203125" style="770"/>
    <col min="12547" max="12547" width="13.5" style="770" customWidth="1"/>
    <col min="12548" max="12554" width="13.1640625" style="770" customWidth="1"/>
    <col min="12555" max="12795" width="8.83203125" style="770"/>
    <col min="12796" max="12796" width="4.1640625" style="770" customWidth="1"/>
    <col min="12797" max="12797" width="6.1640625" style="770" customWidth="1"/>
    <col min="12798" max="12798" width="58" style="770" customWidth="1"/>
    <col min="12799" max="12799" width="22.6640625" style="770" customWidth="1"/>
    <col min="12800" max="12802" width="8.83203125" style="770"/>
    <col min="12803" max="12803" width="13.5" style="770" customWidth="1"/>
    <col min="12804" max="12810" width="13.1640625" style="770" customWidth="1"/>
    <col min="12811" max="13051" width="8.83203125" style="770"/>
    <col min="13052" max="13052" width="4.1640625" style="770" customWidth="1"/>
    <col min="13053" max="13053" width="6.1640625" style="770" customWidth="1"/>
    <col min="13054" max="13054" width="58" style="770" customWidth="1"/>
    <col min="13055" max="13055" width="22.6640625" style="770" customWidth="1"/>
    <col min="13056" max="13058" width="8.83203125" style="770"/>
    <col min="13059" max="13059" width="13.5" style="770" customWidth="1"/>
    <col min="13060" max="13066" width="13.1640625" style="770" customWidth="1"/>
    <col min="13067" max="13307" width="8.83203125" style="770"/>
    <col min="13308" max="13308" width="4.1640625" style="770" customWidth="1"/>
    <col min="13309" max="13309" width="6.1640625" style="770" customWidth="1"/>
    <col min="13310" max="13310" width="58" style="770" customWidth="1"/>
    <col min="13311" max="13311" width="22.6640625" style="770" customWidth="1"/>
    <col min="13312" max="13314" width="8.83203125" style="770"/>
    <col min="13315" max="13315" width="13.5" style="770" customWidth="1"/>
    <col min="13316" max="13322" width="13.1640625" style="770" customWidth="1"/>
    <col min="13323" max="13563" width="8.83203125" style="770"/>
    <col min="13564" max="13564" width="4.1640625" style="770" customWidth="1"/>
    <col min="13565" max="13565" width="6.1640625" style="770" customWidth="1"/>
    <col min="13566" max="13566" width="58" style="770" customWidth="1"/>
    <col min="13567" max="13567" width="22.6640625" style="770" customWidth="1"/>
    <col min="13568" max="13570" width="8.83203125" style="770"/>
    <col min="13571" max="13571" width="13.5" style="770" customWidth="1"/>
    <col min="13572" max="13578" width="13.1640625" style="770" customWidth="1"/>
    <col min="13579" max="13819" width="8.83203125" style="770"/>
    <col min="13820" max="13820" width="4.1640625" style="770" customWidth="1"/>
    <col min="13821" max="13821" width="6.1640625" style="770" customWidth="1"/>
    <col min="13822" max="13822" width="58" style="770" customWidth="1"/>
    <col min="13823" max="13823" width="22.6640625" style="770" customWidth="1"/>
    <col min="13824" max="13826" width="8.83203125" style="770"/>
    <col min="13827" max="13827" width="13.5" style="770" customWidth="1"/>
    <col min="13828" max="13834" width="13.1640625" style="770" customWidth="1"/>
    <col min="13835" max="14075" width="8.83203125" style="770"/>
    <col min="14076" max="14076" width="4.1640625" style="770" customWidth="1"/>
    <col min="14077" max="14077" width="6.1640625" style="770" customWidth="1"/>
    <col min="14078" max="14078" width="58" style="770" customWidth="1"/>
    <col min="14079" max="14079" width="22.6640625" style="770" customWidth="1"/>
    <col min="14080" max="14082" width="8.83203125" style="770"/>
    <col min="14083" max="14083" width="13.5" style="770" customWidth="1"/>
    <col min="14084" max="14090" width="13.1640625" style="770" customWidth="1"/>
    <col min="14091" max="14331" width="8.83203125" style="770"/>
    <col min="14332" max="14332" width="4.1640625" style="770" customWidth="1"/>
    <col min="14333" max="14333" width="6.1640625" style="770" customWidth="1"/>
    <col min="14334" max="14334" width="58" style="770" customWidth="1"/>
    <col min="14335" max="14335" width="22.6640625" style="770" customWidth="1"/>
    <col min="14336" max="14338" width="8.83203125" style="770"/>
    <col min="14339" max="14339" width="13.5" style="770" customWidth="1"/>
    <col min="14340" max="14346" width="13.1640625" style="770" customWidth="1"/>
    <col min="14347" max="14587" width="8.83203125" style="770"/>
    <col min="14588" max="14588" width="4.1640625" style="770" customWidth="1"/>
    <col min="14589" max="14589" width="6.1640625" style="770" customWidth="1"/>
    <col min="14590" max="14590" width="58" style="770" customWidth="1"/>
    <col min="14591" max="14591" width="22.6640625" style="770" customWidth="1"/>
    <col min="14592" max="14594" width="8.83203125" style="770"/>
    <col min="14595" max="14595" width="13.5" style="770" customWidth="1"/>
    <col min="14596" max="14602" width="13.1640625" style="770" customWidth="1"/>
    <col min="14603" max="14843" width="8.83203125" style="770"/>
    <col min="14844" max="14844" width="4.1640625" style="770" customWidth="1"/>
    <col min="14845" max="14845" width="6.1640625" style="770" customWidth="1"/>
    <col min="14846" max="14846" width="58" style="770" customWidth="1"/>
    <col min="14847" max="14847" width="22.6640625" style="770" customWidth="1"/>
    <col min="14848" max="14850" width="8.83203125" style="770"/>
    <col min="14851" max="14851" width="13.5" style="770" customWidth="1"/>
    <col min="14852" max="14858" width="13.1640625" style="770" customWidth="1"/>
    <col min="14859" max="15099" width="8.83203125" style="770"/>
    <col min="15100" max="15100" width="4.1640625" style="770" customWidth="1"/>
    <col min="15101" max="15101" width="6.1640625" style="770" customWidth="1"/>
    <col min="15102" max="15102" width="58" style="770" customWidth="1"/>
    <col min="15103" max="15103" width="22.6640625" style="770" customWidth="1"/>
    <col min="15104" max="15106" width="8.83203125" style="770"/>
    <col min="15107" max="15107" width="13.5" style="770" customWidth="1"/>
    <col min="15108" max="15114" width="13.1640625" style="770" customWidth="1"/>
    <col min="15115" max="15355" width="8.83203125" style="770"/>
    <col min="15356" max="15356" width="4.1640625" style="770" customWidth="1"/>
    <col min="15357" max="15357" width="6.1640625" style="770" customWidth="1"/>
    <col min="15358" max="15358" width="58" style="770" customWidth="1"/>
    <col min="15359" max="15359" width="22.6640625" style="770" customWidth="1"/>
    <col min="15360" max="15362" width="8.83203125" style="770"/>
    <col min="15363" max="15363" width="13.5" style="770" customWidth="1"/>
    <col min="15364" max="15370" width="13.1640625" style="770" customWidth="1"/>
    <col min="15371" max="15611" width="8.83203125" style="770"/>
    <col min="15612" max="15612" width="4.1640625" style="770" customWidth="1"/>
    <col min="15613" max="15613" width="6.1640625" style="770" customWidth="1"/>
    <col min="15614" max="15614" width="58" style="770" customWidth="1"/>
    <col min="15615" max="15615" width="22.6640625" style="770" customWidth="1"/>
    <col min="15616" max="15618" width="8.83203125" style="770"/>
    <col min="15619" max="15619" width="13.5" style="770" customWidth="1"/>
    <col min="15620" max="15626" width="13.1640625" style="770" customWidth="1"/>
    <col min="15627" max="15867" width="8.83203125" style="770"/>
    <col min="15868" max="15868" width="4.1640625" style="770" customWidth="1"/>
    <col min="15869" max="15869" width="6.1640625" style="770" customWidth="1"/>
    <col min="15870" max="15870" width="58" style="770" customWidth="1"/>
    <col min="15871" max="15871" width="22.6640625" style="770" customWidth="1"/>
    <col min="15872" max="15874" width="8.83203125" style="770"/>
    <col min="15875" max="15875" width="13.5" style="770" customWidth="1"/>
    <col min="15876" max="15882" width="13.1640625" style="770" customWidth="1"/>
    <col min="15883" max="16123" width="8.83203125" style="770"/>
    <col min="16124" max="16124" width="4.1640625" style="770" customWidth="1"/>
    <col min="16125" max="16125" width="6.1640625" style="770" customWidth="1"/>
    <col min="16126" max="16126" width="58" style="770" customWidth="1"/>
    <col min="16127" max="16127" width="22.6640625" style="770" customWidth="1"/>
    <col min="16128" max="16130" width="8.83203125" style="770"/>
    <col min="16131" max="16131" width="13.5" style="770" customWidth="1"/>
    <col min="16132" max="16138" width="13.1640625" style="770" customWidth="1"/>
    <col min="16139" max="16384" width="8.83203125" style="770"/>
  </cols>
  <sheetData>
    <row r="2" spans="2:14" ht="16">
      <c r="B2" s="786" t="s">
        <v>3081</v>
      </c>
      <c r="C2" s="789"/>
      <c r="D2" s="787">
        <v>2022</v>
      </c>
      <c r="E2" s="787">
        <f>D2+1</f>
        <v>2023</v>
      </c>
      <c r="F2" s="787">
        <f t="shared" ref="F2:M2" si="0">E2+1</f>
        <v>2024</v>
      </c>
      <c r="G2" s="787">
        <f t="shared" si="0"/>
        <v>2025</v>
      </c>
      <c r="H2" s="787">
        <f t="shared" si="0"/>
        <v>2026</v>
      </c>
      <c r="I2" s="787">
        <f t="shared" si="0"/>
        <v>2027</v>
      </c>
      <c r="J2" s="787">
        <f t="shared" si="0"/>
        <v>2028</v>
      </c>
      <c r="K2" s="787">
        <f t="shared" si="0"/>
        <v>2029</v>
      </c>
      <c r="L2" s="787">
        <f t="shared" si="0"/>
        <v>2030</v>
      </c>
      <c r="M2" s="788">
        <f t="shared" si="0"/>
        <v>2031</v>
      </c>
    </row>
    <row r="3" spans="2:14" ht="16">
      <c r="B3" s="783" t="s">
        <v>2900</v>
      </c>
      <c r="C3" s="785">
        <f t="shared" ref="C3:C8" si="1">SUM(D3:M3)</f>
        <v>142396770.5763922</v>
      </c>
      <c r="D3" s="784">
        <f>D11*'PL"0"'!I9</f>
        <v>12088799.396761756</v>
      </c>
      <c r="E3" s="784">
        <f>E11*'PL"0"'!J9</f>
        <v>21952786.806290463</v>
      </c>
      <c r="F3" s="784">
        <f>F11*'PL"0"'!K9</f>
        <v>21972843.227442503</v>
      </c>
      <c r="G3" s="784">
        <f>G11*'PL"0"'!L9</f>
        <v>21997161.849629324</v>
      </c>
      <c r="H3" s="784">
        <f>H11*'PL"0"'!M9</f>
        <v>22103908.898139615</v>
      </c>
      <c r="I3" s="784">
        <f>I11*'PL"0"'!N9</f>
        <v>21426410.338471353</v>
      </c>
      <c r="J3" s="784">
        <f>J11*'PL"0"'!O9</f>
        <v>20854860.05965719</v>
      </c>
      <c r="K3" s="784">
        <f t="shared" ref="K3" si="2">SUM(K4:K5)</f>
        <v>0</v>
      </c>
      <c r="L3" s="784">
        <f t="shared" ref="L3" si="3">SUM(L4:L5)</f>
        <v>0</v>
      </c>
      <c r="M3" s="785">
        <f t="shared" ref="M3" si="4">SUM(M4:M5)</f>
        <v>0</v>
      </c>
    </row>
    <row r="4" spans="2:14" ht="16">
      <c r="B4" s="773" t="s">
        <v>3079</v>
      </c>
      <c r="C4" s="774">
        <f t="shared" si="1"/>
        <v>71198385.288196102</v>
      </c>
      <c r="D4" s="1063">
        <f>D3*$N$4</f>
        <v>6044399.6983808782</v>
      </c>
      <c r="E4" s="1063">
        <f t="shared" ref="E4:J4" si="5">E3*$N$4</f>
        <v>10976393.403145231</v>
      </c>
      <c r="F4" s="1063">
        <f t="shared" si="5"/>
        <v>10986421.613721251</v>
      </c>
      <c r="G4" s="1063">
        <f t="shared" si="5"/>
        <v>10998580.924814662</v>
      </c>
      <c r="H4" s="1063">
        <f t="shared" si="5"/>
        <v>11051954.449069807</v>
      </c>
      <c r="I4" s="1063">
        <f t="shared" si="5"/>
        <v>10713205.169235677</v>
      </c>
      <c r="J4" s="1063">
        <f t="shared" si="5"/>
        <v>10427430.029828595</v>
      </c>
      <c r="K4" s="771"/>
      <c r="L4" s="771"/>
      <c r="M4" s="774"/>
      <c r="N4" s="1139">
        <v>0.5</v>
      </c>
    </row>
    <row r="5" spans="2:14" ht="16">
      <c r="B5" s="775" t="s">
        <v>3080</v>
      </c>
      <c r="C5" s="774">
        <f t="shared" si="1"/>
        <v>71198385.288196102</v>
      </c>
      <c r="D5" s="1062">
        <f>D3-D4</f>
        <v>6044399.6983808782</v>
      </c>
      <c r="E5" s="1062">
        <f t="shared" ref="E5:J5" si="6">E3-E4</f>
        <v>10976393.403145231</v>
      </c>
      <c r="F5" s="1062">
        <f t="shared" si="6"/>
        <v>10986421.613721251</v>
      </c>
      <c r="G5" s="1062">
        <f t="shared" si="6"/>
        <v>10998580.924814662</v>
      </c>
      <c r="H5" s="1062">
        <f t="shared" si="6"/>
        <v>11051954.449069807</v>
      </c>
      <c r="I5" s="1062">
        <f t="shared" si="6"/>
        <v>10713205.169235677</v>
      </c>
      <c r="J5" s="1062">
        <f t="shared" si="6"/>
        <v>10427430.029828595</v>
      </c>
      <c r="K5" s="772"/>
      <c r="L5" s="772"/>
      <c r="M5" s="776"/>
      <c r="N5" s="1139">
        <f>1-N4</f>
        <v>0.5</v>
      </c>
    </row>
    <row r="6" spans="2:14" ht="16">
      <c r="B6" s="783" t="s">
        <v>2901</v>
      </c>
      <c r="C6" s="785">
        <f t="shared" si="1"/>
        <v>142396770.5763922</v>
      </c>
      <c r="D6" s="784">
        <f>SUM(D7:D8)</f>
        <v>12088799.396761756</v>
      </c>
      <c r="E6" s="784">
        <f t="shared" ref="E6:M6" si="7">SUM(E7:E8)</f>
        <v>21952786.806290463</v>
      </c>
      <c r="F6" s="784">
        <f t="shared" si="7"/>
        <v>21972843.227442503</v>
      </c>
      <c r="G6" s="784">
        <f t="shared" si="7"/>
        <v>21997161.849629324</v>
      </c>
      <c r="H6" s="784">
        <f t="shared" si="7"/>
        <v>22103908.898139615</v>
      </c>
      <c r="I6" s="784">
        <f t="shared" si="7"/>
        <v>21426410.338471353</v>
      </c>
      <c r="J6" s="784">
        <f t="shared" si="7"/>
        <v>20854860.05965719</v>
      </c>
      <c r="K6" s="784">
        <f t="shared" si="7"/>
        <v>0</v>
      </c>
      <c r="L6" s="784">
        <f t="shared" si="7"/>
        <v>0</v>
      </c>
      <c r="M6" s="785">
        <f t="shared" si="7"/>
        <v>0</v>
      </c>
    </row>
    <row r="7" spans="2:14" ht="16">
      <c r="B7" s="773" t="s">
        <v>3079</v>
      </c>
      <c r="C7" s="774">
        <f t="shared" si="1"/>
        <v>71198385.288196102</v>
      </c>
      <c r="D7" s="771">
        <f>D4*D10</f>
        <v>6044399.6983808782</v>
      </c>
      <c r="E7" s="771">
        <f t="shared" ref="E7:M7" si="8">E4*E10</f>
        <v>10976393.403145231</v>
      </c>
      <c r="F7" s="771">
        <f t="shared" si="8"/>
        <v>10986421.613721251</v>
      </c>
      <c r="G7" s="771">
        <f t="shared" si="8"/>
        <v>10998580.924814662</v>
      </c>
      <c r="H7" s="771">
        <f t="shared" si="8"/>
        <v>11051954.449069807</v>
      </c>
      <c r="I7" s="771">
        <f t="shared" si="8"/>
        <v>10713205.169235677</v>
      </c>
      <c r="J7" s="771">
        <f t="shared" si="8"/>
        <v>10427430.029828595</v>
      </c>
      <c r="K7" s="771">
        <f t="shared" si="8"/>
        <v>0</v>
      </c>
      <c r="L7" s="771">
        <f t="shared" si="8"/>
        <v>0</v>
      </c>
      <c r="M7" s="774">
        <f t="shared" si="8"/>
        <v>0</v>
      </c>
    </row>
    <row r="8" spans="2:14" ht="16">
      <c r="B8" s="775" t="s">
        <v>3080</v>
      </c>
      <c r="C8" s="774">
        <f t="shared" si="1"/>
        <v>71198385.288196102</v>
      </c>
      <c r="D8" s="772">
        <f>D5*D10</f>
        <v>6044399.6983808782</v>
      </c>
      <c r="E8" s="772">
        <f t="shared" ref="E8:M8" si="9">E5*E10</f>
        <v>10976393.403145231</v>
      </c>
      <c r="F8" s="772">
        <f t="shared" si="9"/>
        <v>10986421.613721251</v>
      </c>
      <c r="G8" s="772">
        <f t="shared" si="9"/>
        <v>10998580.924814662</v>
      </c>
      <c r="H8" s="772">
        <f t="shared" si="9"/>
        <v>11051954.449069807</v>
      </c>
      <c r="I8" s="772">
        <f t="shared" si="9"/>
        <v>10713205.169235677</v>
      </c>
      <c r="J8" s="772">
        <f t="shared" si="9"/>
        <v>10427430.029828595</v>
      </c>
      <c r="K8" s="772">
        <f t="shared" si="9"/>
        <v>0</v>
      </c>
      <c r="L8" s="772">
        <f t="shared" si="9"/>
        <v>0</v>
      </c>
      <c r="M8" s="776">
        <f t="shared" si="9"/>
        <v>0</v>
      </c>
    </row>
    <row r="9" spans="2:14" ht="16">
      <c r="B9" s="777" t="s">
        <v>2899</v>
      </c>
      <c r="C9" s="790"/>
      <c r="D9" s="860">
        <v>0</v>
      </c>
      <c r="E9" s="860">
        <f>D9</f>
        <v>0</v>
      </c>
      <c r="F9" s="860">
        <f t="shared" ref="F9:J9" si="10">E9</f>
        <v>0</v>
      </c>
      <c r="G9" s="860">
        <f t="shared" si="10"/>
        <v>0</v>
      </c>
      <c r="H9" s="860">
        <f t="shared" si="10"/>
        <v>0</v>
      </c>
      <c r="I9" s="860">
        <f t="shared" si="10"/>
        <v>0</v>
      </c>
      <c r="J9" s="860">
        <f t="shared" si="10"/>
        <v>0</v>
      </c>
      <c r="K9" s="778">
        <f t="shared" ref="K9:L9" si="11">J9</f>
        <v>0</v>
      </c>
      <c r="L9" s="778">
        <f t="shared" si="11"/>
        <v>0</v>
      </c>
      <c r="M9" s="779"/>
    </row>
    <row r="10" spans="2:14" ht="16">
      <c r="B10" s="780" t="s">
        <v>2899</v>
      </c>
      <c r="C10" s="791"/>
      <c r="D10" s="781">
        <f>(1+D9)</f>
        <v>1</v>
      </c>
      <c r="E10" s="781">
        <f>D10*(1+E9)</f>
        <v>1</v>
      </c>
      <c r="F10" s="781">
        <f t="shared" ref="F10:L10" si="12">E10*(1+F9)</f>
        <v>1</v>
      </c>
      <c r="G10" s="781">
        <f t="shared" si="12"/>
        <v>1</v>
      </c>
      <c r="H10" s="781">
        <f t="shared" si="12"/>
        <v>1</v>
      </c>
      <c r="I10" s="781">
        <f t="shared" si="12"/>
        <v>1</v>
      </c>
      <c r="J10" s="781">
        <f t="shared" si="12"/>
        <v>1</v>
      </c>
      <c r="K10" s="781">
        <f t="shared" si="12"/>
        <v>1</v>
      </c>
      <c r="L10" s="781">
        <f t="shared" si="12"/>
        <v>1</v>
      </c>
      <c r="M10" s="782"/>
    </row>
    <row r="11" spans="2:14">
      <c r="D11" s="1138">
        <v>0.09</v>
      </c>
      <c r="E11" s="1138">
        <v>0.16500000000000001</v>
      </c>
      <c r="F11" s="1138">
        <f>E11</f>
        <v>0.16500000000000001</v>
      </c>
      <c r="G11" s="1138">
        <f t="shared" ref="G11:J11" si="13">F11</f>
        <v>0.16500000000000001</v>
      </c>
      <c r="H11" s="1138">
        <f t="shared" si="13"/>
        <v>0.16500000000000001</v>
      </c>
      <c r="I11" s="1138">
        <f t="shared" si="13"/>
        <v>0.16500000000000001</v>
      </c>
      <c r="J11" s="1138">
        <f t="shared" si="13"/>
        <v>0.16500000000000001</v>
      </c>
    </row>
    <row r="12" spans="2:14" ht="16">
      <c r="B12" s="1076" t="s">
        <v>3361</v>
      </c>
    </row>
    <row r="13" spans="2:14" ht="16">
      <c r="B13" s="1077" t="s">
        <v>3366</v>
      </c>
      <c r="C13" s="789"/>
      <c r="D13" s="787">
        <v>2022</v>
      </c>
      <c r="E13" s="787">
        <f>D13+1</f>
        <v>2023</v>
      </c>
      <c r="F13" s="787">
        <f t="shared" ref="F13:M13" si="14">E13+1</f>
        <v>2024</v>
      </c>
      <c r="G13" s="787">
        <f t="shared" si="14"/>
        <v>2025</v>
      </c>
      <c r="H13" s="787">
        <f t="shared" si="14"/>
        <v>2026</v>
      </c>
      <c r="I13" s="787">
        <f t="shared" si="14"/>
        <v>2027</v>
      </c>
      <c r="J13" s="787">
        <f t="shared" si="14"/>
        <v>2028</v>
      </c>
      <c r="K13" s="787">
        <f t="shared" si="14"/>
        <v>2029</v>
      </c>
      <c r="L13" s="787">
        <f t="shared" si="14"/>
        <v>2030</v>
      </c>
      <c r="M13" s="788">
        <f t="shared" si="14"/>
        <v>2031</v>
      </c>
    </row>
    <row r="14" spans="2:14" ht="16">
      <c r="B14" s="783" t="s">
        <v>2900</v>
      </c>
      <c r="C14" s="785">
        <f t="shared" ref="C14:C19" si="15">SUM(D14:M14)</f>
        <v>868559752.75271487</v>
      </c>
      <c r="D14" s="784">
        <f t="shared" ref="D14" si="16">SUM(D15:D16)</f>
        <v>25724222.696994852</v>
      </c>
      <c r="E14" s="784">
        <f t="shared" ref="E14" si="17">SUM(E15:E16)</f>
        <v>133179146.39687067</v>
      </c>
      <c r="F14" s="784">
        <f t="shared" ref="F14" si="18">SUM(F15:F16)</f>
        <v>171921110.10819805</v>
      </c>
      <c r="G14" s="784">
        <f t="shared" ref="G14" si="19">SUM(G15:G16)</f>
        <v>136499658.86470252</v>
      </c>
      <c r="H14" s="784">
        <f t="shared" ref="H14" si="20">SUM(H15:H16)</f>
        <v>80247122.937189758</v>
      </c>
      <c r="I14" s="784">
        <f t="shared" ref="I14" si="21">SUM(I15:I16)</f>
        <v>200617807.34297442</v>
      </c>
      <c r="J14" s="784">
        <f t="shared" ref="J14" si="22">SUM(J15:J16)</f>
        <v>120370684.40578464</v>
      </c>
      <c r="K14" s="784">
        <f t="shared" ref="K14" si="23">SUM(K15:K16)</f>
        <v>0</v>
      </c>
      <c r="L14" s="784">
        <f t="shared" ref="L14" si="24">SUM(L15:L16)</f>
        <v>0</v>
      </c>
      <c r="M14" s="785">
        <f t="shared" ref="M14" si="25">SUM(M15:M16)</f>
        <v>0</v>
      </c>
    </row>
    <row r="15" spans="2:14" ht="16">
      <c r="B15" s="773" t="s">
        <v>3079</v>
      </c>
      <c r="C15" s="774">
        <f t="shared" si="15"/>
        <v>677822438.13790011</v>
      </c>
      <c r="D15" s="771">
        <f>IF($C$24=1,D29,IF($C$24=2,D39,D49))*(1+Scenarios_Summary!$C$40)*(1+Scenarios_Summary!$C$41)</f>
        <v>25724222.696994852</v>
      </c>
      <c r="E15" s="771">
        <f>IF($C$24=1,E29,IF($C$24=2,E39,E49))*(1+Scenarios_Summary!$C$40)*(1+Scenarios_Summary!$C$41)</f>
        <v>133179146.39687067</v>
      </c>
      <c r="F15" s="771">
        <f>IF($C$24=1,F29,IF($C$24=2,F39,F49))*(1+Scenarios_Summary!$C$40)*(1+Scenarios_Summary!$C$41)</f>
        <v>166635151.54870737</v>
      </c>
      <c r="G15" s="771">
        <f>IF($C$24=1,G29,IF($C$24=2,G39,G49))*(1+Scenarios_Summary!$C$40)*(1+Scenarios_Summary!$C$41)</f>
        <v>57578161.142075121</v>
      </c>
      <c r="H15" s="771">
        <f>IF($C$24=1,H29,IF($C$24=2,H39,H49))*(1+Scenarios_Summary!$C$40)*(1+Scenarios_Summary!$C$41)</f>
        <v>80247122.937189758</v>
      </c>
      <c r="I15" s="771">
        <f>IF($C$24=1,I29,IF($C$24=2,I39,I49))*(1+Scenarios_Summary!$C$40)*(1+Scenarios_Summary!$C$41)</f>
        <v>200617807.34297442</v>
      </c>
      <c r="J15" s="771">
        <f>IF($C$24=1,J29,IF($C$24=2,J39,J49))*(1+Scenarios_Summary!$C$40)*(1+Scenarios_Summary!$C$41)</f>
        <v>13840826.07308789</v>
      </c>
      <c r="K15" s="771"/>
      <c r="L15" s="771"/>
      <c r="M15" s="774"/>
    </row>
    <row r="16" spans="2:14" ht="16">
      <c r="B16" s="775" t="s">
        <v>3080</v>
      </c>
      <c r="C16" s="774">
        <f t="shared" si="15"/>
        <v>190737314.61481488</v>
      </c>
      <c r="D16" s="772">
        <f>IF($C$24=1,D30,IF($C$24=2,D40,D50))*(1+Scenarios_Summary!$C$40)*(1+Scenarios_Summary!$C$41)</f>
        <v>0</v>
      </c>
      <c r="E16" s="772">
        <f>IF($C$24=1,E30,IF($C$24=2,E40,E50))*(1+Scenarios_Summary!$C$40)*(1+Scenarios_Summary!$C$41)</f>
        <v>0</v>
      </c>
      <c r="F16" s="772">
        <f>IF($C$24=1,F30,IF($C$24=2,F40,F50))*(1+Scenarios_Summary!$C$40)*(1+Scenarios_Summary!$C$41)</f>
        <v>5285958.5594906956</v>
      </c>
      <c r="G16" s="772">
        <f>IF($C$24=1,G30,IF($C$24=2,G40,G50))*(1+Scenarios_Summary!$C$40)*(1+Scenarios_Summary!$C$41)</f>
        <v>78921497.722627416</v>
      </c>
      <c r="H16" s="772">
        <f>IF($C$24=1,H30,IF($C$24=2,H40,H50))*(1+Scenarios_Summary!$C$40)*(1+Scenarios_Summary!$C$41)</f>
        <v>0</v>
      </c>
      <c r="I16" s="772">
        <f>IF($C$24=1,I30,IF($C$24=2,I40,I50))*(1+Scenarios_Summary!$C$40)*(1+Scenarios_Summary!$C$41)</f>
        <v>0</v>
      </c>
      <c r="J16" s="772">
        <f>IF($C$24=1,J30,IF($C$24=2,J40,J50))*(1+Scenarios_Summary!$C$40)*(1+Scenarios_Summary!$C$41)</f>
        <v>106529858.33269675</v>
      </c>
      <c r="K16" s="772"/>
      <c r="L16" s="772"/>
      <c r="M16" s="776"/>
    </row>
    <row r="17" spans="2:14" ht="16">
      <c r="B17" s="783" t="s">
        <v>2901</v>
      </c>
      <c r="C17" s="785">
        <f t="shared" si="15"/>
        <v>868559752.75271487</v>
      </c>
      <c r="D17" s="784">
        <f>SUM(D18:D19)</f>
        <v>25724222.696994852</v>
      </c>
      <c r="E17" s="784">
        <f t="shared" ref="E17" si="26">SUM(E18:E19)</f>
        <v>133179146.39687067</v>
      </c>
      <c r="F17" s="784">
        <f t="shared" ref="F17" si="27">SUM(F18:F19)</f>
        <v>171921110.10819805</v>
      </c>
      <c r="G17" s="784">
        <f t="shared" ref="G17" si="28">SUM(G18:G19)</f>
        <v>136499658.86470252</v>
      </c>
      <c r="H17" s="784">
        <f t="shared" ref="H17" si="29">SUM(H18:H19)</f>
        <v>80247122.937189758</v>
      </c>
      <c r="I17" s="784">
        <f t="shared" ref="I17" si="30">SUM(I18:I19)</f>
        <v>200617807.34297442</v>
      </c>
      <c r="J17" s="784">
        <f t="shared" ref="J17" si="31">SUM(J18:J19)</f>
        <v>120370684.40578464</v>
      </c>
      <c r="K17" s="784">
        <f t="shared" ref="K17" si="32">SUM(K18:K19)</f>
        <v>0</v>
      </c>
      <c r="L17" s="784">
        <f t="shared" ref="L17" si="33">SUM(L18:L19)</f>
        <v>0</v>
      </c>
      <c r="M17" s="785">
        <f t="shared" ref="M17" si="34">SUM(M18:M19)</f>
        <v>0</v>
      </c>
    </row>
    <row r="18" spans="2:14" ht="16">
      <c r="B18" s="773" t="s">
        <v>3079</v>
      </c>
      <c r="C18" s="774">
        <f t="shared" si="15"/>
        <v>677822438.13790011</v>
      </c>
      <c r="D18" s="771">
        <f>D15*D21</f>
        <v>25724222.696994852</v>
      </c>
      <c r="E18" s="771">
        <f t="shared" ref="E18:M18" si="35">E15*E21</f>
        <v>133179146.39687067</v>
      </c>
      <c r="F18" s="771">
        <f t="shared" si="35"/>
        <v>166635151.54870737</v>
      </c>
      <c r="G18" s="771">
        <f t="shared" si="35"/>
        <v>57578161.142075121</v>
      </c>
      <c r="H18" s="771">
        <f t="shared" si="35"/>
        <v>80247122.937189758</v>
      </c>
      <c r="I18" s="771">
        <f t="shared" si="35"/>
        <v>200617807.34297442</v>
      </c>
      <c r="J18" s="771">
        <f t="shared" si="35"/>
        <v>13840826.07308789</v>
      </c>
      <c r="K18" s="771">
        <f t="shared" si="35"/>
        <v>0</v>
      </c>
      <c r="L18" s="771">
        <f t="shared" si="35"/>
        <v>0</v>
      </c>
      <c r="M18" s="774">
        <f t="shared" si="35"/>
        <v>0</v>
      </c>
    </row>
    <row r="19" spans="2:14" ht="16">
      <c r="B19" s="775" t="s">
        <v>3080</v>
      </c>
      <c r="C19" s="774">
        <f t="shared" si="15"/>
        <v>190737314.61481488</v>
      </c>
      <c r="D19" s="772">
        <f>D16*D21</f>
        <v>0</v>
      </c>
      <c r="E19" s="772">
        <f t="shared" ref="E19:M19" si="36">E16*E21</f>
        <v>0</v>
      </c>
      <c r="F19" s="772">
        <f t="shared" si="36"/>
        <v>5285958.5594906956</v>
      </c>
      <c r="G19" s="772">
        <f t="shared" si="36"/>
        <v>78921497.722627416</v>
      </c>
      <c r="H19" s="772">
        <f t="shared" si="36"/>
        <v>0</v>
      </c>
      <c r="I19" s="772">
        <f t="shared" si="36"/>
        <v>0</v>
      </c>
      <c r="J19" s="772">
        <f t="shared" si="36"/>
        <v>106529858.33269675</v>
      </c>
      <c r="K19" s="772">
        <f t="shared" si="36"/>
        <v>0</v>
      </c>
      <c r="L19" s="772">
        <f t="shared" si="36"/>
        <v>0</v>
      </c>
      <c r="M19" s="776">
        <f t="shared" si="36"/>
        <v>0</v>
      </c>
    </row>
    <row r="20" spans="2:14" ht="16">
      <c r="B20" s="777" t="s">
        <v>2899</v>
      </c>
      <c r="C20" s="790"/>
      <c r="D20" s="778">
        <f>D9</f>
        <v>0</v>
      </c>
      <c r="E20" s="778">
        <f t="shared" ref="E20:L20" si="37">E9</f>
        <v>0</v>
      </c>
      <c r="F20" s="778">
        <f t="shared" si="37"/>
        <v>0</v>
      </c>
      <c r="G20" s="778">
        <f t="shared" si="37"/>
        <v>0</v>
      </c>
      <c r="H20" s="778">
        <f t="shared" si="37"/>
        <v>0</v>
      </c>
      <c r="I20" s="778">
        <f t="shared" si="37"/>
        <v>0</v>
      </c>
      <c r="J20" s="778">
        <f t="shared" si="37"/>
        <v>0</v>
      </c>
      <c r="K20" s="778">
        <f t="shared" si="37"/>
        <v>0</v>
      </c>
      <c r="L20" s="778">
        <f t="shared" si="37"/>
        <v>0</v>
      </c>
      <c r="M20" s="779"/>
    </row>
    <row r="21" spans="2:14" ht="17" thickBot="1">
      <c r="B21" s="780" t="s">
        <v>2899</v>
      </c>
      <c r="C21" s="791"/>
      <c r="D21" s="781">
        <f>(1+D20)</f>
        <v>1</v>
      </c>
      <c r="E21" s="781">
        <f>D21*(1+E20)</f>
        <v>1</v>
      </c>
      <c r="F21" s="781">
        <f t="shared" ref="F21" si="38">E21*(1+F20)</f>
        <v>1</v>
      </c>
      <c r="G21" s="781">
        <f t="shared" ref="G21" si="39">F21*(1+G20)</f>
        <v>1</v>
      </c>
      <c r="H21" s="781">
        <f t="shared" ref="H21" si="40">G21*(1+H20)</f>
        <v>1</v>
      </c>
      <c r="I21" s="781">
        <f t="shared" ref="I21" si="41">H21*(1+I20)</f>
        <v>1</v>
      </c>
      <c r="J21" s="781">
        <f t="shared" ref="J21" si="42">I21*(1+J20)</f>
        <v>1</v>
      </c>
      <c r="K21" s="1085">
        <f t="shared" ref="K21" si="43">J21*(1+K20)</f>
        <v>1</v>
      </c>
      <c r="L21" s="781">
        <f t="shared" ref="L21" si="44">K21*(1+L20)</f>
        <v>1</v>
      </c>
      <c r="M21" s="782"/>
    </row>
    <row r="22" spans="2:14" ht="33" thickBot="1">
      <c r="J22" s="980" t="s">
        <v>3373</v>
      </c>
      <c r="K22" s="1086">
        <f>IF($C$24=1,H36,IF($C$24=2,H46,K56))</f>
        <v>2.8000000000000001E-2</v>
      </c>
    </row>
    <row r="24" spans="2:14" ht="16">
      <c r="B24" s="980" t="s">
        <v>3370</v>
      </c>
      <c r="C24" s="1090">
        <f>Scenarios_Summary!D60</f>
        <v>3</v>
      </c>
    </row>
    <row r="27" spans="2:14" ht="16">
      <c r="B27" s="1077" t="s">
        <v>3367</v>
      </c>
      <c r="C27" s="789"/>
      <c r="D27" s="787">
        <v>2022</v>
      </c>
      <c r="E27" s="787">
        <f t="shared" ref="E27:M27" si="45">D27+1</f>
        <v>2023</v>
      </c>
      <c r="F27" s="787">
        <f t="shared" si="45"/>
        <v>2024</v>
      </c>
      <c r="G27" s="787">
        <f t="shared" si="45"/>
        <v>2025</v>
      </c>
      <c r="H27" s="787">
        <f t="shared" si="45"/>
        <v>2026</v>
      </c>
      <c r="I27" s="787">
        <f t="shared" si="45"/>
        <v>2027</v>
      </c>
      <c r="J27" s="787">
        <f t="shared" si="45"/>
        <v>2028</v>
      </c>
      <c r="K27" s="787">
        <f t="shared" si="45"/>
        <v>2029</v>
      </c>
      <c r="L27" s="787">
        <f t="shared" si="45"/>
        <v>2030</v>
      </c>
      <c r="M27" s="788">
        <f t="shared" si="45"/>
        <v>2031</v>
      </c>
    </row>
    <row r="28" spans="2:14" s="859" customFormat="1" ht="48">
      <c r="B28" s="783" t="s">
        <v>2900</v>
      </c>
      <c r="C28" s="785">
        <f t="shared" ref="C28:C33" si="46">SUM(D28:M28)</f>
        <v>283757906.66067535</v>
      </c>
      <c r="D28" s="784">
        <f>SUM(D29:D30)</f>
        <v>16487851.4715</v>
      </c>
      <c r="E28" s="784">
        <f>SUM(E29:E30)</f>
        <v>66005780.869659998</v>
      </c>
      <c r="F28" s="784">
        <f>SUM(F29:F30)</f>
        <v>94691159.002719998</v>
      </c>
      <c r="G28" s="784">
        <f>SUM(G29:G30)</f>
        <v>70600018.76692</v>
      </c>
      <c r="H28" s="1081">
        <f>$H$36*'PL"A"'!M9</f>
        <v>11828900.885053799</v>
      </c>
      <c r="I28" s="1081">
        <f>$H$36*'PL"A"'!N9</f>
        <v>11905533.439640665</v>
      </c>
      <c r="J28" s="1081">
        <f>$H$36*'PL"A"'!O9</f>
        <v>12238662.225180915</v>
      </c>
      <c r="K28" s="784">
        <f>SUM(K29:K30)</f>
        <v>0</v>
      </c>
      <c r="L28" s="784">
        <f>SUM(L29:L30)</f>
        <v>0</v>
      </c>
      <c r="M28" s="785">
        <f>SUM(M29:M30)</f>
        <v>0</v>
      </c>
      <c r="N28" s="1084" t="s">
        <v>3372</v>
      </c>
    </row>
    <row r="29" spans="2:14" ht="16">
      <c r="B29" s="773" t="s">
        <v>3079</v>
      </c>
      <c r="C29" s="774">
        <f t="shared" si="46"/>
        <v>205054711.93752158</v>
      </c>
      <c r="D29" s="771">
        <f>capex_final!AP51</f>
        <v>16487851.4715</v>
      </c>
      <c r="E29" s="771">
        <f>capex_final!AQ51</f>
        <v>66005780.869659998</v>
      </c>
      <c r="F29" s="771">
        <f>capex_final!AR51</f>
        <v>94691159.002719998</v>
      </c>
      <c r="G29" s="771">
        <f>capex_final!AS51</f>
        <v>18462601.108120002</v>
      </c>
      <c r="H29" s="1082">
        <f>G29/G28*H28</f>
        <v>3093374.2285429076</v>
      </c>
      <c r="I29" s="1082">
        <f t="shared" ref="I29:J29" si="47">H29/H28*I28</f>
        <v>3113414.3972559571</v>
      </c>
      <c r="J29" s="1082">
        <f t="shared" si="47"/>
        <v>3200530.8597227335</v>
      </c>
      <c r="K29" s="771"/>
      <c r="L29" s="771"/>
      <c r="M29" s="774"/>
    </row>
    <row r="30" spans="2:14" ht="16">
      <c r="B30" s="775" t="s">
        <v>3080</v>
      </c>
      <c r="C30" s="774">
        <f t="shared" si="46"/>
        <v>78703194.72315377</v>
      </c>
      <c r="D30" s="772">
        <f>capex_final!AP50</f>
        <v>0</v>
      </c>
      <c r="E30" s="772">
        <f>capex_final!AQ50</f>
        <v>0</v>
      </c>
      <c r="F30" s="772">
        <f>capex_final!AR50</f>
        <v>0</v>
      </c>
      <c r="G30" s="772">
        <f>capex_final!AS50</f>
        <v>52137417.658799998</v>
      </c>
      <c r="H30" s="1083">
        <f>H28-H29</f>
        <v>8735526.6565108914</v>
      </c>
      <c r="I30" s="1083">
        <f t="shared" ref="I30:J30" si="48">I28-I29</f>
        <v>8792119.0423847083</v>
      </c>
      <c r="J30" s="1083">
        <f t="shared" si="48"/>
        <v>9038131.3654581811</v>
      </c>
      <c r="K30" s="772"/>
      <c r="L30" s="772"/>
      <c r="M30" s="776"/>
    </row>
    <row r="31" spans="2:14" ht="16">
      <c r="B31" s="783" t="s">
        <v>2901</v>
      </c>
      <c r="C31" s="785">
        <f t="shared" si="46"/>
        <v>283757906.66067535</v>
      </c>
      <c r="D31" s="784">
        <f t="shared" ref="D31:M31" si="49">SUM(D32:D33)</f>
        <v>16487851.4715</v>
      </c>
      <c r="E31" s="784">
        <f t="shared" si="49"/>
        <v>66005780.869659998</v>
      </c>
      <c r="F31" s="784">
        <f t="shared" si="49"/>
        <v>94691159.002719998</v>
      </c>
      <c r="G31" s="784">
        <f t="shared" si="49"/>
        <v>70600018.76692</v>
      </c>
      <c r="H31" s="784">
        <f t="shared" si="49"/>
        <v>11828900.885053799</v>
      </c>
      <c r="I31" s="784">
        <f t="shared" si="49"/>
        <v>11905533.439640665</v>
      </c>
      <c r="J31" s="784">
        <f t="shared" si="49"/>
        <v>12238662.225180915</v>
      </c>
      <c r="K31" s="784">
        <f t="shared" si="49"/>
        <v>0</v>
      </c>
      <c r="L31" s="784">
        <f t="shared" si="49"/>
        <v>0</v>
      </c>
      <c r="M31" s="785">
        <f t="shared" si="49"/>
        <v>0</v>
      </c>
    </row>
    <row r="32" spans="2:14" ht="16">
      <c r="B32" s="773" t="s">
        <v>3079</v>
      </c>
      <c r="C32" s="774">
        <f t="shared" si="46"/>
        <v>205054711.93752158</v>
      </c>
      <c r="D32" s="771">
        <f t="shared" ref="D32:M32" si="50">D29*D35</f>
        <v>16487851.4715</v>
      </c>
      <c r="E32" s="771">
        <f t="shared" si="50"/>
        <v>66005780.869659998</v>
      </c>
      <c r="F32" s="771">
        <f t="shared" si="50"/>
        <v>94691159.002719998</v>
      </c>
      <c r="G32" s="771">
        <f t="shared" si="50"/>
        <v>18462601.108120002</v>
      </c>
      <c r="H32" s="771">
        <f t="shared" si="50"/>
        <v>3093374.2285429076</v>
      </c>
      <c r="I32" s="771">
        <f t="shared" si="50"/>
        <v>3113414.3972559571</v>
      </c>
      <c r="J32" s="771">
        <f t="shared" si="50"/>
        <v>3200530.8597227335</v>
      </c>
      <c r="K32" s="771">
        <f t="shared" si="50"/>
        <v>0</v>
      </c>
      <c r="L32" s="771">
        <f t="shared" si="50"/>
        <v>0</v>
      </c>
      <c r="M32" s="774">
        <f t="shared" si="50"/>
        <v>0</v>
      </c>
    </row>
    <row r="33" spans="2:13" ht="16">
      <c r="B33" s="775" t="s">
        <v>3080</v>
      </c>
      <c r="C33" s="774">
        <f t="shared" si="46"/>
        <v>78703194.72315377</v>
      </c>
      <c r="D33" s="772">
        <f t="shared" ref="D33:M33" si="51">D30*D35</f>
        <v>0</v>
      </c>
      <c r="E33" s="772">
        <f t="shared" si="51"/>
        <v>0</v>
      </c>
      <c r="F33" s="772">
        <f t="shared" si="51"/>
        <v>0</v>
      </c>
      <c r="G33" s="772">
        <f t="shared" si="51"/>
        <v>52137417.658799998</v>
      </c>
      <c r="H33" s="772">
        <f t="shared" si="51"/>
        <v>8735526.6565108914</v>
      </c>
      <c r="I33" s="772">
        <f t="shared" si="51"/>
        <v>8792119.0423847083</v>
      </c>
      <c r="J33" s="772">
        <f t="shared" si="51"/>
        <v>9038131.3654581811</v>
      </c>
      <c r="K33" s="772">
        <f t="shared" si="51"/>
        <v>0</v>
      </c>
      <c r="L33" s="772">
        <f t="shared" si="51"/>
        <v>0</v>
      </c>
      <c r="M33" s="776">
        <f t="shared" si="51"/>
        <v>0</v>
      </c>
    </row>
    <row r="34" spans="2:13" ht="16">
      <c r="B34" s="777" t="s">
        <v>2899</v>
      </c>
      <c r="C34" s="790"/>
      <c r="D34" s="778">
        <f t="shared" ref="D34:L34" si="52">D9</f>
        <v>0</v>
      </c>
      <c r="E34" s="778">
        <f t="shared" si="52"/>
        <v>0</v>
      </c>
      <c r="F34" s="778">
        <f t="shared" si="52"/>
        <v>0</v>
      </c>
      <c r="G34" s="778">
        <f t="shared" si="52"/>
        <v>0</v>
      </c>
      <c r="H34" s="778">
        <f t="shared" si="52"/>
        <v>0</v>
      </c>
      <c r="I34" s="778">
        <f t="shared" si="52"/>
        <v>0</v>
      </c>
      <c r="J34" s="778">
        <f t="shared" si="52"/>
        <v>0</v>
      </c>
      <c r="K34" s="778">
        <f t="shared" si="52"/>
        <v>0</v>
      </c>
      <c r="L34" s="778">
        <f t="shared" si="52"/>
        <v>0</v>
      </c>
      <c r="M34" s="779"/>
    </row>
    <row r="35" spans="2:13" ht="16">
      <c r="B35" s="780" t="s">
        <v>2899</v>
      </c>
      <c r="C35" s="791"/>
      <c r="D35" s="781">
        <f>(1+D34)</f>
        <v>1</v>
      </c>
      <c r="E35" s="781">
        <f t="shared" ref="E35:L35" si="53">D35*(1+E34)</f>
        <v>1</v>
      </c>
      <c r="F35" s="781">
        <f t="shared" si="53"/>
        <v>1</v>
      </c>
      <c r="G35" s="781">
        <f t="shared" si="53"/>
        <v>1</v>
      </c>
      <c r="H35" s="781">
        <f t="shared" si="53"/>
        <v>1</v>
      </c>
      <c r="I35" s="781">
        <f t="shared" si="53"/>
        <v>1</v>
      </c>
      <c r="J35" s="781">
        <f t="shared" si="53"/>
        <v>1</v>
      </c>
      <c r="K35" s="781">
        <f t="shared" si="53"/>
        <v>1</v>
      </c>
      <c r="L35" s="781">
        <f t="shared" si="53"/>
        <v>1</v>
      </c>
      <c r="M35" s="782"/>
    </row>
    <row r="36" spans="2:13">
      <c r="G36" s="59" t="s">
        <v>3371</v>
      </c>
      <c r="H36" s="1080">
        <f>Assumtions!C17</f>
        <v>7.8E-2</v>
      </c>
    </row>
    <row r="37" spans="2:13" ht="16">
      <c r="B37" s="1077" t="s">
        <v>3369</v>
      </c>
      <c r="C37" s="789"/>
      <c r="D37" s="787">
        <v>2022</v>
      </c>
      <c r="E37" s="787">
        <f t="shared" ref="E37:M37" si="54">D37+1</f>
        <v>2023</v>
      </c>
      <c r="F37" s="787">
        <f t="shared" si="54"/>
        <v>2024</v>
      </c>
      <c r="G37" s="787">
        <f t="shared" si="54"/>
        <v>2025</v>
      </c>
      <c r="H37" s="787">
        <f t="shared" si="54"/>
        <v>2026</v>
      </c>
      <c r="I37" s="787">
        <f t="shared" si="54"/>
        <v>2027</v>
      </c>
      <c r="J37" s="787">
        <f t="shared" si="54"/>
        <v>2028</v>
      </c>
      <c r="K37" s="787">
        <f t="shared" si="54"/>
        <v>2029</v>
      </c>
      <c r="L37" s="787">
        <f t="shared" si="54"/>
        <v>2030</v>
      </c>
      <c r="M37" s="788">
        <f t="shared" si="54"/>
        <v>2031</v>
      </c>
    </row>
    <row r="38" spans="2:13" ht="16">
      <c r="B38" s="783" t="s">
        <v>2900</v>
      </c>
      <c r="C38" s="785">
        <f t="shared" ref="C38:C43" si="55">SUM(D38:M38)</f>
        <v>358709734.11565089</v>
      </c>
      <c r="D38" s="784">
        <f>SUM(D39:D40)</f>
        <v>18260651.471500002</v>
      </c>
      <c r="E38" s="784">
        <f>SUM(E39:E40)</f>
        <v>77509582.072139993</v>
      </c>
      <c r="F38" s="784">
        <f>SUM(F39:F40)</f>
        <v>130661571.07127999</v>
      </c>
      <c r="G38" s="784">
        <f>SUM(G39:G40)</f>
        <v>105528703.86108001</v>
      </c>
      <c r="H38" s="1081">
        <f>'PL"A"'!M9*$H$46</f>
        <v>8795849.3760656454</v>
      </c>
      <c r="I38" s="1081">
        <f>'PL"A"'!N9*$H$46</f>
        <v>8852832.5576815214</v>
      </c>
      <c r="J38" s="1081">
        <f>'PL"A"'!O9*$H$46</f>
        <v>9100543.7059037574</v>
      </c>
      <c r="K38" s="784">
        <f>SUM(K39:K40)</f>
        <v>0</v>
      </c>
      <c r="L38" s="784">
        <f>SUM(L39:L40)</f>
        <v>0</v>
      </c>
      <c r="M38" s="785">
        <f>SUM(M39:M40)</f>
        <v>0</v>
      </c>
    </row>
    <row r="39" spans="2:13" ht="16">
      <c r="B39" s="773" t="s">
        <v>3079</v>
      </c>
      <c r="C39" s="774">
        <f t="shared" si="55"/>
        <v>272489035.30268985</v>
      </c>
      <c r="D39" s="771">
        <f>capex_final!AP56+D29</f>
        <v>18260651.471500002</v>
      </c>
      <c r="E39" s="771">
        <f>capex_final!AQ56+E29</f>
        <v>77509582.072139993</v>
      </c>
      <c r="F39" s="771">
        <f>capex_final!AR56+F29</f>
        <v>128249111.45831999</v>
      </c>
      <c r="G39" s="771">
        <f>capex_final!AS56+G29</f>
        <v>38668155.854040012</v>
      </c>
      <c r="H39" s="1082">
        <f>G39/G38*H38</f>
        <v>3223002.4827188863</v>
      </c>
      <c r="I39" s="1082">
        <f t="shared" ref="I39" si="56">H39/H38*I38</f>
        <v>3243882.4373394074</v>
      </c>
      <c r="J39" s="1082">
        <f t="shared" ref="J39" si="57">I39/I38*J38</f>
        <v>3334649.5266315299</v>
      </c>
      <c r="K39" s="771"/>
      <c r="L39" s="771"/>
      <c r="M39" s="774"/>
    </row>
    <row r="40" spans="2:13" ht="16">
      <c r="B40" s="775" t="s">
        <v>3080</v>
      </c>
      <c r="C40" s="774">
        <f t="shared" si="55"/>
        <v>86220698.812961102</v>
      </c>
      <c r="D40" s="772">
        <f>capex_final!AP55+D30</f>
        <v>0</v>
      </c>
      <c r="E40" s="772">
        <f>capex_final!AQ55+E30</f>
        <v>0</v>
      </c>
      <c r="F40" s="772">
        <f>capex_final!AR55+F30</f>
        <v>2412459.6129600001</v>
      </c>
      <c r="G40" s="772">
        <f>capex_final!AS55+G30</f>
        <v>66860548.007039994</v>
      </c>
      <c r="H40" s="1083">
        <f>H38-H39</f>
        <v>5572846.8933467586</v>
      </c>
      <c r="I40" s="1083">
        <f t="shared" ref="I40" si="58">I38-I39</f>
        <v>5608950.120342114</v>
      </c>
      <c r="J40" s="1083">
        <f t="shared" ref="J40" si="59">J38-J39</f>
        <v>5765894.179272227</v>
      </c>
      <c r="K40" s="772"/>
      <c r="L40" s="772"/>
      <c r="M40" s="776"/>
    </row>
    <row r="41" spans="2:13" ht="16">
      <c r="B41" s="783" t="s">
        <v>2901</v>
      </c>
      <c r="C41" s="785">
        <f t="shared" si="55"/>
        <v>358709734.11565089</v>
      </c>
      <c r="D41" s="784">
        <f t="shared" ref="D41:M41" si="60">SUM(D42:D43)</f>
        <v>18260651.471500002</v>
      </c>
      <c r="E41" s="784">
        <f t="shared" si="60"/>
        <v>77509582.072139993</v>
      </c>
      <c r="F41" s="784">
        <f t="shared" si="60"/>
        <v>130661571.07127999</v>
      </c>
      <c r="G41" s="784">
        <f t="shared" si="60"/>
        <v>105528703.86108001</v>
      </c>
      <c r="H41" s="784">
        <f t="shared" si="60"/>
        <v>8795849.3760656454</v>
      </c>
      <c r="I41" s="784">
        <f t="shared" si="60"/>
        <v>8852832.5576815214</v>
      </c>
      <c r="J41" s="784">
        <f t="shared" si="60"/>
        <v>9100543.7059037574</v>
      </c>
      <c r="K41" s="784">
        <f t="shared" si="60"/>
        <v>0</v>
      </c>
      <c r="L41" s="784">
        <f t="shared" si="60"/>
        <v>0</v>
      </c>
      <c r="M41" s="785">
        <f t="shared" si="60"/>
        <v>0</v>
      </c>
    </row>
    <row r="42" spans="2:13" ht="16">
      <c r="B42" s="773" t="s">
        <v>3079</v>
      </c>
      <c r="C42" s="774">
        <f t="shared" si="55"/>
        <v>272489035.30268985</v>
      </c>
      <c r="D42" s="771">
        <f t="shared" ref="D42:M42" si="61">D39*D45</f>
        <v>18260651.471500002</v>
      </c>
      <c r="E42" s="771">
        <f t="shared" si="61"/>
        <v>77509582.072139993</v>
      </c>
      <c r="F42" s="771">
        <f t="shared" si="61"/>
        <v>128249111.45831999</v>
      </c>
      <c r="G42" s="771">
        <f t="shared" si="61"/>
        <v>38668155.854040012</v>
      </c>
      <c r="H42" s="771">
        <f t="shared" si="61"/>
        <v>3223002.4827188863</v>
      </c>
      <c r="I42" s="771">
        <f t="shared" si="61"/>
        <v>3243882.4373394074</v>
      </c>
      <c r="J42" s="771">
        <f t="shared" si="61"/>
        <v>3334649.5266315299</v>
      </c>
      <c r="K42" s="771">
        <f t="shared" si="61"/>
        <v>0</v>
      </c>
      <c r="L42" s="771">
        <f t="shared" si="61"/>
        <v>0</v>
      </c>
      <c r="M42" s="774">
        <f t="shared" si="61"/>
        <v>0</v>
      </c>
    </row>
    <row r="43" spans="2:13" ht="16">
      <c r="B43" s="775" t="s">
        <v>3080</v>
      </c>
      <c r="C43" s="774">
        <f t="shared" si="55"/>
        <v>86220698.812961102</v>
      </c>
      <c r="D43" s="772">
        <f t="shared" ref="D43:M43" si="62">D40*D45</f>
        <v>0</v>
      </c>
      <c r="E43" s="772">
        <f t="shared" si="62"/>
        <v>0</v>
      </c>
      <c r="F43" s="772">
        <f t="shared" si="62"/>
        <v>2412459.6129600001</v>
      </c>
      <c r="G43" s="772">
        <f t="shared" si="62"/>
        <v>66860548.007039994</v>
      </c>
      <c r="H43" s="772">
        <f t="shared" si="62"/>
        <v>5572846.8933467586</v>
      </c>
      <c r="I43" s="772">
        <f t="shared" si="62"/>
        <v>5608950.120342114</v>
      </c>
      <c r="J43" s="772">
        <f t="shared" si="62"/>
        <v>5765894.179272227</v>
      </c>
      <c r="K43" s="772">
        <f t="shared" si="62"/>
        <v>0</v>
      </c>
      <c r="L43" s="772">
        <f t="shared" si="62"/>
        <v>0</v>
      </c>
      <c r="M43" s="776">
        <f t="shared" si="62"/>
        <v>0</v>
      </c>
    </row>
    <row r="44" spans="2:13" ht="16">
      <c r="B44" s="777" t="s">
        <v>2899</v>
      </c>
      <c r="C44" s="790"/>
      <c r="D44" s="778">
        <f>D34</f>
        <v>0</v>
      </c>
      <c r="E44" s="778">
        <f t="shared" ref="E44:L44" si="63">E34</f>
        <v>0</v>
      </c>
      <c r="F44" s="778">
        <f t="shared" si="63"/>
        <v>0</v>
      </c>
      <c r="G44" s="778">
        <f t="shared" si="63"/>
        <v>0</v>
      </c>
      <c r="H44" s="778">
        <f t="shared" si="63"/>
        <v>0</v>
      </c>
      <c r="I44" s="778">
        <f t="shared" si="63"/>
        <v>0</v>
      </c>
      <c r="J44" s="778">
        <f t="shared" si="63"/>
        <v>0</v>
      </c>
      <c r="K44" s="778">
        <f t="shared" si="63"/>
        <v>0</v>
      </c>
      <c r="L44" s="778">
        <f t="shared" si="63"/>
        <v>0</v>
      </c>
      <c r="M44" s="779"/>
    </row>
    <row r="45" spans="2:13" ht="16">
      <c r="B45" s="780" t="s">
        <v>2899</v>
      </c>
      <c r="C45" s="791"/>
      <c r="D45" s="781">
        <f>(1+D44)</f>
        <v>1</v>
      </c>
      <c r="E45" s="781">
        <f t="shared" ref="E45:L45" si="64">D45*(1+E44)</f>
        <v>1</v>
      </c>
      <c r="F45" s="781">
        <f t="shared" si="64"/>
        <v>1</v>
      </c>
      <c r="G45" s="781">
        <f t="shared" si="64"/>
        <v>1</v>
      </c>
      <c r="H45" s="781">
        <f t="shared" si="64"/>
        <v>1</v>
      </c>
      <c r="I45" s="781">
        <f t="shared" si="64"/>
        <v>1</v>
      </c>
      <c r="J45" s="781">
        <f t="shared" si="64"/>
        <v>1</v>
      </c>
      <c r="K45" s="781">
        <f t="shared" si="64"/>
        <v>1</v>
      </c>
      <c r="L45" s="781">
        <f t="shared" si="64"/>
        <v>1</v>
      </c>
      <c r="M45" s="782"/>
    </row>
    <row r="46" spans="2:13">
      <c r="G46" s="59" t="s">
        <v>3371</v>
      </c>
      <c r="H46" s="1080">
        <f>Assumtions!D17</f>
        <v>5.8000000000000003E-2</v>
      </c>
    </row>
    <row r="47" spans="2:13" ht="16">
      <c r="B47" s="1077" t="s">
        <v>3368</v>
      </c>
      <c r="C47" s="789"/>
      <c r="D47" s="787">
        <v>2022</v>
      </c>
      <c r="E47" s="787">
        <f t="shared" ref="E47:M47" si="65">D47+1</f>
        <v>2023</v>
      </c>
      <c r="F47" s="787">
        <f t="shared" si="65"/>
        <v>2024</v>
      </c>
      <c r="G47" s="787">
        <f t="shared" si="65"/>
        <v>2025</v>
      </c>
      <c r="H47" s="787">
        <f t="shared" si="65"/>
        <v>2026</v>
      </c>
      <c r="I47" s="787">
        <f t="shared" si="65"/>
        <v>2027</v>
      </c>
      <c r="J47" s="787">
        <f t="shared" si="65"/>
        <v>2028</v>
      </c>
      <c r="K47" s="787">
        <f t="shared" si="65"/>
        <v>2029</v>
      </c>
      <c r="L47" s="787">
        <f t="shared" si="65"/>
        <v>2030</v>
      </c>
      <c r="M47" s="788">
        <f t="shared" si="65"/>
        <v>2031</v>
      </c>
    </row>
    <row r="48" spans="2:13" ht="16">
      <c r="B48" s="783" t="s">
        <v>2900</v>
      </c>
      <c r="C48" s="785">
        <f t="shared" ref="C48:C53" si="66">SUM(D48:M48)</f>
        <v>740144655.09391987</v>
      </c>
      <c r="D48" s="784">
        <f t="shared" ref="D48:M48" si="67">SUM(D49:D50)</f>
        <v>21920939.665100001</v>
      </c>
      <c r="E48" s="784">
        <f t="shared" si="67"/>
        <v>113488833.74253999</v>
      </c>
      <c r="F48" s="784">
        <f t="shared" si="67"/>
        <v>146502863.32185602</v>
      </c>
      <c r="G48" s="784">
        <f t="shared" si="67"/>
        <v>116318414.03042398</v>
      </c>
      <c r="H48" s="784">
        <f t="shared" si="67"/>
        <v>68382720.866799966</v>
      </c>
      <c r="I48" s="784">
        <f t="shared" si="67"/>
        <v>170956802.16699994</v>
      </c>
      <c r="J48" s="784">
        <f t="shared" si="67"/>
        <v>102574081.30019996</v>
      </c>
      <c r="K48" s="784">
        <f t="shared" si="67"/>
        <v>0</v>
      </c>
      <c r="L48" s="784">
        <f t="shared" si="67"/>
        <v>0</v>
      </c>
      <c r="M48" s="785">
        <f t="shared" si="67"/>
        <v>0</v>
      </c>
    </row>
    <row r="49" spans="2:13" ht="16">
      <c r="B49" s="773" t="s">
        <v>3079</v>
      </c>
      <c r="C49" s="774">
        <f t="shared" si="66"/>
        <v>577607531.43408608</v>
      </c>
      <c r="D49" s="771">
        <f>capex_final!AP45</f>
        <v>21920939.665100001</v>
      </c>
      <c r="E49" s="771">
        <f>capex_final!AQ45</f>
        <v>113488833.74253999</v>
      </c>
      <c r="F49" s="771">
        <f>capex_final!AR45</f>
        <v>141998424.83912003</v>
      </c>
      <c r="G49" s="771">
        <f>capex_final!AS45</f>
        <v>49065326.921239987</v>
      </c>
      <c r="H49" s="771">
        <f>capex_final!AT45</f>
        <v>68382720.866799966</v>
      </c>
      <c r="I49" s="771">
        <f>capex_final!AU45</f>
        <v>170956802.16699994</v>
      </c>
      <c r="J49" s="771">
        <f>capex_final!AV45</f>
        <v>11794483.23228623</v>
      </c>
      <c r="K49" s="771"/>
      <c r="L49" s="771"/>
      <c r="M49" s="774"/>
    </row>
    <row r="50" spans="2:13" ht="16">
      <c r="B50" s="775" t="s">
        <v>3080</v>
      </c>
      <c r="C50" s="774">
        <f t="shared" si="66"/>
        <v>162537123.65983373</v>
      </c>
      <c r="D50" s="772">
        <f>capex_final!AP44</f>
        <v>0</v>
      </c>
      <c r="E50" s="772">
        <f>capex_final!AQ44</f>
        <v>0</v>
      </c>
      <c r="F50" s="772">
        <f>capex_final!AR44</f>
        <v>4504438.4827359999</v>
      </c>
      <c r="G50" s="772">
        <f>capex_final!AS44</f>
        <v>67253087.109183997</v>
      </c>
      <c r="H50" s="772">
        <f>capex_final!AT44</f>
        <v>0</v>
      </c>
      <c r="I50" s="772">
        <f>capex_final!AU44</f>
        <v>0</v>
      </c>
      <c r="J50" s="772">
        <f>capex_final!AV44</f>
        <v>90779598.067913726</v>
      </c>
      <c r="K50" s="772"/>
      <c r="L50" s="772"/>
      <c r="M50" s="776"/>
    </row>
    <row r="51" spans="2:13" ht="16">
      <c r="B51" s="783" t="s">
        <v>2901</v>
      </c>
      <c r="C51" s="785">
        <f t="shared" si="66"/>
        <v>740144655.09391987</v>
      </c>
      <c r="D51" s="784">
        <f t="shared" ref="D51:M51" si="68">SUM(D52:D53)</f>
        <v>21920939.665100001</v>
      </c>
      <c r="E51" s="784">
        <f t="shared" si="68"/>
        <v>113488833.74253999</v>
      </c>
      <c r="F51" s="784">
        <f t="shared" si="68"/>
        <v>146502863.32185602</v>
      </c>
      <c r="G51" s="784">
        <f t="shared" si="68"/>
        <v>116318414.03042398</v>
      </c>
      <c r="H51" s="784">
        <f t="shared" si="68"/>
        <v>68382720.866799966</v>
      </c>
      <c r="I51" s="784">
        <f t="shared" si="68"/>
        <v>170956802.16699994</v>
      </c>
      <c r="J51" s="784">
        <f t="shared" si="68"/>
        <v>102574081.30019996</v>
      </c>
      <c r="K51" s="784">
        <f t="shared" si="68"/>
        <v>0</v>
      </c>
      <c r="L51" s="784">
        <f t="shared" si="68"/>
        <v>0</v>
      </c>
      <c r="M51" s="785">
        <f t="shared" si="68"/>
        <v>0</v>
      </c>
    </row>
    <row r="52" spans="2:13" ht="16">
      <c r="B52" s="773" t="s">
        <v>3079</v>
      </c>
      <c r="C52" s="774">
        <f t="shared" si="66"/>
        <v>577607531.43408608</v>
      </c>
      <c r="D52" s="771">
        <f t="shared" ref="D52:M52" si="69">D49*D55</f>
        <v>21920939.665100001</v>
      </c>
      <c r="E52" s="771">
        <f t="shared" si="69"/>
        <v>113488833.74253999</v>
      </c>
      <c r="F52" s="771">
        <f t="shared" si="69"/>
        <v>141998424.83912003</v>
      </c>
      <c r="G52" s="771">
        <f t="shared" si="69"/>
        <v>49065326.921239987</v>
      </c>
      <c r="H52" s="771">
        <f t="shared" si="69"/>
        <v>68382720.866799966</v>
      </c>
      <c r="I52" s="771">
        <f t="shared" si="69"/>
        <v>170956802.16699994</v>
      </c>
      <c r="J52" s="771">
        <f t="shared" si="69"/>
        <v>11794483.23228623</v>
      </c>
      <c r="K52" s="771">
        <f t="shared" si="69"/>
        <v>0</v>
      </c>
      <c r="L52" s="771">
        <f t="shared" si="69"/>
        <v>0</v>
      </c>
      <c r="M52" s="774">
        <f t="shared" si="69"/>
        <v>0</v>
      </c>
    </row>
    <row r="53" spans="2:13" ht="16">
      <c r="B53" s="775" t="s">
        <v>3080</v>
      </c>
      <c r="C53" s="774">
        <f t="shared" si="66"/>
        <v>162537123.65983373</v>
      </c>
      <c r="D53" s="772">
        <f t="shared" ref="D53:M53" si="70">D50*D55</f>
        <v>0</v>
      </c>
      <c r="E53" s="772">
        <f t="shared" si="70"/>
        <v>0</v>
      </c>
      <c r="F53" s="772">
        <f t="shared" si="70"/>
        <v>4504438.4827359999</v>
      </c>
      <c r="G53" s="772">
        <f t="shared" si="70"/>
        <v>67253087.109183997</v>
      </c>
      <c r="H53" s="772">
        <f t="shared" si="70"/>
        <v>0</v>
      </c>
      <c r="I53" s="772">
        <f t="shared" si="70"/>
        <v>0</v>
      </c>
      <c r="J53" s="772">
        <f t="shared" si="70"/>
        <v>90779598.067913726</v>
      </c>
      <c r="K53" s="772">
        <f t="shared" si="70"/>
        <v>0</v>
      </c>
      <c r="L53" s="772">
        <f t="shared" si="70"/>
        <v>0</v>
      </c>
      <c r="M53" s="776">
        <f t="shared" si="70"/>
        <v>0</v>
      </c>
    </row>
    <row r="54" spans="2:13" ht="16">
      <c r="B54" s="777" t="s">
        <v>2899</v>
      </c>
      <c r="C54" s="790"/>
      <c r="D54" s="778">
        <f>D44</f>
        <v>0</v>
      </c>
      <c r="E54" s="778">
        <f t="shared" ref="E54:L54" si="71">E44</f>
        <v>0</v>
      </c>
      <c r="F54" s="778">
        <f t="shared" si="71"/>
        <v>0</v>
      </c>
      <c r="G54" s="778">
        <f t="shared" si="71"/>
        <v>0</v>
      </c>
      <c r="H54" s="778">
        <f t="shared" si="71"/>
        <v>0</v>
      </c>
      <c r="I54" s="778">
        <f t="shared" si="71"/>
        <v>0</v>
      </c>
      <c r="J54" s="778">
        <f t="shared" si="71"/>
        <v>0</v>
      </c>
      <c r="K54" s="778">
        <f t="shared" si="71"/>
        <v>0</v>
      </c>
      <c r="L54" s="778">
        <f t="shared" si="71"/>
        <v>0</v>
      </c>
      <c r="M54" s="779"/>
    </row>
    <row r="55" spans="2:13" ht="16">
      <c r="B55" s="780" t="s">
        <v>2899</v>
      </c>
      <c r="C55" s="791"/>
      <c r="D55" s="781">
        <f>(1+D54)</f>
        <v>1</v>
      </c>
      <c r="E55" s="781">
        <f t="shared" ref="E55:L55" si="72">D55*(1+E54)</f>
        <v>1</v>
      </c>
      <c r="F55" s="781">
        <f t="shared" si="72"/>
        <v>1</v>
      </c>
      <c r="G55" s="781">
        <f t="shared" si="72"/>
        <v>1</v>
      </c>
      <c r="H55" s="781">
        <f t="shared" si="72"/>
        <v>1</v>
      </c>
      <c r="I55" s="781">
        <f t="shared" si="72"/>
        <v>1</v>
      </c>
      <c r="J55" s="781">
        <f t="shared" si="72"/>
        <v>1</v>
      </c>
      <c r="K55" s="781">
        <f t="shared" si="72"/>
        <v>1</v>
      </c>
      <c r="L55" s="781">
        <f t="shared" si="72"/>
        <v>1</v>
      </c>
      <c r="M55" s="782"/>
    </row>
    <row r="56" spans="2:13">
      <c r="J56" s="59" t="s">
        <v>3371</v>
      </c>
      <c r="K56" s="1080">
        <f>Assumtions!E17</f>
        <v>2.8000000000000001E-2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F8C4-E812-484F-89D5-8985B6028A1A}">
  <dimension ref="A1:BK71"/>
  <sheetViews>
    <sheetView workbookViewId="0"/>
  </sheetViews>
  <sheetFormatPr baseColWidth="10" defaultColWidth="8.5" defaultRowHeight="15"/>
  <cols>
    <col min="1" max="1" width="7.33203125" style="770" customWidth="1"/>
    <col min="2" max="2" width="4.1640625" style="770" customWidth="1"/>
    <col min="3" max="3" width="6.1640625" style="770" customWidth="1"/>
    <col min="4" max="4" width="55.5" style="770" bestFit="1" customWidth="1"/>
    <col min="5" max="5" width="22.5" style="770" customWidth="1"/>
    <col min="6" max="8" width="8.5" style="770"/>
    <col min="9" max="9" width="12.83203125" style="770" customWidth="1"/>
    <col min="10" max="10" width="8.5" style="967"/>
    <col min="11" max="11" width="9.83203125" style="967" customWidth="1"/>
    <col min="12" max="12" width="11" style="770" customWidth="1"/>
    <col min="13" max="14" width="8.5" style="770"/>
    <col min="15" max="15" width="15" style="971" customWidth="1"/>
    <col min="16" max="16" width="11.5" style="1069" customWidth="1"/>
    <col min="17" max="17" width="11.5" style="971" customWidth="1"/>
    <col min="18" max="18" width="11.5" style="972" customWidth="1"/>
    <col min="19" max="19" width="11.83203125" style="770" customWidth="1"/>
    <col min="20" max="20" width="11.5" style="972" customWidth="1"/>
    <col min="21" max="21" width="11.5" style="770" customWidth="1"/>
    <col min="22" max="22" width="12.83203125" style="770" customWidth="1"/>
    <col min="23" max="23" width="11.5" style="972" customWidth="1"/>
    <col min="24" max="24" width="11.5" style="770" customWidth="1"/>
    <col min="25" max="25" width="11.5" style="972" customWidth="1"/>
    <col min="26" max="26" width="11.5" style="770" customWidth="1"/>
    <col min="27" max="27" width="11.5" style="971" customWidth="1"/>
    <col min="28" max="28" width="11.5" style="770" customWidth="1"/>
    <col min="29" max="32" width="14" style="1038" customWidth="1"/>
    <col min="33" max="34" width="8.33203125" style="770" customWidth="1"/>
    <col min="35" max="40" width="9.83203125" style="969" customWidth="1"/>
    <col min="41" max="41" width="12.5" style="969" customWidth="1"/>
    <col min="42" max="49" width="12.1640625" style="770" customWidth="1"/>
    <col min="50" max="56" width="9.83203125" style="969" customWidth="1"/>
    <col min="57" max="63" width="12.1640625" style="770" customWidth="1"/>
    <col min="64" max="16384" width="8.5" style="770"/>
  </cols>
  <sheetData>
    <row r="1" spans="1:63">
      <c r="N1" s="770">
        <v>1</v>
      </c>
      <c r="O1" s="968">
        <f>SUMIF($A$7:$A$41,"="&amp;$N$1,O7:O41)</f>
        <v>153876440</v>
      </c>
      <c r="Q1" s="968">
        <f>SUMIF($A$7:$A$41,"="&amp;$N$1,Q7:Q41)</f>
        <v>176577069</v>
      </c>
      <c r="S1" s="968">
        <f>SUMIF($A$7:$A$41,"="&amp;$N$1,S7:S41)</f>
        <v>10241470.002</v>
      </c>
      <c r="U1" s="968">
        <f>SUMIF($A$7:$A$41,"="&amp;$N$1,U7:U41)</f>
        <v>8828853.4499999993</v>
      </c>
      <c r="V1" s="968">
        <f>SUMIF($A$7:$A$41,"="&amp;$N$1,V7:V41)</f>
        <v>195647392.45200002</v>
      </c>
      <c r="X1" s="968">
        <f>SUMIF($A$7:$A$41,"="&amp;$N$1,X7:X41)</f>
        <v>13903311.375680001</v>
      </c>
      <c r="Z1" s="968">
        <f>SUMIF($A$7:$A$41,"="&amp;$N$1,Z7:Z41)</f>
        <v>38234106.283119999</v>
      </c>
      <c r="AA1" s="968"/>
    </row>
    <row r="2" spans="1:63">
      <c r="N2" s="770">
        <v>2</v>
      </c>
      <c r="O2" s="968">
        <f>SUMIF($A$7:$A$41,"="&amp;$N$2,O7:O41)</f>
        <v>49544400</v>
      </c>
      <c r="Q2" s="968">
        <f>SUMIF($A$7:$A$41,"="&amp;$N$2,Q7:Q41)</f>
        <v>60505513</v>
      </c>
      <c r="S2" s="968">
        <f>SUMIF($A$7:$A$41,"="&amp;$N$2,S7:S41)</f>
        <v>3509319.7540000007</v>
      </c>
      <c r="U2" s="968">
        <f>SUMIF($A$7:$A$41,"="&amp;$N$2,U7:U41)</f>
        <v>3025275.6500000004</v>
      </c>
      <c r="V2" s="968">
        <f>SUMIF($A$7:$A$41,"="&amp;$N$2,V7:V41)</f>
        <v>67040108.403999999</v>
      </c>
      <c r="X2" s="968">
        <f>SUMIF($A$7:$A$41,"="&amp;$N$2,X7:X41)</f>
        <v>4569490.6563200001</v>
      </c>
      <c r="Z2" s="968">
        <f>SUMIF($A$7:$A$41,"="&amp;$N$2,Z7:Z41)</f>
        <v>12566099.304880001</v>
      </c>
      <c r="AA2" s="968"/>
    </row>
    <row r="3" spans="1:63">
      <c r="N3" s="770">
        <v>3</v>
      </c>
      <c r="O3" s="968">
        <f>SUMIF($A$7:$A$41,"="&amp;$N$3,O7:O41)</f>
        <v>280629930.312352</v>
      </c>
      <c r="Q3" s="968">
        <f>SUMIF($A$7:$A$41,"="&amp;$N$3,Q7:Q41)</f>
        <v>284223854.312352</v>
      </c>
      <c r="S3" s="968">
        <f>SUMIF($A$7:$A$41,"="&amp;$N$3,S7:S41)</f>
        <v>16484983.550116422</v>
      </c>
      <c r="U3" s="968">
        <f>SUMIF($A$7:$A$41,"="&amp;$N$3,U7:U41)</f>
        <v>14211192.715617606</v>
      </c>
      <c r="V3" s="968">
        <f>SUMIF($A$7:$A$41,"="&amp;$N$3,V7:V41)</f>
        <v>314920030.57808608</v>
      </c>
      <c r="X3" s="968">
        <f>SUMIF($A$7:$A$41,"="&amp;$N$3,X7:X41)</f>
        <v>15041218.285224307</v>
      </c>
      <c r="Z3" s="968">
        <f>SUMIF($A$7:$A$41,"="&amp;$N$3,Z7:Z41)</f>
        <v>78222897.754609436</v>
      </c>
      <c r="AA3" s="968"/>
    </row>
    <row r="4" spans="1:63">
      <c r="K4" s="1040">
        <f>Outputs_Porovnania!D36</f>
        <v>622391.73852678342</v>
      </c>
      <c r="L4" s="1040">
        <f>Outputs_Porovnania!F36</f>
        <v>747317.69915252714</v>
      </c>
      <c r="M4" s="1040">
        <f>Outputs_Porovnania!E36</f>
        <v>769949.12951030792</v>
      </c>
      <c r="O4" s="1064"/>
      <c r="P4" s="1070"/>
      <c r="Q4" s="968" t="s">
        <v>3455</v>
      </c>
      <c r="S4" s="967"/>
      <c r="U4" s="967"/>
      <c r="V4" s="967"/>
      <c r="X4" s="967"/>
      <c r="Z4" s="967"/>
      <c r="AA4" s="968">
        <f>SUM(AA7:AA25)-AA26</f>
        <v>311443067.50799996</v>
      </c>
    </row>
    <row r="5" spans="1:63" ht="29">
      <c r="N5" s="967"/>
      <c r="O5" s="968">
        <f>SUM(O7:O41)</f>
        <v>484050770.31235206</v>
      </c>
      <c r="P5" s="968">
        <f>SUM(P7:P41)</f>
        <v>37255666</v>
      </c>
      <c r="Q5" s="968">
        <f>SUM(Q7:Q41)</f>
        <v>521306436.31235206</v>
      </c>
      <c r="R5" s="771" t="s">
        <v>3178</v>
      </c>
      <c r="S5" s="968">
        <f>SUM(S7:S41)</f>
        <v>30235773.306116421</v>
      </c>
      <c r="T5" s="967"/>
      <c r="U5" s="968">
        <f>SUM(U7:U41)</f>
        <v>26065321.81561761</v>
      </c>
      <c r="V5" s="968">
        <f>SUM(V7:V41)</f>
        <v>577607531.43408597</v>
      </c>
      <c r="W5" s="967"/>
      <c r="X5" s="968">
        <f>SUM(X7:X41)</f>
        <v>33514020.317224309</v>
      </c>
      <c r="Y5" s="967"/>
      <c r="Z5" s="968">
        <f>SUM(Z7:Z41)</f>
        <v>129023103.34260942</v>
      </c>
      <c r="AA5" s="968">
        <f>SUM(AA7:AA41)</f>
        <v>740144655.09391987</v>
      </c>
      <c r="AP5" s="980" t="s">
        <v>3235</v>
      </c>
      <c r="BE5" s="980" t="s">
        <v>3236</v>
      </c>
    </row>
    <row r="6" spans="1:63" ht="80">
      <c r="A6" s="1228" t="s">
        <v>3357</v>
      </c>
      <c r="B6" s="1229" t="s">
        <v>3179</v>
      </c>
      <c r="C6" s="1230" t="s">
        <v>2883</v>
      </c>
      <c r="D6" s="1230" t="s">
        <v>2884</v>
      </c>
      <c r="E6" s="1230" t="s">
        <v>2885</v>
      </c>
      <c r="F6" s="1228" t="s">
        <v>2886</v>
      </c>
      <c r="G6" s="1229" t="s">
        <v>2887</v>
      </c>
      <c r="H6" s="1228" t="s">
        <v>2888</v>
      </c>
      <c r="I6" s="1229" t="s">
        <v>3180</v>
      </c>
      <c r="J6" s="1231" t="s">
        <v>3181</v>
      </c>
      <c r="K6" s="1232" t="s">
        <v>3182</v>
      </c>
      <c r="L6" s="1229" t="s">
        <v>3183</v>
      </c>
      <c r="M6" s="1230" t="s">
        <v>3184</v>
      </c>
      <c r="N6" s="1228" t="s">
        <v>3185</v>
      </c>
      <c r="O6" s="1233" t="s">
        <v>3186</v>
      </c>
      <c r="P6" s="1234" t="s">
        <v>3358</v>
      </c>
      <c r="Q6" s="1235" t="s">
        <v>3187</v>
      </c>
      <c r="R6" s="1236" t="s">
        <v>3188</v>
      </c>
      <c r="S6" s="1228" t="s">
        <v>3189</v>
      </c>
      <c r="T6" s="1236" t="s">
        <v>3190</v>
      </c>
      <c r="U6" s="1228" t="s">
        <v>3191</v>
      </c>
      <c r="V6" s="1237" t="s">
        <v>3192</v>
      </c>
      <c r="W6" s="1236" t="s">
        <v>3193</v>
      </c>
      <c r="X6" s="1228" t="s">
        <v>3194</v>
      </c>
      <c r="Y6" s="1236" t="s">
        <v>3195</v>
      </c>
      <c r="Z6" s="1228" t="s">
        <v>3196</v>
      </c>
      <c r="AA6" s="1238" t="s">
        <v>3197</v>
      </c>
      <c r="AB6" s="1237" t="s">
        <v>3168</v>
      </c>
      <c r="AC6" s="1039" t="s">
        <v>3324</v>
      </c>
      <c r="AD6" s="1039" t="s">
        <v>3326</v>
      </c>
      <c r="AE6" s="1039" t="s">
        <v>3327</v>
      </c>
      <c r="AF6" s="1039" t="s">
        <v>3325</v>
      </c>
      <c r="AI6" s="1239">
        <v>2022</v>
      </c>
      <c r="AJ6" s="1240">
        <f t="shared" ref="AJ6:AO6" si="0">AI6+1</f>
        <v>2023</v>
      </c>
      <c r="AK6" s="1240">
        <f t="shared" si="0"/>
        <v>2024</v>
      </c>
      <c r="AL6" s="1240">
        <f t="shared" si="0"/>
        <v>2025</v>
      </c>
      <c r="AM6" s="1240">
        <f t="shared" si="0"/>
        <v>2026</v>
      </c>
      <c r="AN6" s="1240">
        <f t="shared" si="0"/>
        <v>2027</v>
      </c>
      <c r="AO6" s="1241">
        <f t="shared" si="0"/>
        <v>2028</v>
      </c>
      <c r="AP6" s="1239">
        <v>2022</v>
      </c>
      <c r="AQ6" s="1240">
        <f t="shared" ref="AQ6:AV6" si="1">AP6+1</f>
        <v>2023</v>
      </c>
      <c r="AR6" s="1240">
        <f t="shared" si="1"/>
        <v>2024</v>
      </c>
      <c r="AS6" s="1240">
        <f t="shared" si="1"/>
        <v>2025</v>
      </c>
      <c r="AT6" s="1240">
        <f t="shared" si="1"/>
        <v>2026</v>
      </c>
      <c r="AU6" s="1240">
        <f t="shared" si="1"/>
        <v>2027</v>
      </c>
      <c r="AV6" s="1241">
        <f t="shared" si="1"/>
        <v>2028</v>
      </c>
      <c r="AX6" s="1239">
        <v>2022</v>
      </c>
      <c r="AY6" s="1240">
        <f t="shared" ref="AY6" si="2">AX6+1</f>
        <v>2023</v>
      </c>
      <c r="AZ6" s="1240">
        <f t="shared" ref="AZ6" si="3">AY6+1</f>
        <v>2024</v>
      </c>
      <c r="BA6" s="1240">
        <f t="shared" ref="BA6" si="4">AZ6+1</f>
        <v>2025</v>
      </c>
      <c r="BB6" s="1240">
        <f t="shared" ref="BB6" si="5">BA6+1</f>
        <v>2026</v>
      </c>
      <c r="BC6" s="1240">
        <f t="shared" ref="BC6" si="6">BB6+1</f>
        <v>2027</v>
      </c>
      <c r="BD6" s="1241">
        <f t="shared" ref="BD6" si="7">BC6+1</f>
        <v>2028</v>
      </c>
      <c r="BE6" s="1239">
        <v>2022</v>
      </c>
      <c r="BF6" s="1240">
        <f t="shared" ref="BF6" si="8">BE6+1</f>
        <v>2023</v>
      </c>
      <c r="BG6" s="1240">
        <f t="shared" ref="BG6" si="9">BF6+1</f>
        <v>2024</v>
      </c>
      <c r="BH6" s="1240">
        <f t="shared" ref="BH6" si="10">BG6+1</f>
        <v>2025</v>
      </c>
      <c r="BI6" s="1240">
        <f t="shared" ref="BI6" si="11">BH6+1</f>
        <v>2026</v>
      </c>
      <c r="BJ6" s="1240">
        <f t="shared" ref="BJ6" si="12">BI6+1</f>
        <v>2027</v>
      </c>
      <c r="BK6" s="1241">
        <f t="shared" ref="BK6" si="13">BJ6+1</f>
        <v>2028</v>
      </c>
    </row>
    <row r="7" spans="1:63" s="1325" customFormat="1" ht="16">
      <c r="A7" s="1322">
        <v>1</v>
      </c>
      <c r="B7" s="1323" t="s">
        <v>3198</v>
      </c>
      <c r="C7" s="1324" t="s">
        <v>1164</v>
      </c>
      <c r="D7" s="1325" t="s">
        <v>2894</v>
      </c>
      <c r="E7" s="1324" t="s">
        <v>2889</v>
      </c>
      <c r="F7" s="1322" t="s">
        <v>2890</v>
      </c>
      <c r="G7" s="1323">
        <v>2022</v>
      </c>
      <c r="H7" s="1326">
        <v>2025</v>
      </c>
      <c r="I7" s="1327"/>
      <c r="J7" s="1328"/>
      <c r="K7" s="1329">
        <v>19116</v>
      </c>
      <c r="L7" s="1330">
        <v>125</v>
      </c>
      <c r="M7" s="1331"/>
      <c r="N7" s="1332">
        <v>125</v>
      </c>
      <c r="O7" s="1333">
        <f t="shared" ref="O7:O41" si="14">I7*L7+J7*M7+K7*N7</f>
        <v>2389500</v>
      </c>
      <c r="P7" s="1334">
        <v>0</v>
      </c>
      <c r="Q7" s="1335">
        <f>O7+P7</f>
        <v>2389500</v>
      </c>
      <c r="R7" s="1336">
        <v>5.8000000000000003E-2</v>
      </c>
      <c r="S7" s="1337">
        <f t="shared" ref="S7:S41" si="15">R7*Q7</f>
        <v>138591</v>
      </c>
      <c r="T7" s="1336">
        <v>0.05</v>
      </c>
      <c r="U7" s="1337">
        <f t="shared" ref="U7:U41" si="16">T7*Q7</f>
        <v>119475</v>
      </c>
      <c r="V7" s="1338">
        <f t="shared" ref="V7:V41" si="17">Q7+S7+U7</f>
        <v>2647566</v>
      </c>
      <c r="W7" s="1336"/>
      <c r="X7" s="1337">
        <f t="shared" ref="X7:X41" si="18">W7*V7</f>
        <v>0</v>
      </c>
      <c r="Y7" s="1336"/>
      <c r="Z7" s="1337">
        <f t="shared" ref="Z7:Z41" si="19">Y7*V7</f>
        <v>0</v>
      </c>
      <c r="AA7" s="1339">
        <f t="shared" ref="AA7:AA41" si="20">V7+X7+Z7</f>
        <v>2647566</v>
      </c>
      <c r="AB7" s="1340"/>
      <c r="AC7" s="1341"/>
      <c r="AD7" s="1341"/>
      <c r="AE7" s="1341"/>
      <c r="AF7" s="1341">
        <f>1-SUM(AC7:AE7)</f>
        <v>1</v>
      </c>
      <c r="AG7" s="1341"/>
      <c r="AH7" s="1341"/>
      <c r="AI7" s="1342">
        <v>0.1</v>
      </c>
      <c r="AJ7" s="1343">
        <v>0.9</v>
      </c>
      <c r="AK7" s="1343"/>
      <c r="AL7" s="1343"/>
      <c r="AM7" s="1343"/>
      <c r="AN7" s="1343"/>
      <c r="AO7" s="1344">
        <f>1-SUM(AI7:AN7)</f>
        <v>0</v>
      </c>
      <c r="AP7" s="1345">
        <f t="shared" ref="AP7:AP41" si="21">$AA7*AI7</f>
        <v>264756.60000000003</v>
      </c>
      <c r="AQ7" s="1341">
        <f t="shared" ref="AQ7:AQ41" si="22">$AA7*AJ7</f>
        <v>2382809.4</v>
      </c>
      <c r="AR7" s="1341">
        <f t="shared" ref="AR7:AR41" si="23">$AA7*AK7</f>
        <v>0</v>
      </c>
      <c r="AS7" s="1341">
        <f t="shared" ref="AS7:AS41" si="24">$AA7*AL7</f>
        <v>0</v>
      </c>
      <c r="AT7" s="1341">
        <f t="shared" ref="AT7:AT41" si="25">$AA7*AM7</f>
        <v>0</v>
      </c>
      <c r="AU7" s="1341">
        <f t="shared" ref="AU7:AU41" si="26">$AA7*AN7</f>
        <v>0</v>
      </c>
      <c r="AV7" s="1337">
        <f t="shared" ref="AV7:AV41" si="27">$AA7*AO7</f>
        <v>0</v>
      </c>
      <c r="AX7" s="1342"/>
      <c r="AY7" s="1343">
        <v>1</v>
      </c>
      <c r="AZ7" s="1343"/>
      <c r="BA7" s="1343"/>
      <c r="BB7" s="1343"/>
      <c r="BC7" s="1343"/>
      <c r="BD7" s="1344">
        <f>1-SUM(AX7:BC7)</f>
        <v>0</v>
      </c>
      <c r="BE7" s="1345">
        <f>AX7*SUM($X7,$Z7)</f>
        <v>0</v>
      </c>
      <c r="BF7" s="1341">
        <f t="shared" ref="BF7:BK7" si="28">AY7*SUM($X7,$Z7)</f>
        <v>0</v>
      </c>
      <c r="BG7" s="1341">
        <f t="shared" si="28"/>
        <v>0</v>
      </c>
      <c r="BH7" s="1341">
        <f t="shared" si="28"/>
        <v>0</v>
      </c>
      <c r="BI7" s="1341">
        <f t="shared" si="28"/>
        <v>0</v>
      </c>
      <c r="BJ7" s="1341">
        <f t="shared" si="28"/>
        <v>0</v>
      </c>
      <c r="BK7" s="1337">
        <f t="shared" si="28"/>
        <v>0</v>
      </c>
    </row>
    <row r="8" spans="1:63" s="1325" customFormat="1" ht="16">
      <c r="A8" s="1322">
        <v>1</v>
      </c>
      <c r="B8" s="1323" t="s">
        <v>264</v>
      </c>
      <c r="C8" s="1324" t="s">
        <v>1164</v>
      </c>
      <c r="D8" s="1325" t="s">
        <v>2895</v>
      </c>
      <c r="E8" s="1324" t="s">
        <v>2889</v>
      </c>
      <c r="F8" s="1322" t="s">
        <v>2890</v>
      </c>
      <c r="G8" s="1323">
        <v>2022</v>
      </c>
      <c r="H8" s="1326">
        <v>2025</v>
      </c>
      <c r="I8" s="1327"/>
      <c r="J8" s="1328"/>
      <c r="K8" s="1329">
        <v>8200</v>
      </c>
      <c r="L8" s="1330"/>
      <c r="M8" s="1331"/>
      <c r="N8" s="1332">
        <v>100</v>
      </c>
      <c r="O8" s="1333">
        <f t="shared" si="14"/>
        <v>820000</v>
      </c>
      <c r="P8" s="1334">
        <v>0</v>
      </c>
      <c r="Q8" s="1335">
        <f t="shared" ref="Q8:Q41" si="29">O8+P8</f>
        <v>820000</v>
      </c>
      <c r="R8" s="1336">
        <v>5.8000000000000003E-2</v>
      </c>
      <c r="S8" s="1337">
        <f t="shared" si="15"/>
        <v>47560</v>
      </c>
      <c r="T8" s="1336">
        <v>0.05</v>
      </c>
      <c r="U8" s="1337">
        <f t="shared" si="16"/>
        <v>41000</v>
      </c>
      <c r="V8" s="1338">
        <f t="shared" si="17"/>
        <v>908560</v>
      </c>
      <c r="W8" s="1336"/>
      <c r="X8" s="1337">
        <f t="shared" si="18"/>
        <v>0</v>
      </c>
      <c r="Y8" s="1336"/>
      <c r="Z8" s="1337">
        <f t="shared" si="19"/>
        <v>0</v>
      </c>
      <c r="AA8" s="1339">
        <f t="shared" si="20"/>
        <v>908560</v>
      </c>
      <c r="AB8" s="1340"/>
      <c r="AC8" s="1341"/>
      <c r="AD8" s="1341"/>
      <c r="AE8" s="1341"/>
      <c r="AF8" s="1341">
        <f t="shared" ref="AF8:AF41" si="30">1-SUM(AC8:AE8)</f>
        <v>1</v>
      </c>
      <c r="AG8" s="1341"/>
      <c r="AH8" s="1341"/>
      <c r="AI8" s="1342">
        <v>0.1</v>
      </c>
      <c r="AJ8" s="1343">
        <v>0.9</v>
      </c>
      <c r="AK8" s="1343"/>
      <c r="AL8" s="1343"/>
      <c r="AM8" s="1343"/>
      <c r="AN8" s="1343"/>
      <c r="AO8" s="1344">
        <f t="shared" ref="AO8:AO41" si="31">1-SUM(AI8:AN8)</f>
        <v>0</v>
      </c>
      <c r="AP8" s="1345">
        <f t="shared" si="21"/>
        <v>90856</v>
      </c>
      <c r="AQ8" s="1341">
        <f t="shared" si="22"/>
        <v>817704</v>
      </c>
      <c r="AR8" s="1341">
        <f t="shared" si="23"/>
        <v>0</v>
      </c>
      <c r="AS8" s="1341">
        <f t="shared" si="24"/>
        <v>0</v>
      </c>
      <c r="AT8" s="1341">
        <f t="shared" si="25"/>
        <v>0</v>
      </c>
      <c r="AU8" s="1341">
        <f t="shared" si="26"/>
        <v>0</v>
      </c>
      <c r="AV8" s="1337">
        <f t="shared" si="27"/>
        <v>0</v>
      </c>
      <c r="AX8" s="1342"/>
      <c r="AY8" s="1343">
        <v>1</v>
      </c>
      <c r="AZ8" s="1343"/>
      <c r="BA8" s="1343"/>
      <c r="BB8" s="1343"/>
      <c r="BC8" s="1343"/>
      <c r="BD8" s="1344">
        <f t="shared" ref="BD8:BD41" si="32">1-SUM(AX8:BC8)</f>
        <v>0</v>
      </c>
      <c r="BE8" s="1345">
        <f t="shared" ref="BE8:BE41" si="33">AX8*SUM($X8,$Z8)</f>
        <v>0</v>
      </c>
      <c r="BF8" s="1341">
        <f t="shared" ref="BF8:BF41" si="34">AY8*SUM($X8,$Z8)</f>
        <v>0</v>
      </c>
      <c r="BG8" s="1341">
        <f t="shared" ref="BG8:BG41" si="35">AZ8*SUM($X8,$Z8)</f>
        <v>0</v>
      </c>
      <c r="BH8" s="1341">
        <f t="shared" ref="BH8:BH41" si="36">BA8*SUM($X8,$Z8)</f>
        <v>0</v>
      </c>
      <c r="BI8" s="1341">
        <f t="shared" ref="BI8:BI41" si="37">BB8*SUM($X8,$Z8)</f>
        <v>0</v>
      </c>
      <c r="BJ8" s="1341">
        <f t="shared" ref="BJ8:BJ41" si="38">BC8*SUM($X8,$Z8)</f>
        <v>0</v>
      </c>
      <c r="BK8" s="1337">
        <f t="shared" ref="BK8:BK41" si="39">BD8*SUM($X8,$Z8)</f>
        <v>0</v>
      </c>
    </row>
    <row r="9" spans="1:63" s="1349" customFormat="1" ht="16">
      <c r="A9" s="1346">
        <v>1</v>
      </c>
      <c r="B9" s="1347" t="s">
        <v>267</v>
      </c>
      <c r="C9" s="1348" t="s">
        <v>1164</v>
      </c>
      <c r="D9" s="1349" t="s">
        <v>2896</v>
      </c>
      <c r="E9" s="1348" t="s">
        <v>2891</v>
      </c>
      <c r="F9" s="1346" t="s">
        <v>2890</v>
      </c>
      <c r="G9" s="1347">
        <v>2022</v>
      </c>
      <c r="H9" s="1350">
        <v>2025</v>
      </c>
      <c r="I9" s="1351">
        <v>46489</v>
      </c>
      <c r="J9" s="1352"/>
      <c r="K9" s="1353"/>
      <c r="L9" s="1354">
        <v>2400</v>
      </c>
      <c r="M9" s="1355"/>
      <c r="N9" s="1356"/>
      <c r="O9" s="1357">
        <f t="shared" ref="O9:O17" si="40">I9*L9+J9*M9+K9*N9</f>
        <v>111573600</v>
      </c>
      <c r="P9" s="1358">
        <v>16575699</v>
      </c>
      <c r="Q9" s="1359">
        <f t="shared" ref="Q9:Q17" si="41">O9+P9</f>
        <v>128149299</v>
      </c>
      <c r="R9" s="1360">
        <v>5.8000000000000003E-2</v>
      </c>
      <c r="S9" s="1361">
        <f t="shared" ref="S9:S17" si="42">R9*Q9</f>
        <v>7432659.3420000002</v>
      </c>
      <c r="T9" s="1360">
        <v>0.05</v>
      </c>
      <c r="U9" s="1361">
        <f t="shared" ref="U9:U17" si="43">T9*Q9</f>
        <v>6407464.9500000002</v>
      </c>
      <c r="V9" s="1362">
        <f t="shared" ref="V9:V17" si="44">Q9+S9+U9</f>
        <v>141989423.292</v>
      </c>
      <c r="W9" s="1360">
        <v>0.08</v>
      </c>
      <c r="X9" s="1361">
        <f t="shared" ref="X9:X17" si="45">W9*V9</f>
        <v>11359153.863360001</v>
      </c>
      <c r="Y9" s="1360">
        <v>0.22</v>
      </c>
      <c r="Z9" s="1361">
        <f t="shared" ref="Z9:Z17" si="46">Y9*V9</f>
        <v>31237673.12424</v>
      </c>
      <c r="AA9" s="1363">
        <f t="shared" ref="AA9:AA17" si="47">V9+X9+Z9</f>
        <v>184586250.27959999</v>
      </c>
      <c r="AB9" s="1364">
        <v>115</v>
      </c>
      <c r="AC9" s="1365"/>
      <c r="AD9" s="1365">
        <v>1</v>
      </c>
      <c r="AE9" s="1365"/>
      <c r="AF9" s="1365">
        <f t="shared" ref="AF9:AF17" si="48">1-SUM(AC9:AE9)</f>
        <v>0</v>
      </c>
      <c r="AG9" s="1365"/>
      <c r="AH9" s="1365"/>
      <c r="AI9" s="1366">
        <v>0.05</v>
      </c>
      <c r="AJ9" s="1367">
        <v>0.25</v>
      </c>
      <c r="AK9" s="1367">
        <v>0.4</v>
      </c>
      <c r="AL9" s="1367">
        <v>0.3</v>
      </c>
      <c r="AM9" s="1367"/>
      <c r="AN9" s="1367"/>
      <c r="AO9" s="1368">
        <f t="shared" ref="AO9:AO17" si="49">1-SUM(AI9:AN9)</f>
        <v>0</v>
      </c>
      <c r="AP9" s="1369">
        <f t="shared" ref="AP9:AP17" si="50">$AA9*AI9</f>
        <v>9229312.5139799993</v>
      </c>
      <c r="AQ9" s="1365">
        <f t="shared" si="22"/>
        <v>46146562.569899999</v>
      </c>
      <c r="AR9" s="1365">
        <f t="shared" si="23"/>
        <v>73834500.111839995</v>
      </c>
      <c r="AS9" s="1365">
        <f t="shared" si="24"/>
        <v>55375875.08388</v>
      </c>
      <c r="AT9" s="1365">
        <f t="shared" si="25"/>
        <v>0</v>
      </c>
      <c r="AU9" s="1365">
        <f t="shared" si="26"/>
        <v>0</v>
      </c>
      <c r="AV9" s="1361">
        <f t="shared" si="27"/>
        <v>0</v>
      </c>
      <c r="AX9" s="1366"/>
      <c r="AY9" s="1367"/>
      <c r="AZ9" s="1367"/>
      <c r="BA9" s="1367">
        <v>1</v>
      </c>
      <c r="BB9" s="1367"/>
      <c r="BC9" s="1367"/>
      <c r="BD9" s="1368">
        <f t="shared" ref="BD9:BD17" si="51">1-SUM(AX9:BC9)</f>
        <v>0</v>
      </c>
      <c r="BE9" s="1369">
        <f t="shared" ref="BE9:BE17" si="52">AX9*SUM($X9,$Z9)</f>
        <v>0</v>
      </c>
      <c r="BF9" s="1365">
        <f t="shared" si="34"/>
        <v>0</v>
      </c>
      <c r="BG9" s="1365">
        <f t="shared" si="35"/>
        <v>0</v>
      </c>
      <c r="BH9" s="1365">
        <f t="shared" si="36"/>
        <v>42596826.987599999</v>
      </c>
      <c r="BI9" s="1365">
        <f t="shared" si="37"/>
        <v>0</v>
      </c>
      <c r="BJ9" s="1365">
        <f t="shared" si="38"/>
        <v>0</v>
      </c>
      <c r="BK9" s="1361">
        <f t="shared" si="39"/>
        <v>0</v>
      </c>
    </row>
    <row r="10" spans="1:63" s="1394" customFormat="1">
      <c r="A10" s="1370">
        <v>1</v>
      </c>
      <c r="B10" s="1371"/>
      <c r="C10" s="1372" t="s">
        <v>1164</v>
      </c>
      <c r="D10" s="1373" t="s">
        <v>3199</v>
      </c>
      <c r="E10" s="1372"/>
      <c r="F10" s="1370"/>
      <c r="G10" s="1371"/>
      <c r="H10" s="1374"/>
      <c r="I10" s="1375">
        <v>2260</v>
      </c>
      <c r="J10" s="1376"/>
      <c r="K10" s="1377">
        <v>61000</v>
      </c>
      <c r="L10" s="1378">
        <v>80</v>
      </c>
      <c r="M10" s="1379"/>
      <c r="N10" s="1380">
        <v>38</v>
      </c>
      <c r="O10" s="1381">
        <f t="shared" si="40"/>
        <v>2498800</v>
      </c>
      <c r="P10" s="1382"/>
      <c r="Q10" s="1383">
        <f t="shared" si="41"/>
        <v>2498800</v>
      </c>
      <c r="R10" s="1384">
        <v>5.8000000000000003E-2</v>
      </c>
      <c r="S10" s="1385">
        <f t="shared" si="42"/>
        <v>144930.4</v>
      </c>
      <c r="T10" s="1384">
        <v>0.05</v>
      </c>
      <c r="U10" s="1385">
        <f t="shared" si="43"/>
        <v>124940</v>
      </c>
      <c r="V10" s="1386">
        <f t="shared" si="44"/>
        <v>2768670.4</v>
      </c>
      <c r="W10" s="1384"/>
      <c r="X10" s="1385">
        <f t="shared" si="45"/>
        <v>0</v>
      </c>
      <c r="Y10" s="1384"/>
      <c r="Z10" s="1385">
        <f t="shared" si="46"/>
        <v>0</v>
      </c>
      <c r="AA10" s="1387">
        <f t="shared" si="47"/>
        <v>2768670.4</v>
      </c>
      <c r="AB10" s="1388"/>
      <c r="AC10" s="1389"/>
      <c r="AD10" s="1389"/>
      <c r="AE10" s="1389"/>
      <c r="AF10" s="1389">
        <f t="shared" si="48"/>
        <v>1</v>
      </c>
      <c r="AG10" s="1389"/>
      <c r="AH10" s="1389"/>
      <c r="AI10" s="1390">
        <v>1</v>
      </c>
      <c r="AJ10" s="1391"/>
      <c r="AK10" s="1391"/>
      <c r="AL10" s="1391"/>
      <c r="AM10" s="1391"/>
      <c r="AN10" s="1391"/>
      <c r="AO10" s="1392">
        <f t="shared" si="49"/>
        <v>0</v>
      </c>
      <c r="AP10" s="1393">
        <f t="shared" si="50"/>
        <v>2768670.4</v>
      </c>
      <c r="AQ10" s="1389">
        <f t="shared" si="22"/>
        <v>0</v>
      </c>
      <c r="AR10" s="1389">
        <f t="shared" si="23"/>
        <v>0</v>
      </c>
      <c r="AS10" s="1389">
        <f t="shared" si="24"/>
        <v>0</v>
      </c>
      <c r="AT10" s="1389">
        <f t="shared" si="25"/>
        <v>0</v>
      </c>
      <c r="AU10" s="1389">
        <f t="shared" si="26"/>
        <v>0</v>
      </c>
      <c r="AV10" s="1385">
        <f t="shared" si="27"/>
        <v>0</v>
      </c>
      <c r="AX10" s="1390"/>
      <c r="AY10" s="1391">
        <v>1</v>
      </c>
      <c r="AZ10" s="1391"/>
      <c r="BA10" s="1391"/>
      <c r="BB10" s="1391"/>
      <c r="BC10" s="1391"/>
      <c r="BD10" s="1392">
        <f t="shared" si="51"/>
        <v>0</v>
      </c>
      <c r="BE10" s="1393">
        <f t="shared" si="52"/>
        <v>0</v>
      </c>
      <c r="BF10" s="1389">
        <f t="shared" si="34"/>
        <v>0</v>
      </c>
      <c r="BG10" s="1389">
        <f t="shared" si="35"/>
        <v>0</v>
      </c>
      <c r="BH10" s="1389">
        <f t="shared" si="36"/>
        <v>0</v>
      </c>
      <c r="BI10" s="1389">
        <f t="shared" si="37"/>
        <v>0</v>
      </c>
      <c r="BJ10" s="1389">
        <f t="shared" si="38"/>
        <v>0</v>
      </c>
      <c r="BK10" s="1385">
        <f t="shared" si="39"/>
        <v>0</v>
      </c>
    </row>
    <row r="11" spans="1:63" s="1394" customFormat="1">
      <c r="A11" s="1370">
        <v>1</v>
      </c>
      <c r="B11" s="1371"/>
      <c r="C11" s="1372" t="s">
        <v>1164</v>
      </c>
      <c r="D11" s="1373" t="s">
        <v>3200</v>
      </c>
      <c r="E11" s="1372"/>
      <c r="F11" s="1370"/>
      <c r="G11" s="1371"/>
      <c r="H11" s="1374"/>
      <c r="I11" s="1375">
        <v>1</v>
      </c>
      <c r="J11" s="1376"/>
      <c r="K11" s="1377"/>
      <c r="L11" s="1378">
        <v>350000</v>
      </c>
      <c r="M11" s="1379"/>
      <c r="N11" s="1380"/>
      <c r="O11" s="1381">
        <f t="shared" si="40"/>
        <v>350000</v>
      </c>
      <c r="P11" s="1382"/>
      <c r="Q11" s="1383">
        <f t="shared" si="41"/>
        <v>350000</v>
      </c>
      <c r="R11" s="1384">
        <v>5.8000000000000003E-2</v>
      </c>
      <c r="S11" s="1385">
        <f t="shared" si="42"/>
        <v>20300</v>
      </c>
      <c r="T11" s="1384">
        <v>0.05</v>
      </c>
      <c r="U11" s="1385">
        <f t="shared" si="43"/>
        <v>17500</v>
      </c>
      <c r="V11" s="1386">
        <f t="shared" si="44"/>
        <v>387800</v>
      </c>
      <c r="W11" s="1384"/>
      <c r="X11" s="1385">
        <f t="shared" si="45"/>
        <v>0</v>
      </c>
      <c r="Y11" s="1384"/>
      <c r="Z11" s="1385">
        <f t="shared" si="46"/>
        <v>0</v>
      </c>
      <c r="AA11" s="1387">
        <f t="shared" si="47"/>
        <v>387800</v>
      </c>
      <c r="AB11" s="1388"/>
      <c r="AC11" s="1389"/>
      <c r="AD11" s="1389"/>
      <c r="AE11" s="1389"/>
      <c r="AF11" s="1389">
        <f t="shared" si="48"/>
        <v>1</v>
      </c>
      <c r="AG11" s="1389"/>
      <c r="AH11" s="1389"/>
      <c r="AI11" s="1390"/>
      <c r="AJ11" s="1391">
        <v>0</v>
      </c>
      <c r="AK11" s="1391"/>
      <c r="AL11" s="1391">
        <v>1</v>
      </c>
      <c r="AM11" s="1391"/>
      <c r="AN11" s="1391"/>
      <c r="AO11" s="1392">
        <f t="shared" si="49"/>
        <v>0</v>
      </c>
      <c r="AP11" s="1393">
        <f t="shared" si="50"/>
        <v>0</v>
      </c>
      <c r="AQ11" s="1389">
        <f t="shared" si="22"/>
        <v>0</v>
      </c>
      <c r="AR11" s="1389">
        <f t="shared" si="23"/>
        <v>0</v>
      </c>
      <c r="AS11" s="1389">
        <f t="shared" si="24"/>
        <v>387800</v>
      </c>
      <c r="AT11" s="1389">
        <f t="shared" si="25"/>
        <v>0</v>
      </c>
      <c r="AU11" s="1389">
        <f t="shared" si="26"/>
        <v>0</v>
      </c>
      <c r="AV11" s="1385">
        <f t="shared" si="27"/>
        <v>0</v>
      </c>
      <c r="AX11" s="1390"/>
      <c r="AY11" s="1391">
        <v>0</v>
      </c>
      <c r="AZ11" s="1391"/>
      <c r="BA11" s="1391">
        <v>1</v>
      </c>
      <c r="BB11" s="1391"/>
      <c r="BC11" s="1391"/>
      <c r="BD11" s="1392">
        <f t="shared" si="51"/>
        <v>0</v>
      </c>
      <c r="BE11" s="1393">
        <f t="shared" si="52"/>
        <v>0</v>
      </c>
      <c r="BF11" s="1389">
        <f t="shared" si="34"/>
        <v>0</v>
      </c>
      <c r="BG11" s="1389">
        <f t="shared" si="35"/>
        <v>0</v>
      </c>
      <c r="BH11" s="1389">
        <f t="shared" si="36"/>
        <v>0</v>
      </c>
      <c r="BI11" s="1389">
        <f t="shared" si="37"/>
        <v>0</v>
      </c>
      <c r="BJ11" s="1389">
        <f t="shared" si="38"/>
        <v>0</v>
      </c>
      <c r="BK11" s="1385">
        <f t="shared" si="39"/>
        <v>0</v>
      </c>
    </row>
    <row r="12" spans="1:63" s="1394" customFormat="1">
      <c r="A12" s="1370">
        <v>1</v>
      </c>
      <c r="B12" s="1371"/>
      <c r="C12" s="1372" t="s">
        <v>1164</v>
      </c>
      <c r="D12" s="1373" t="s">
        <v>3201</v>
      </c>
      <c r="E12" s="1372"/>
      <c r="F12" s="1370"/>
      <c r="G12" s="1371"/>
      <c r="H12" s="1374"/>
      <c r="I12" s="1375">
        <v>630</v>
      </c>
      <c r="J12" s="1376"/>
      <c r="K12" s="1377"/>
      <c r="L12" s="1378">
        <v>750</v>
      </c>
      <c r="M12" s="1379"/>
      <c r="N12" s="1380"/>
      <c r="O12" s="1381">
        <f t="shared" si="40"/>
        <v>472500</v>
      </c>
      <c r="P12" s="1382"/>
      <c r="Q12" s="1383">
        <f t="shared" si="41"/>
        <v>472500</v>
      </c>
      <c r="R12" s="1384">
        <v>5.8000000000000003E-2</v>
      </c>
      <c r="S12" s="1385">
        <f t="shared" si="42"/>
        <v>27405</v>
      </c>
      <c r="T12" s="1384">
        <v>0.05</v>
      </c>
      <c r="U12" s="1385">
        <f t="shared" si="43"/>
        <v>23625</v>
      </c>
      <c r="V12" s="1386">
        <f t="shared" si="44"/>
        <v>523530</v>
      </c>
      <c r="W12" s="1384"/>
      <c r="X12" s="1385">
        <f t="shared" si="45"/>
        <v>0</v>
      </c>
      <c r="Y12" s="1384"/>
      <c r="Z12" s="1385">
        <f t="shared" si="46"/>
        <v>0</v>
      </c>
      <c r="AA12" s="1387">
        <f t="shared" si="47"/>
        <v>523530</v>
      </c>
      <c r="AB12" s="1388"/>
      <c r="AC12" s="1389">
        <v>1</v>
      </c>
      <c r="AD12" s="1389"/>
      <c r="AE12" s="1389"/>
      <c r="AF12" s="1389">
        <f t="shared" si="48"/>
        <v>0</v>
      </c>
      <c r="AG12" s="1389"/>
      <c r="AH12" s="1389"/>
      <c r="AI12" s="1390"/>
      <c r="AJ12" s="1391">
        <v>0.2</v>
      </c>
      <c r="AK12" s="1391">
        <v>0.3</v>
      </c>
      <c r="AL12" s="1391">
        <v>0.5</v>
      </c>
      <c r="AM12" s="1391"/>
      <c r="AN12" s="1391"/>
      <c r="AO12" s="1392">
        <f t="shared" si="49"/>
        <v>0</v>
      </c>
      <c r="AP12" s="1393">
        <f t="shared" si="50"/>
        <v>0</v>
      </c>
      <c r="AQ12" s="1389">
        <f t="shared" si="22"/>
        <v>104706</v>
      </c>
      <c r="AR12" s="1389">
        <f t="shared" si="23"/>
        <v>157059</v>
      </c>
      <c r="AS12" s="1389">
        <f t="shared" si="24"/>
        <v>261765</v>
      </c>
      <c r="AT12" s="1389">
        <f t="shared" si="25"/>
        <v>0</v>
      </c>
      <c r="AU12" s="1389">
        <f t="shared" si="26"/>
        <v>0</v>
      </c>
      <c r="AV12" s="1385">
        <f t="shared" si="27"/>
        <v>0</v>
      </c>
      <c r="AX12" s="1390"/>
      <c r="AY12" s="1391"/>
      <c r="AZ12" s="1391"/>
      <c r="BA12" s="1391">
        <v>1</v>
      </c>
      <c r="BB12" s="1391"/>
      <c r="BC12" s="1391"/>
      <c r="BD12" s="1392">
        <f t="shared" si="51"/>
        <v>0</v>
      </c>
      <c r="BE12" s="1393">
        <f t="shared" si="52"/>
        <v>0</v>
      </c>
      <c r="BF12" s="1389">
        <f t="shared" si="34"/>
        <v>0</v>
      </c>
      <c r="BG12" s="1389">
        <f t="shared" si="35"/>
        <v>0</v>
      </c>
      <c r="BH12" s="1389">
        <f t="shared" si="36"/>
        <v>0</v>
      </c>
      <c r="BI12" s="1389">
        <f t="shared" si="37"/>
        <v>0</v>
      </c>
      <c r="BJ12" s="1389">
        <f t="shared" si="38"/>
        <v>0</v>
      </c>
      <c r="BK12" s="1385">
        <f t="shared" si="39"/>
        <v>0</v>
      </c>
    </row>
    <row r="13" spans="1:63" s="1416" customFormat="1">
      <c r="A13" s="1395">
        <v>1</v>
      </c>
      <c r="B13" s="1396"/>
      <c r="C13" s="1397" t="s">
        <v>1164</v>
      </c>
      <c r="D13" s="1398" t="s">
        <v>3202</v>
      </c>
      <c r="E13" s="1397"/>
      <c r="F13" s="1395"/>
      <c r="G13" s="1396"/>
      <c r="H13" s="1399"/>
      <c r="I13" s="1400">
        <v>720</v>
      </c>
      <c r="J13" s="1401"/>
      <c r="K13" s="1402"/>
      <c r="L13" s="1400">
        <v>1250</v>
      </c>
      <c r="M13" s="1401"/>
      <c r="N13" s="1402"/>
      <c r="O13" s="1403">
        <f t="shared" si="40"/>
        <v>900000</v>
      </c>
      <c r="P13" s="1404">
        <v>222792</v>
      </c>
      <c r="Q13" s="1405">
        <f t="shared" si="41"/>
        <v>1122792</v>
      </c>
      <c r="R13" s="1406">
        <v>5.8000000000000003E-2</v>
      </c>
      <c r="S13" s="1407">
        <f t="shared" si="42"/>
        <v>65121.936000000002</v>
      </c>
      <c r="T13" s="1406">
        <v>0.05</v>
      </c>
      <c r="U13" s="1407">
        <f t="shared" si="43"/>
        <v>56139.600000000006</v>
      </c>
      <c r="V13" s="1408">
        <f t="shared" si="44"/>
        <v>1244053.5360000001</v>
      </c>
      <c r="W13" s="1406"/>
      <c r="X13" s="1407">
        <f t="shared" si="45"/>
        <v>0</v>
      </c>
      <c r="Y13" s="1406"/>
      <c r="Z13" s="1407">
        <f t="shared" si="46"/>
        <v>0</v>
      </c>
      <c r="AA13" s="1409">
        <f t="shared" si="47"/>
        <v>1244053.5360000001</v>
      </c>
      <c r="AB13" s="1410"/>
      <c r="AC13" s="1411">
        <v>1</v>
      </c>
      <c r="AD13" s="1411"/>
      <c r="AE13" s="1411"/>
      <c r="AF13" s="1411">
        <f t="shared" si="48"/>
        <v>0</v>
      </c>
      <c r="AG13" s="1411"/>
      <c r="AH13" s="1411"/>
      <c r="AI13" s="1412"/>
      <c r="AJ13" s="1413">
        <v>0.2</v>
      </c>
      <c r="AK13" s="1413">
        <v>0.3</v>
      </c>
      <c r="AL13" s="1413">
        <v>0.5</v>
      </c>
      <c r="AM13" s="1413"/>
      <c r="AN13" s="1413"/>
      <c r="AO13" s="1414">
        <f t="shared" si="49"/>
        <v>0</v>
      </c>
      <c r="AP13" s="1415">
        <f t="shared" si="50"/>
        <v>0</v>
      </c>
      <c r="AQ13" s="1411">
        <f t="shared" si="22"/>
        <v>248810.70720000003</v>
      </c>
      <c r="AR13" s="1411">
        <f t="shared" si="23"/>
        <v>373216.06080000004</v>
      </c>
      <c r="AS13" s="1411">
        <f t="shared" si="24"/>
        <v>622026.76800000004</v>
      </c>
      <c r="AT13" s="1411">
        <f t="shared" si="25"/>
        <v>0</v>
      </c>
      <c r="AU13" s="1411">
        <f t="shared" si="26"/>
        <v>0</v>
      </c>
      <c r="AV13" s="1407">
        <f t="shared" si="27"/>
        <v>0</v>
      </c>
      <c r="AX13" s="1412"/>
      <c r="AY13" s="1413"/>
      <c r="AZ13" s="1413"/>
      <c r="BA13" s="1413">
        <v>1</v>
      </c>
      <c r="BB13" s="1413"/>
      <c r="BC13" s="1413"/>
      <c r="BD13" s="1414">
        <f t="shared" si="51"/>
        <v>0</v>
      </c>
      <c r="BE13" s="1415">
        <f t="shared" si="52"/>
        <v>0</v>
      </c>
      <c r="BF13" s="1411">
        <f t="shared" si="34"/>
        <v>0</v>
      </c>
      <c r="BG13" s="1411">
        <f t="shared" si="35"/>
        <v>0</v>
      </c>
      <c r="BH13" s="1411">
        <f t="shared" si="36"/>
        <v>0</v>
      </c>
      <c r="BI13" s="1411">
        <f t="shared" si="37"/>
        <v>0</v>
      </c>
      <c r="BJ13" s="1411">
        <f t="shared" si="38"/>
        <v>0</v>
      </c>
      <c r="BK13" s="1407">
        <f t="shared" si="39"/>
        <v>0</v>
      </c>
    </row>
    <row r="14" spans="1:63" s="1349" customFormat="1" ht="16">
      <c r="A14" s="1346">
        <v>1</v>
      </c>
      <c r="B14" s="1347" t="s">
        <v>274</v>
      </c>
      <c r="C14" s="1348" t="s">
        <v>1167</v>
      </c>
      <c r="D14" s="1349" t="s">
        <v>3204</v>
      </c>
      <c r="E14" s="1348" t="s">
        <v>2891</v>
      </c>
      <c r="F14" s="1346" t="s">
        <v>2893</v>
      </c>
      <c r="G14" s="1347">
        <v>2022</v>
      </c>
      <c r="H14" s="1350">
        <v>2025</v>
      </c>
      <c r="I14" s="1351">
        <f>2*5700</f>
        <v>11400</v>
      </c>
      <c r="J14" s="1352"/>
      <c r="K14" s="1353"/>
      <c r="L14" s="1354">
        <v>2000</v>
      </c>
      <c r="M14" s="1355"/>
      <c r="N14" s="1356"/>
      <c r="O14" s="1357">
        <f t="shared" si="40"/>
        <v>22800000</v>
      </c>
      <c r="P14" s="1358">
        <v>5902138</v>
      </c>
      <c r="Q14" s="1359">
        <f t="shared" si="41"/>
        <v>28702138</v>
      </c>
      <c r="R14" s="1360">
        <v>5.8000000000000003E-2</v>
      </c>
      <c r="S14" s="1361">
        <f t="shared" si="42"/>
        <v>1664724.0040000002</v>
      </c>
      <c r="T14" s="1360">
        <v>0.05</v>
      </c>
      <c r="U14" s="1361">
        <f t="shared" si="43"/>
        <v>1435106.9000000001</v>
      </c>
      <c r="V14" s="1362">
        <f t="shared" si="44"/>
        <v>31801968.903999999</v>
      </c>
      <c r="W14" s="1360">
        <v>0.08</v>
      </c>
      <c r="X14" s="1361">
        <f t="shared" si="45"/>
        <v>2544157.5123200002</v>
      </c>
      <c r="Y14" s="1360">
        <v>0.22</v>
      </c>
      <c r="Z14" s="1361">
        <f t="shared" si="46"/>
        <v>6996433.15888</v>
      </c>
      <c r="AA14" s="1363">
        <f t="shared" si="47"/>
        <v>41342559.575199999</v>
      </c>
      <c r="AB14" s="1364">
        <v>180</v>
      </c>
      <c r="AC14" s="1365"/>
      <c r="AD14" s="1365">
        <v>1</v>
      </c>
      <c r="AE14" s="1365"/>
      <c r="AF14" s="1365">
        <f t="shared" si="48"/>
        <v>0</v>
      </c>
      <c r="AG14" s="1365"/>
      <c r="AH14" s="1365"/>
      <c r="AI14" s="1366">
        <v>0.1</v>
      </c>
      <c r="AJ14" s="1367">
        <v>0.3</v>
      </c>
      <c r="AK14" s="1367">
        <v>0.4</v>
      </c>
      <c r="AL14" s="1367">
        <v>0.2</v>
      </c>
      <c r="AM14" s="1367"/>
      <c r="AN14" s="1367"/>
      <c r="AO14" s="1368">
        <f t="shared" si="49"/>
        <v>0</v>
      </c>
      <c r="AP14" s="1369">
        <f t="shared" si="50"/>
        <v>4134255.9575200002</v>
      </c>
      <c r="AQ14" s="1365">
        <f t="shared" si="22"/>
        <v>12402767.87256</v>
      </c>
      <c r="AR14" s="1365">
        <f t="shared" si="23"/>
        <v>16537023.830080001</v>
      </c>
      <c r="AS14" s="1365">
        <f t="shared" si="24"/>
        <v>8268511.9150400003</v>
      </c>
      <c r="AT14" s="1365">
        <f t="shared" si="25"/>
        <v>0</v>
      </c>
      <c r="AU14" s="1365">
        <f t="shared" si="26"/>
        <v>0</v>
      </c>
      <c r="AV14" s="1361">
        <f t="shared" si="27"/>
        <v>0</v>
      </c>
      <c r="AX14" s="1366"/>
      <c r="AY14" s="1367"/>
      <c r="AZ14" s="1367"/>
      <c r="BA14" s="1367">
        <v>1</v>
      </c>
      <c r="BB14" s="1367"/>
      <c r="BC14" s="1367"/>
      <c r="BD14" s="1368">
        <f t="shared" si="51"/>
        <v>0</v>
      </c>
      <c r="BE14" s="1369">
        <f t="shared" si="52"/>
        <v>0</v>
      </c>
      <c r="BF14" s="1365">
        <f t="shared" si="34"/>
        <v>0</v>
      </c>
      <c r="BG14" s="1365">
        <f t="shared" si="35"/>
        <v>0</v>
      </c>
      <c r="BH14" s="1365">
        <f t="shared" si="36"/>
        <v>9540590.6711999997</v>
      </c>
      <c r="BI14" s="1365">
        <f t="shared" si="37"/>
        <v>0</v>
      </c>
      <c r="BJ14" s="1365">
        <f t="shared" si="38"/>
        <v>0</v>
      </c>
      <c r="BK14" s="1361">
        <f t="shared" si="39"/>
        <v>0</v>
      </c>
    </row>
    <row r="15" spans="1:63" s="1394" customFormat="1">
      <c r="A15" s="1370">
        <v>1</v>
      </c>
      <c r="B15" s="1371"/>
      <c r="C15" s="1372" t="s">
        <v>1167</v>
      </c>
      <c r="D15" s="1373" t="s">
        <v>3205</v>
      </c>
      <c r="E15" s="1372"/>
      <c r="F15" s="1370"/>
      <c r="G15" s="1371"/>
      <c r="H15" s="1374"/>
      <c r="I15" s="1375">
        <v>5700</v>
      </c>
      <c r="J15" s="1376"/>
      <c r="K15" s="1377"/>
      <c r="L15" s="1378">
        <v>1500</v>
      </c>
      <c r="M15" s="1379"/>
      <c r="N15" s="1380"/>
      <c r="O15" s="1381">
        <f t="shared" si="40"/>
        <v>8550000</v>
      </c>
      <c r="P15" s="1382"/>
      <c r="Q15" s="1383">
        <f t="shared" si="41"/>
        <v>8550000</v>
      </c>
      <c r="R15" s="1384">
        <v>5.8000000000000003E-2</v>
      </c>
      <c r="S15" s="1385">
        <f t="shared" si="42"/>
        <v>495900</v>
      </c>
      <c r="T15" s="1384">
        <v>0.05</v>
      </c>
      <c r="U15" s="1385">
        <f t="shared" si="43"/>
        <v>427500</v>
      </c>
      <c r="V15" s="1386">
        <f t="shared" si="44"/>
        <v>9473400</v>
      </c>
      <c r="W15" s="1384"/>
      <c r="X15" s="1385">
        <f t="shared" si="45"/>
        <v>0</v>
      </c>
      <c r="Y15" s="1384"/>
      <c r="Z15" s="1385">
        <f t="shared" si="46"/>
        <v>0</v>
      </c>
      <c r="AA15" s="1387">
        <f t="shared" si="47"/>
        <v>9473400</v>
      </c>
      <c r="AB15" s="1388"/>
      <c r="AC15" s="1389"/>
      <c r="AD15" s="1389"/>
      <c r="AE15" s="1389"/>
      <c r="AF15" s="1389">
        <f t="shared" si="48"/>
        <v>1</v>
      </c>
      <c r="AG15" s="1389"/>
      <c r="AH15" s="1389"/>
      <c r="AI15" s="1390"/>
      <c r="AJ15" s="1391"/>
      <c r="AK15" s="1391">
        <v>0.4</v>
      </c>
      <c r="AL15" s="1391">
        <v>0.6</v>
      </c>
      <c r="AM15" s="1391"/>
      <c r="AN15" s="1391"/>
      <c r="AO15" s="1392">
        <f t="shared" si="49"/>
        <v>0</v>
      </c>
      <c r="AP15" s="1393">
        <f t="shared" si="50"/>
        <v>0</v>
      </c>
      <c r="AQ15" s="1389">
        <f t="shared" si="22"/>
        <v>0</v>
      </c>
      <c r="AR15" s="1389">
        <f t="shared" si="23"/>
        <v>3789360</v>
      </c>
      <c r="AS15" s="1389">
        <f t="shared" si="24"/>
        <v>5684040</v>
      </c>
      <c r="AT15" s="1389">
        <f t="shared" si="25"/>
        <v>0</v>
      </c>
      <c r="AU15" s="1389">
        <f t="shared" si="26"/>
        <v>0</v>
      </c>
      <c r="AV15" s="1385">
        <f t="shared" si="27"/>
        <v>0</v>
      </c>
      <c r="AX15" s="1390"/>
      <c r="AY15" s="1391"/>
      <c r="AZ15" s="1391"/>
      <c r="BA15" s="1391">
        <v>1</v>
      </c>
      <c r="BB15" s="1391"/>
      <c r="BC15" s="1391"/>
      <c r="BD15" s="1392">
        <f t="shared" si="51"/>
        <v>0</v>
      </c>
      <c r="BE15" s="1393">
        <f t="shared" si="52"/>
        <v>0</v>
      </c>
      <c r="BF15" s="1389">
        <f t="shared" si="34"/>
        <v>0</v>
      </c>
      <c r="BG15" s="1389">
        <f t="shared" si="35"/>
        <v>0</v>
      </c>
      <c r="BH15" s="1389">
        <f t="shared" si="36"/>
        <v>0</v>
      </c>
      <c r="BI15" s="1389">
        <f t="shared" si="37"/>
        <v>0</v>
      </c>
      <c r="BJ15" s="1389">
        <f t="shared" si="38"/>
        <v>0</v>
      </c>
      <c r="BK15" s="1385">
        <f t="shared" si="39"/>
        <v>0</v>
      </c>
    </row>
    <row r="16" spans="1:63" s="1394" customFormat="1">
      <c r="A16" s="1370">
        <v>1</v>
      </c>
      <c r="B16" s="1371"/>
      <c r="C16" s="1372" t="s">
        <v>1167</v>
      </c>
      <c r="D16" s="1373" t="s">
        <v>3206</v>
      </c>
      <c r="E16" s="1372"/>
      <c r="F16" s="1370"/>
      <c r="G16" s="1371"/>
      <c r="H16" s="1374"/>
      <c r="I16" s="1375">
        <v>1800</v>
      </c>
      <c r="J16" s="1376"/>
      <c r="K16" s="1377">
        <v>28500</v>
      </c>
      <c r="L16" s="1378">
        <v>80</v>
      </c>
      <c r="M16" s="1379"/>
      <c r="N16" s="1380">
        <v>38</v>
      </c>
      <c r="O16" s="1381">
        <f t="shared" si="40"/>
        <v>1227000</v>
      </c>
      <c r="P16" s="1382"/>
      <c r="Q16" s="1383">
        <f t="shared" si="41"/>
        <v>1227000</v>
      </c>
      <c r="R16" s="1384">
        <v>5.8000000000000003E-2</v>
      </c>
      <c r="S16" s="1385">
        <f t="shared" si="42"/>
        <v>71166</v>
      </c>
      <c r="T16" s="1384">
        <v>0.05</v>
      </c>
      <c r="U16" s="1385">
        <f t="shared" si="43"/>
        <v>61350</v>
      </c>
      <c r="V16" s="1386">
        <f t="shared" si="44"/>
        <v>1359516</v>
      </c>
      <c r="W16" s="1384"/>
      <c r="X16" s="1385">
        <f t="shared" si="45"/>
        <v>0</v>
      </c>
      <c r="Y16" s="1384"/>
      <c r="Z16" s="1385">
        <f t="shared" si="46"/>
        <v>0</v>
      </c>
      <c r="AA16" s="1387">
        <f t="shared" si="47"/>
        <v>1359516</v>
      </c>
      <c r="AB16" s="1388"/>
      <c r="AC16" s="1389"/>
      <c r="AD16" s="1389"/>
      <c r="AE16" s="1389"/>
      <c r="AF16" s="1389">
        <f t="shared" si="48"/>
        <v>1</v>
      </c>
      <c r="AG16" s="1389"/>
      <c r="AH16" s="1389"/>
      <c r="AI16" s="1390"/>
      <c r="AJ16" s="1391">
        <v>1</v>
      </c>
      <c r="AK16" s="1391"/>
      <c r="AL16" s="1391"/>
      <c r="AM16" s="1391"/>
      <c r="AN16" s="1391"/>
      <c r="AO16" s="1392">
        <f t="shared" si="49"/>
        <v>0</v>
      </c>
      <c r="AP16" s="1393">
        <f t="shared" si="50"/>
        <v>0</v>
      </c>
      <c r="AQ16" s="1389">
        <f t="shared" si="22"/>
        <v>1359516</v>
      </c>
      <c r="AR16" s="1389">
        <f t="shared" si="23"/>
        <v>0</v>
      </c>
      <c r="AS16" s="1389">
        <f t="shared" si="24"/>
        <v>0</v>
      </c>
      <c r="AT16" s="1389">
        <f t="shared" si="25"/>
        <v>0</v>
      </c>
      <c r="AU16" s="1389">
        <f t="shared" si="26"/>
        <v>0</v>
      </c>
      <c r="AV16" s="1385">
        <f t="shared" si="27"/>
        <v>0</v>
      </c>
      <c r="AX16" s="1390"/>
      <c r="AY16" s="1391">
        <v>1</v>
      </c>
      <c r="AZ16" s="1391"/>
      <c r="BA16" s="1391"/>
      <c r="BB16" s="1391"/>
      <c r="BC16" s="1391"/>
      <c r="BD16" s="1392">
        <f t="shared" si="51"/>
        <v>0</v>
      </c>
      <c r="BE16" s="1393">
        <f t="shared" si="52"/>
        <v>0</v>
      </c>
      <c r="BF16" s="1389">
        <f t="shared" si="34"/>
        <v>0</v>
      </c>
      <c r="BG16" s="1389">
        <f t="shared" si="35"/>
        <v>0</v>
      </c>
      <c r="BH16" s="1389">
        <f t="shared" si="36"/>
        <v>0</v>
      </c>
      <c r="BI16" s="1389">
        <f t="shared" si="37"/>
        <v>0</v>
      </c>
      <c r="BJ16" s="1389">
        <f t="shared" si="38"/>
        <v>0</v>
      </c>
      <c r="BK16" s="1385">
        <f t="shared" si="39"/>
        <v>0</v>
      </c>
    </row>
    <row r="17" spans="1:63" s="1416" customFormat="1">
      <c r="A17" s="1395">
        <v>1</v>
      </c>
      <c r="B17" s="1396" t="s">
        <v>273</v>
      </c>
      <c r="C17" s="1397" t="s">
        <v>1167</v>
      </c>
      <c r="D17" s="1398" t="s">
        <v>3203</v>
      </c>
      <c r="E17" s="1397" t="s">
        <v>2889</v>
      </c>
      <c r="F17" s="1395" t="s">
        <v>2893</v>
      </c>
      <c r="G17" s="1396">
        <v>2022</v>
      </c>
      <c r="H17" s="1399">
        <v>2025</v>
      </c>
      <c r="I17" s="1417"/>
      <c r="J17" s="1418"/>
      <c r="K17" s="1419">
        <v>28688</v>
      </c>
      <c r="L17" s="1400"/>
      <c r="M17" s="1420"/>
      <c r="N17" s="1421">
        <v>80</v>
      </c>
      <c r="O17" s="1403">
        <f t="shared" si="40"/>
        <v>2295040</v>
      </c>
      <c r="P17" s="1404"/>
      <c r="Q17" s="1405">
        <f t="shared" si="41"/>
        <v>2295040</v>
      </c>
      <c r="R17" s="1406">
        <v>5.8000000000000003E-2</v>
      </c>
      <c r="S17" s="1407">
        <f t="shared" si="42"/>
        <v>133112.32000000001</v>
      </c>
      <c r="T17" s="1406">
        <v>0.05</v>
      </c>
      <c r="U17" s="1407">
        <f t="shared" si="43"/>
        <v>114752</v>
      </c>
      <c r="V17" s="1408">
        <f t="shared" si="44"/>
        <v>2542904.3199999998</v>
      </c>
      <c r="W17" s="1406"/>
      <c r="X17" s="1407">
        <f t="shared" si="45"/>
        <v>0</v>
      </c>
      <c r="Y17" s="1406"/>
      <c r="Z17" s="1407">
        <f t="shared" si="46"/>
        <v>0</v>
      </c>
      <c r="AA17" s="1409">
        <f t="shared" si="47"/>
        <v>2542904.3199999998</v>
      </c>
      <c r="AB17" s="1410"/>
      <c r="AC17" s="1411"/>
      <c r="AD17" s="1411"/>
      <c r="AE17" s="1411"/>
      <c r="AF17" s="1411">
        <f t="shared" si="48"/>
        <v>1</v>
      </c>
      <c r="AG17" s="1411"/>
      <c r="AH17" s="1411"/>
      <c r="AI17" s="1412"/>
      <c r="AJ17" s="1413">
        <v>1</v>
      </c>
      <c r="AK17" s="1413"/>
      <c r="AL17" s="1413"/>
      <c r="AM17" s="1413"/>
      <c r="AN17" s="1413"/>
      <c r="AO17" s="1414">
        <f t="shared" si="49"/>
        <v>0</v>
      </c>
      <c r="AP17" s="1415">
        <f t="shared" si="50"/>
        <v>0</v>
      </c>
      <c r="AQ17" s="1411">
        <f t="shared" si="22"/>
        <v>2542904.3199999998</v>
      </c>
      <c r="AR17" s="1411">
        <f t="shared" si="23"/>
        <v>0</v>
      </c>
      <c r="AS17" s="1411">
        <f t="shared" si="24"/>
        <v>0</v>
      </c>
      <c r="AT17" s="1411">
        <f t="shared" si="25"/>
        <v>0</v>
      </c>
      <c r="AU17" s="1411">
        <f t="shared" si="26"/>
        <v>0</v>
      </c>
      <c r="AV17" s="1407">
        <f t="shared" si="27"/>
        <v>0</v>
      </c>
      <c r="AX17" s="1412"/>
      <c r="AY17" s="1413">
        <v>1</v>
      </c>
      <c r="AZ17" s="1413"/>
      <c r="BA17" s="1413"/>
      <c r="BB17" s="1413"/>
      <c r="BC17" s="1413"/>
      <c r="BD17" s="1414">
        <f t="shared" si="51"/>
        <v>0</v>
      </c>
      <c r="BE17" s="1415">
        <f t="shared" si="52"/>
        <v>0</v>
      </c>
      <c r="BF17" s="1411">
        <f t="shared" si="34"/>
        <v>0</v>
      </c>
      <c r="BG17" s="1411">
        <f t="shared" si="35"/>
        <v>0</v>
      </c>
      <c r="BH17" s="1411">
        <f t="shared" si="36"/>
        <v>0</v>
      </c>
      <c r="BI17" s="1411">
        <f t="shared" si="37"/>
        <v>0</v>
      </c>
      <c r="BJ17" s="1411">
        <f t="shared" si="38"/>
        <v>0</v>
      </c>
      <c r="BK17" s="1407">
        <f t="shared" si="39"/>
        <v>0</v>
      </c>
    </row>
    <row r="18" spans="1:63">
      <c r="A18" s="1316"/>
      <c r="B18" s="1317"/>
      <c r="C18" s="970"/>
      <c r="E18" s="970"/>
      <c r="F18" s="970"/>
      <c r="G18" s="1317"/>
      <c r="H18" s="1317"/>
      <c r="I18" s="1319"/>
      <c r="J18" s="1319"/>
      <c r="K18" s="1319"/>
      <c r="L18" s="1226"/>
      <c r="M18" s="1226"/>
      <c r="N18" s="1226"/>
      <c r="O18" s="1064"/>
      <c r="P18" s="1070"/>
      <c r="Q18" s="968"/>
      <c r="R18" s="1320"/>
      <c r="S18" s="967"/>
      <c r="T18" s="1320"/>
      <c r="U18" s="967"/>
      <c r="V18" s="967"/>
      <c r="W18" s="1320"/>
      <c r="X18" s="967"/>
      <c r="Y18" s="1320"/>
      <c r="Z18" s="967"/>
      <c r="AA18" s="968"/>
      <c r="AB18" s="1033"/>
      <c r="AC18" s="1040"/>
      <c r="AD18" s="1040"/>
      <c r="AE18" s="1040"/>
      <c r="AF18" s="1040"/>
      <c r="AG18" s="967"/>
      <c r="AH18" s="967"/>
      <c r="AI18" s="1321"/>
      <c r="AJ18" s="1321"/>
      <c r="AK18" s="1321"/>
      <c r="AL18" s="1321"/>
      <c r="AM18" s="1321"/>
      <c r="AN18" s="1321"/>
      <c r="AO18" s="1321"/>
      <c r="AP18" s="967"/>
      <c r="AQ18" s="967"/>
      <c r="AR18" s="967"/>
      <c r="AS18" s="967"/>
      <c r="AT18" s="967"/>
      <c r="AU18" s="967"/>
      <c r="AV18" s="967"/>
      <c r="AX18" s="1321"/>
      <c r="AY18" s="1321"/>
      <c r="AZ18" s="1321"/>
      <c r="BA18" s="1321"/>
      <c r="BB18" s="1321"/>
      <c r="BC18" s="1321"/>
      <c r="BD18" s="1321"/>
      <c r="BE18" s="967"/>
      <c r="BF18" s="967"/>
      <c r="BG18" s="967"/>
      <c r="BH18" s="967"/>
      <c r="BI18" s="967"/>
      <c r="BJ18" s="967"/>
      <c r="BK18" s="967"/>
    </row>
    <row r="19" spans="1:63" s="1245" customFormat="1" ht="16">
      <c r="A19" s="1242">
        <v>2</v>
      </c>
      <c r="B19" s="1243" t="s">
        <v>276</v>
      </c>
      <c r="C19" s="1244" t="s">
        <v>1167</v>
      </c>
      <c r="D19" s="1245" t="s">
        <v>3207</v>
      </c>
      <c r="E19" s="1244" t="s">
        <v>2891</v>
      </c>
      <c r="F19" s="1242" t="s">
        <v>3208</v>
      </c>
      <c r="G19" s="1243">
        <v>2022</v>
      </c>
      <c r="H19" s="1246">
        <v>2025</v>
      </c>
      <c r="I19" s="1247">
        <v>12600</v>
      </c>
      <c r="J19" s="1248"/>
      <c r="K19" s="1249"/>
      <c r="L19" s="1250">
        <v>2200</v>
      </c>
      <c r="M19" s="1251"/>
      <c r="N19" s="1252"/>
      <c r="O19" s="1253">
        <f t="shared" ref="O19:O24" si="53">I19*L19+J19*M19+K19*N19</f>
        <v>27720000</v>
      </c>
      <c r="P19" s="1254">
        <v>5686862</v>
      </c>
      <c r="Q19" s="1255">
        <f t="shared" ref="Q19:Q24" si="54">O19+P19</f>
        <v>33406862</v>
      </c>
      <c r="R19" s="1256">
        <v>5.8000000000000003E-2</v>
      </c>
      <c r="S19" s="1257">
        <f t="shared" ref="S19:S24" si="55">R19*Q19</f>
        <v>1937597.996</v>
      </c>
      <c r="T19" s="1256">
        <v>0.05</v>
      </c>
      <c r="U19" s="1257">
        <f t="shared" ref="U19:U24" si="56">T19*Q19</f>
        <v>1670343.1</v>
      </c>
      <c r="V19" s="1258">
        <f t="shared" ref="V19:V24" si="57">Q19+S19+U19</f>
        <v>37014803.096000001</v>
      </c>
      <c r="W19" s="1256">
        <v>0.08</v>
      </c>
      <c r="X19" s="1257">
        <f t="shared" ref="X19:X24" si="58">W19*V19</f>
        <v>2961184.24768</v>
      </c>
      <c r="Y19" s="1256">
        <v>0.22</v>
      </c>
      <c r="Z19" s="1257">
        <f t="shared" ref="Z19:Z24" si="59">Y19*V19</f>
        <v>8143256.6811199998</v>
      </c>
      <c r="AA19" s="1259">
        <f t="shared" ref="AA19:AA24" si="60">V19+X19+Z19</f>
        <v>48119244.024800003</v>
      </c>
      <c r="AB19" s="1260">
        <v>120</v>
      </c>
      <c r="AC19" s="1261"/>
      <c r="AD19" s="1261">
        <v>1</v>
      </c>
      <c r="AE19" s="1261"/>
      <c r="AF19" s="1261">
        <f t="shared" ref="AF19:AF24" si="61">1-SUM(AC19:AE19)</f>
        <v>0</v>
      </c>
      <c r="AG19" s="1261"/>
      <c r="AH19" s="1261"/>
      <c r="AI19" s="1262"/>
      <c r="AJ19" s="1263">
        <v>0.1</v>
      </c>
      <c r="AK19" s="1263">
        <v>0.5</v>
      </c>
      <c r="AL19" s="1263">
        <v>0.4</v>
      </c>
      <c r="AM19" s="1263"/>
      <c r="AN19" s="1263"/>
      <c r="AO19" s="1264">
        <f t="shared" ref="AO19:AO24" si="62">1-SUM(AI19:AN19)</f>
        <v>0</v>
      </c>
      <c r="AP19" s="1265">
        <f t="shared" ref="AP19:AV24" si="63">$AA19*AI19</f>
        <v>0</v>
      </c>
      <c r="AQ19" s="1261">
        <f t="shared" si="63"/>
        <v>4811924.4024800006</v>
      </c>
      <c r="AR19" s="1261">
        <f t="shared" si="63"/>
        <v>24059622.012400001</v>
      </c>
      <c r="AS19" s="1261">
        <f t="shared" si="63"/>
        <v>19247697.609920003</v>
      </c>
      <c r="AT19" s="1261">
        <f t="shared" si="63"/>
        <v>0</v>
      </c>
      <c r="AU19" s="1261">
        <f t="shared" si="63"/>
        <v>0</v>
      </c>
      <c r="AV19" s="1257">
        <f t="shared" si="63"/>
        <v>0</v>
      </c>
      <c r="AX19" s="1262"/>
      <c r="AY19" s="1263"/>
      <c r="AZ19" s="1263"/>
      <c r="BA19" s="1263">
        <v>1</v>
      </c>
      <c r="BB19" s="1263"/>
      <c r="BC19" s="1263"/>
      <c r="BD19" s="1264">
        <f t="shared" ref="BD19:BD24" si="64">1-SUM(AX19:BC19)</f>
        <v>0</v>
      </c>
      <c r="BE19" s="1265">
        <f t="shared" ref="BE19:BK24" si="65">AX19*SUM($X19,$Z19)</f>
        <v>0</v>
      </c>
      <c r="BF19" s="1261">
        <f t="shared" si="65"/>
        <v>0</v>
      </c>
      <c r="BG19" s="1261">
        <f t="shared" si="65"/>
        <v>0</v>
      </c>
      <c r="BH19" s="1261">
        <f t="shared" si="65"/>
        <v>11104440.9288</v>
      </c>
      <c r="BI19" s="1261">
        <f t="shared" si="65"/>
        <v>0</v>
      </c>
      <c r="BJ19" s="1261">
        <f t="shared" si="65"/>
        <v>0</v>
      </c>
      <c r="BK19" s="1257">
        <f t="shared" si="65"/>
        <v>0</v>
      </c>
    </row>
    <row r="20" spans="1:63" s="1290" customFormat="1">
      <c r="A20" s="1266">
        <v>2</v>
      </c>
      <c r="B20" s="1267"/>
      <c r="C20" s="1268" t="s">
        <v>1167</v>
      </c>
      <c r="D20" s="1269" t="s">
        <v>3205</v>
      </c>
      <c r="E20" s="1268"/>
      <c r="F20" s="1266"/>
      <c r="G20" s="1267"/>
      <c r="H20" s="1270"/>
      <c r="I20" s="1271">
        <v>2100</v>
      </c>
      <c r="J20" s="1272"/>
      <c r="K20" s="1273"/>
      <c r="L20" s="1274">
        <v>1500</v>
      </c>
      <c r="M20" s="1275"/>
      <c r="N20" s="1276"/>
      <c r="O20" s="1277">
        <f t="shared" si="53"/>
        <v>3150000</v>
      </c>
      <c r="P20" s="1278"/>
      <c r="Q20" s="1279">
        <f t="shared" si="54"/>
        <v>3150000</v>
      </c>
      <c r="R20" s="1280">
        <v>5.8000000000000003E-2</v>
      </c>
      <c r="S20" s="1281">
        <f t="shared" si="55"/>
        <v>182700</v>
      </c>
      <c r="T20" s="1280">
        <v>0.05</v>
      </c>
      <c r="U20" s="1281">
        <f t="shared" si="56"/>
        <v>157500</v>
      </c>
      <c r="V20" s="1282">
        <f t="shared" si="57"/>
        <v>3490200</v>
      </c>
      <c r="W20" s="1280"/>
      <c r="X20" s="1281">
        <f t="shared" si="58"/>
        <v>0</v>
      </c>
      <c r="Y20" s="1280"/>
      <c r="Z20" s="1281">
        <f t="shared" si="59"/>
        <v>0</v>
      </c>
      <c r="AA20" s="1283">
        <f t="shared" si="60"/>
        <v>3490200</v>
      </c>
      <c r="AB20" s="1284"/>
      <c r="AC20" s="1285"/>
      <c r="AD20" s="1285"/>
      <c r="AE20" s="1285"/>
      <c r="AF20" s="1285">
        <f t="shared" si="61"/>
        <v>1</v>
      </c>
      <c r="AG20" s="1285"/>
      <c r="AH20" s="1285"/>
      <c r="AI20" s="1286"/>
      <c r="AJ20" s="1287">
        <v>0.8</v>
      </c>
      <c r="AK20" s="1287">
        <v>0.2</v>
      </c>
      <c r="AL20" s="1287"/>
      <c r="AM20" s="1287"/>
      <c r="AN20" s="1287"/>
      <c r="AO20" s="1288">
        <f t="shared" si="62"/>
        <v>0</v>
      </c>
      <c r="AP20" s="1289">
        <f t="shared" si="63"/>
        <v>0</v>
      </c>
      <c r="AQ20" s="1285">
        <f t="shared" si="63"/>
        <v>2792160</v>
      </c>
      <c r="AR20" s="1285">
        <f t="shared" si="63"/>
        <v>698040</v>
      </c>
      <c r="AS20" s="1285">
        <f t="shared" si="63"/>
        <v>0</v>
      </c>
      <c r="AT20" s="1285">
        <f t="shared" si="63"/>
        <v>0</v>
      </c>
      <c r="AU20" s="1285">
        <f t="shared" si="63"/>
        <v>0</v>
      </c>
      <c r="AV20" s="1281">
        <f t="shared" si="63"/>
        <v>0</v>
      </c>
      <c r="AX20" s="1286"/>
      <c r="AY20" s="1287"/>
      <c r="AZ20" s="1287">
        <v>1</v>
      </c>
      <c r="BA20" s="1287"/>
      <c r="BB20" s="1287"/>
      <c r="BC20" s="1287"/>
      <c r="BD20" s="1288">
        <f t="shared" si="64"/>
        <v>0</v>
      </c>
      <c r="BE20" s="1289">
        <f t="shared" si="65"/>
        <v>0</v>
      </c>
      <c r="BF20" s="1285">
        <f t="shared" si="65"/>
        <v>0</v>
      </c>
      <c r="BG20" s="1285">
        <f t="shared" si="65"/>
        <v>0</v>
      </c>
      <c r="BH20" s="1285">
        <f t="shared" si="65"/>
        <v>0</v>
      </c>
      <c r="BI20" s="1285">
        <f t="shared" si="65"/>
        <v>0</v>
      </c>
      <c r="BJ20" s="1285">
        <f t="shared" si="65"/>
        <v>0</v>
      </c>
      <c r="BK20" s="1281">
        <f t="shared" si="65"/>
        <v>0</v>
      </c>
    </row>
    <row r="21" spans="1:63" s="1310" customFormat="1">
      <c r="A21" s="1291">
        <v>2</v>
      </c>
      <c r="B21" s="1292"/>
      <c r="C21" s="1293" t="s">
        <v>1167</v>
      </c>
      <c r="D21" s="1294" t="s">
        <v>3206</v>
      </c>
      <c r="E21" s="1293"/>
      <c r="F21" s="1291"/>
      <c r="G21" s="1292"/>
      <c r="H21" s="1295"/>
      <c r="I21" s="1311">
        <v>1250</v>
      </c>
      <c r="J21" s="1312"/>
      <c r="K21" s="1313">
        <v>10500</v>
      </c>
      <c r="L21" s="1296">
        <v>80</v>
      </c>
      <c r="M21" s="1314"/>
      <c r="N21" s="1315">
        <v>38</v>
      </c>
      <c r="O21" s="1297">
        <f t="shared" si="53"/>
        <v>499000</v>
      </c>
      <c r="P21" s="1298"/>
      <c r="Q21" s="1299">
        <f t="shared" si="54"/>
        <v>499000</v>
      </c>
      <c r="R21" s="1300">
        <v>5.8000000000000003E-2</v>
      </c>
      <c r="S21" s="1301">
        <f t="shared" si="55"/>
        <v>28942</v>
      </c>
      <c r="T21" s="1300">
        <v>0.05</v>
      </c>
      <c r="U21" s="1301">
        <f t="shared" si="56"/>
        <v>24950</v>
      </c>
      <c r="V21" s="1302">
        <f t="shared" si="57"/>
        <v>552892</v>
      </c>
      <c r="W21" s="1300"/>
      <c r="X21" s="1301">
        <f t="shared" si="58"/>
        <v>0</v>
      </c>
      <c r="Y21" s="1300"/>
      <c r="Z21" s="1301">
        <f t="shared" si="59"/>
        <v>0</v>
      </c>
      <c r="AA21" s="1303">
        <f t="shared" si="60"/>
        <v>552892</v>
      </c>
      <c r="AB21" s="1304"/>
      <c r="AC21" s="1305"/>
      <c r="AD21" s="1305"/>
      <c r="AE21" s="1305"/>
      <c r="AF21" s="1305">
        <f t="shared" si="61"/>
        <v>1</v>
      </c>
      <c r="AG21" s="1305"/>
      <c r="AH21" s="1305"/>
      <c r="AI21" s="1306"/>
      <c r="AJ21" s="1307">
        <v>0.8</v>
      </c>
      <c r="AK21" s="1307">
        <v>0.2</v>
      </c>
      <c r="AL21" s="1307"/>
      <c r="AM21" s="1307"/>
      <c r="AN21" s="1307"/>
      <c r="AO21" s="1308">
        <f t="shared" si="62"/>
        <v>0</v>
      </c>
      <c r="AP21" s="1309">
        <f t="shared" si="63"/>
        <v>0</v>
      </c>
      <c r="AQ21" s="1305">
        <f t="shared" si="63"/>
        <v>442313.60000000003</v>
      </c>
      <c r="AR21" s="1305">
        <f t="shared" si="63"/>
        <v>110578.40000000001</v>
      </c>
      <c r="AS21" s="1305">
        <f t="shared" si="63"/>
        <v>0</v>
      </c>
      <c r="AT21" s="1305">
        <f t="shared" si="63"/>
        <v>0</v>
      </c>
      <c r="AU21" s="1305">
        <f t="shared" si="63"/>
        <v>0</v>
      </c>
      <c r="AV21" s="1301">
        <f t="shared" si="63"/>
        <v>0</v>
      </c>
      <c r="AX21" s="1306"/>
      <c r="AY21" s="1307"/>
      <c r="AZ21" s="1307">
        <v>1</v>
      </c>
      <c r="BA21" s="1307"/>
      <c r="BB21" s="1307"/>
      <c r="BC21" s="1307"/>
      <c r="BD21" s="1308">
        <f t="shared" si="64"/>
        <v>0</v>
      </c>
      <c r="BE21" s="1309">
        <f t="shared" si="65"/>
        <v>0</v>
      </c>
      <c r="BF21" s="1305">
        <f t="shared" si="65"/>
        <v>0</v>
      </c>
      <c r="BG21" s="1305">
        <f t="shared" si="65"/>
        <v>0</v>
      </c>
      <c r="BH21" s="1305">
        <f t="shared" si="65"/>
        <v>0</v>
      </c>
      <c r="BI21" s="1305">
        <f t="shared" si="65"/>
        <v>0</v>
      </c>
      <c r="BJ21" s="1305">
        <f t="shared" si="65"/>
        <v>0</v>
      </c>
      <c r="BK21" s="1301">
        <f t="shared" si="65"/>
        <v>0</v>
      </c>
    </row>
    <row r="22" spans="1:63" s="1245" customFormat="1" ht="16">
      <c r="A22" s="1242">
        <v>2</v>
      </c>
      <c r="B22" s="1243" t="s">
        <v>277</v>
      </c>
      <c r="C22" s="1244" t="s">
        <v>1167</v>
      </c>
      <c r="D22" s="1245" t="s">
        <v>3209</v>
      </c>
      <c r="E22" s="1244" t="s">
        <v>2891</v>
      </c>
      <c r="F22" s="1242" t="s">
        <v>3208</v>
      </c>
      <c r="G22" s="1243">
        <v>2022</v>
      </c>
      <c r="H22" s="1246">
        <v>2025</v>
      </c>
      <c r="I22" s="1247">
        <v>5850</v>
      </c>
      <c r="J22" s="1248"/>
      <c r="K22" s="1249"/>
      <c r="L22" s="1250">
        <v>2200</v>
      </c>
      <c r="M22" s="1251"/>
      <c r="N22" s="1252"/>
      <c r="O22" s="1253">
        <f t="shared" si="53"/>
        <v>12870000</v>
      </c>
      <c r="P22" s="1254">
        <v>5274251</v>
      </c>
      <c r="Q22" s="1255">
        <f t="shared" si="54"/>
        <v>18144251</v>
      </c>
      <c r="R22" s="1256">
        <v>5.8000000000000003E-2</v>
      </c>
      <c r="S22" s="1257">
        <f t="shared" si="55"/>
        <v>1052366.558</v>
      </c>
      <c r="T22" s="1256">
        <v>0.05</v>
      </c>
      <c r="U22" s="1257">
        <f t="shared" si="56"/>
        <v>907212.55</v>
      </c>
      <c r="V22" s="1258">
        <f t="shared" si="57"/>
        <v>20103830.107999999</v>
      </c>
      <c r="W22" s="1256">
        <v>0.08</v>
      </c>
      <c r="X22" s="1257">
        <f t="shared" si="58"/>
        <v>1608306.40864</v>
      </c>
      <c r="Y22" s="1256">
        <v>0.22</v>
      </c>
      <c r="Z22" s="1257">
        <f t="shared" si="59"/>
        <v>4422842.6237599999</v>
      </c>
      <c r="AA22" s="1259">
        <f t="shared" si="60"/>
        <v>26134979.1404</v>
      </c>
      <c r="AB22" s="1260">
        <v>70</v>
      </c>
      <c r="AC22" s="1261"/>
      <c r="AD22" s="1261">
        <v>1</v>
      </c>
      <c r="AE22" s="1261"/>
      <c r="AF22" s="1261">
        <f t="shared" si="61"/>
        <v>0</v>
      </c>
      <c r="AG22" s="1261"/>
      <c r="AH22" s="1261"/>
      <c r="AI22" s="1262"/>
      <c r="AJ22" s="1263">
        <v>0</v>
      </c>
      <c r="AK22" s="1263">
        <v>0.4</v>
      </c>
      <c r="AL22" s="1263">
        <v>0.6</v>
      </c>
      <c r="AM22" s="1263"/>
      <c r="AN22" s="1263"/>
      <c r="AO22" s="1264">
        <f t="shared" si="62"/>
        <v>0</v>
      </c>
      <c r="AP22" s="1265">
        <f t="shared" si="63"/>
        <v>0</v>
      </c>
      <c r="AQ22" s="1261">
        <f t="shared" si="63"/>
        <v>0</v>
      </c>
      <c r="AR22" s="1261">
        <f t="shared" si="63"/>
        <v>10453991.656160001</v>
      </c>
      <c r="AS22" s="1261">
        <f t="shared" si="63"/>
        <v>15680987.484239999</v>
      </c>
      <c r="AT22" s="1261">
        <f t="shared" si="63"/>
        <v>0</v>
      </c>
      <c r="AU22" s="1261">
        <f t="shared" si="63"/>
        <v>0</v>
      </c>
      <c r="AV22" s="1257">
        <f t="shared" si="63"/>
        <v>0</v>
      </c>
      <c r="AX22" s="1262"/>
      <c r="AY22" s="1263"/>
      <c r="AZ22" s="1263">
        <v>0.4</v>
      </c>
      <c r="BA22" s="1263">
        <v>0.6</v>
      </c>
      <c r="BB22" s="1263"/>
      <c r="BC22" s="1263"/>
      <c r="BD22" s="1264">
        <f t="shared" si="64"/>
        <v>0</v>
      </c>
      <c r="BE22" s="1265">
        <f t="shared" si="65"/>
        <v>0</v>
      </c>
      <c r="BF22" s="1261">
        <f t="shared" si="65"/>
        <v>0</v>
      </c>
      <c r="BG22" s="1261">
        <f t="shared" si="65"/>
        <v>2412459.6129600001</v>
      </c>
      <c r="BH22" s="1261">
        <f t="shared" si="65"/>
        <v>3618689.4194399999</v>
      </c>
      <c r="BI22" s="1261">
        <f t="shared" si="65"/>
        <v>0</v>
      </c>
      <c r="BJ22" s="1261">
        <f t="shared" si="65"/>
        <v>0</v>
      </c>
      <c r="BK22" s="1257">
        <f t="shared" si="65"/>
        <v>0</v>
      </c>
    </row>
    <row r="23" spans="1:63" s="1290" customFormat="1">
      <c r="A23" s="1266">
        <v>2</v>
      </c>
      <c r="B23" s="1267"/>
      <c r="C23" s="1268" t="s">
        <v>1167</v>
      </c>
      <c r="D23" s="1269" t="s">
        <v>3205</v>
      </c>
      <c r="E23" s="1268"/>
      <c r="F23" s="1266"/>
      <c r="G23" s="1267"/>
      <c r="H23" s="1270"/>
      <c r="I23" s="1271">
        <v>1950</v>
      </c>
      <c r="J23" s="1272"/>
      <c r="K23" s="1273"/>
      <c r="L23" s="1274">
        <v>1500</v>
      </c>
      <c r="M23" s="1275"/>
      <c r="N23" s="1276"/>
      <c r="O23" s="1277">
        <f t="shared" si="53"/>
        <v>2925000</v>
      </c>
      <c r="P23" s="1278"/>
      <c r="Q23" s="1279">
        <f t="shared" si="54"/>
        <v>2925000</v>
      </c>
      <c r="R23" s="1280">
        <v>5.8000000000000003E-2</v>
      </c>
      <c r="S23" s="1281">
        <f t="shared" si="55"/>
        <v>169650</v>
      </c>
      <c r="T23" s="1280">
        <v>0.05</v>
      </c>
      <c r="U23" s="1281">
        <f t="shared" si="56"/>
        <v>146250</v>
      </c>
      <c r="V23" s="1282">
        <f t="shared" si="57"/>
        <v>3240900</v>
      </c>
      <c r="W23" s="1280"/>
      <c r="X23" s="1281">
        <f t="shared" si="58"/>
        <v>0</v>
      </c>
      <c r="Y23" s="1280"/>
      <c r="Z23" s="1281">
        <f t="shared" si="59"/>
        <v>0</v>
      </c>
      <c r="AA23" s="1283">
        <f t="shared" si="60"/>
        <v>3240900</v>
      </c>
      <c r="AB23" s="1284"/>
      <c r="AC23" s="1285"/>
      <c r="AD23" s="1285"/>
      <c r="AE23" s="1285"/>
      <c r="AF23" s="1285">
        <f t="shared" si="61"/>
        <v>1</v>
      </c>
      <c r="AG23" s="1285"/>
      <c r="AH23" s="1285"/>
      <c r="AI23" s="1286"/>
      <c r="AJ23" s="1287">
        <v>0.8</v>
      </c>
      <c r="AK23" s="1287">
        <v>0.2</v>
      </c>
      <c r="AL23" s="1287"/>
      <c r="AM23" s="1287"/>
      <c r="AN23" s="1287"/>
      <c r="AO23" s="1288">
        <f t="shared" si="62"/>
        <v>0</v>
      </c>
      <c r="AP23" s="1289">
        <f t="shared" si="63"/>
        <v>0</v>
      </c>
      <c r="AQ23" s="1285">
        <f t="shared" si="63"/>
        <v>2592720</v>
      </c>
      <c r="AR23" s="1285">
        <f t="shared" si="63"/>
        <v>648180</v>
      </c>
      <c r="AS23" s="1285">
        <f t="shared" si="63"/>
        <v>0</v>
      </c>
      <c r="AT23" s="1285">
        <f t="shared" si="63"/>
        <v>0</v>
      </c>
      <c r="AU23" s="1285">
        <f t="shared" si="63"/>
        <v>0</v>
      </c>
      <c r="AV23" s="1281">
        <f t="shared" si="63"/>
        <v>0</v>
      </c>
      <c r="AX23" s="1286"/>
      <c r="AY23" s="1287"/>
      <c r="AZ23" s="1287">
        <v>1</v>
      </c>
      <c r="BA23" s="1287"/>
      <c r="BB23" s="1287"/>
      <c r="BC23" s="1287"/>
      <c r="BD23" s="1288">
        <f t="shared" si="64"/>
        <v>0</v>
      </c>
      <c r="BE23" s="1289">
        <f t="shared" si="65"/>
        <v>0</v>
      </c>
      <c r="BF23" s="1285">
        <f t="shared" si="65"/>
        <v>0</v>
      </c>
      <c r="BG23" s="1285">
        <f t="shared" si="65"/>
        <v>0</v>
      </c>
      <c r="BH23" s="1285">
        <f t="shared" si="65"/>
        <v>0</v>
      </c>
      <c r="BI23" s="1285">
        <f t="shared" si="65"/>
        <v>0</v>
      </c>
      <c r="BJ23" s="1285">
        <f t="shared" si="65"/>
        <v>0</v>
      </c>
      <c r="BK23" s="1281">
        <f t="shared" si="65"/>
        <v>0</v>
      </c>
    </row>
    <row r="24" spans="1:63" s="1310" customFormat="1">
      <c r="A24" s="1291">
        <v>2</v>
      </c>
      <c r="B24" s="1292"/>
      <c r="C24" s="1293" t="s">
        <v>1167</v>
      </c>
      <c r="D24" s="1294" t="s">
        <v>3206</v>
      </c>
      <c r="E24" s="1293"/>
      <c r="F24" s="1291"/>
      <c r="G24" s="1292"/>
      <c r="H24" s="1295"/>
      <c r="I24" s="1311">
        <v>1050</v>
      </c>
      <c r="J24" s="1312"/>
      <c r="K24" s="1313">
        <v>7800</v>
      </c>
      <c r="L24" s="1296">
        <v>80</v>
      </c>
      <c r="M24" s="1314"/>
      <c r="N24" s="1315">
        <v>38</v>
      </c>
      <c r="O24" s="1297">
        <f t="shared" si="53"/>
        <v>380400</v>
      </c>
      <c r="P24" s="1298"/>
      <c r="Q24" s="1299">
        <f t="shared" si="54"/>
        <v>380400</v>
      </c>
      <c r="R24" s="1300">
        <v>5.8000000000000003E-2</v>
      </c>
      <c r="S24" s="1301">
        <f t="shared" si="55"/>
        <v>22063.200000000001</v>
      </c>
      <c r="T24" s="1300">
        <v>0.05</v>
      </c>
      <c r="U24" s="1301">
        <f t="shared" si="56"/>
        <v>19020</v>
      </c>
      <c r="V24" s="1302">
        <f t="shared" si="57"/>
        <v>421483.2</v>
      </c>
      <c r="W24" s="1300"/>
      <c r="X24" s="1301">
        <f t="shared" si="58"/>
        <v>0</v>
      </c>
      <c r="Y24" s="1300"/>
      <c r="Z24" s="1301">
        <f t="shared" si="59"/>
        <v>0</v>
      </c>
      <c r="AA24" s="1303">
        <f t="shared" si="60"/>
        <v>421483.2</v>
      </c>
      <c r="AB24" s="1304"/>
      <c r="AC24" s="1305"/>
      <c r="AD24" s="1305"/>
      <c r="AE24" s="1305"/>
      <c r="AF24" s="1305">
        <f t="shared" si="61"/>
        <v>1</v>
      </c>
      <c r="AG24" s="1305"/>
      <c r="AH24" s="1305"/>
      <c r="AI24" s="1306"/>
      <c r="AJ24" s="1307">
        <v>1</v>
      </c>
      <c r="AK24" s="1307"/>
      <c r="AL24" s="1307"/>
      <c r="AM24" s="1307"/>
      <c r="AN24" s="1307"/>
      <c r="AO24" s="1308">
        <f t="shared" si="62"/>
        <v>0</v>
      </c>
      <c r="AP24" s="1309">
        <f t="shared" si="63"/>
        <v>0</v>
      </c>
      <c r="AQ24" s="1305">
        <f t="shared" si="63"/>
        <v>421483.2</v>
      </c>
      <c r="AR24" s="1305">
        <f t="shared" si="63"/>
        <v>0</v>
      </c>
      <c r="AS24" s="1305">
        <f t="shared" si="63"/>
        <v>0</v>
      </c>
      <c r="AT24" s="1305">
        <f t="shared" si="63"/>
        <v>0</v>
      </c>
      <c r="AU24" s="1305">
        <f t="shared" si="63"/>
        <v>0</v>
      </c>
      <c r="AV24" s="1301">
        <f t="shared" si="63"/>
        <v>0</v>
      </c>
      <c r="AX24" s="1306"/>
      <c r="AY24" s="1307">
        <v>1</v>
      </c>
      <c r="AZ24" s="1307"/>
      <c r="BA24" s="1307"/>
      <c r="BB24" s="1307"/>
      <c r="BC24" s="1307"/>
      <c r="BD24" s="1308">
        <f t="shared" si="64"/>
        <v>0</v>
      </c>
      <c r="BE24" s="1309">
        <f t="shared" si="65"/>
        <v>0</v>
      </c>
      <c r="BF24" s="1305">
        <f t="shared" si="65"/>
        <v>0</v>
      </c>
      <c r="BG24" s="1305">
        <f t="shared" si="65"/>
        <v>0</v>
      </c>
      <c r="BH24" s="1305">
        <f t="shared" si="65"/>
        <v>0</v>
      </c>
      <c r="BI24" s="1305">
        <f t="shared" si="65"/>
        <v>0</v>
      </c>
      <c r="BJ24" s="1305">
        <f t="shared" si="65"/>
        <v>0</v>
      </c>
      <c r="BK24" s="1301">
        <f t="shared" si="65"/>
        <v>0</v>
      </c>
    </row>
    <row r="25" spans="1:63" ht="13.25" customHeight="1">
      <c r="A25" s="1316"/>
      <c r="B25" s="1317"/>
      <c r="C25" s="970"/>
      <c r="D25" s="1318"/>
      <c r="E25" s="970"/>
      <c r="F25" s="970"/>
      <c r="G25" s="1317"/>
      <c r="H25" s="1317"/>
      <c r="I25" s="1319"/>
      <c r="J25" s="1319"/>
      <c r="K25" s="1319"/>
      <c r="L25" s="1226"/>
      <c r="M25" s="1227"/>
      <c r="N25" s="1227"/>
      <c r="O25" s="1064"/>
      <c r="P25" s="1070"/>
      <c r="Q25" s="968"/>
      <c r="R25" s="1320"/>
      <c r="S25" s="967"/>
      <c r="T25" s="1320"/>
      <c r="U25" s="967"/>
      <c r="V25" s="967"/>
      <c r="W25" s="1320"/>
      <c r="X25" s="967"/>
      <c r="Y25" s="1320"/>
      <c r="Z25" s="967"/>
      <c r="AA25" s="968"/>
      <c r="AB25" s="1033"/>
      <c r="AC25" s="1040"/>
      <c r="AD25" s="1040"/>
      <c r="AE25" s="1040"/>
      <c r="AF25" s="1040"/>
      <c r="AG25" s="967"/>
      <c r="AH25" s="967"/>
      <c r="AI25" s="1321"/>
      <c r="AJ25" s="1321"/>
      <c r="AK25" s="1321"/>
      <c r="AL25" s="1321"/>
      <c r="AM25" s="1321"/>
      <c r="AN25" s="1321"/>
      <c r="AO25" s="1321"/>
      <c r="AP25" s="967"/>
      <c r="AQ25" s="967"/>
      <c r="AR25" s="967"/>
      <c r="AS25" s="967"/>
      <c r="AT25" s="967"/>
      <c r="AU25" s="967"/>
      <c r="AV25" s="967"/>
      <c r="AX25" s="1321"/>
      <c r="AY25" s="1321"/>
      <c r="AZ25" s="1321"/>
      <c r="BA25" s="1321"/>
      <c r="BB25" s="1321"/>
      <c r="BC25" s="1321"/>
      <c r="BD25" s="1321"/>
      <c r="BE25" s="967"/>
      <c r="BF25" s="967"/>
      <c r="BG25" s="967"/>
      <c r="BH25" s="967"/>
      <c r="BI25" s="967"/>
      <c r="BJ25" s="967"/>
      <c r="BK25" s="967"/>
    </row>
    <row r="26" spans="1:63" s="1449" customFormat="1">
      <c r="A26" s="1426">
        <v>3</v>
      </c>
      <c r="B26" s="1427" t="s">
        <v>269</v>
      </c>
      <c r="C26" s="1428" t="s">
        <v>1164</v>
      </c>
      <c r="D26" s="1429" t="s">
        <v>2897</v>
      </c>
      <c r="E26" s="1428" t="s">
        <v>2891</v>
      </c>
      <c r="F26" s="1426" t="s">
        <v>2890</v>
      </c>
      <c r="G26" s="1427">
        <v>2022</v>
      </c>
      <c r="H26" s="1430">
        <v>2025</v>
      </c>
      <c r="I26" s="1431">
        <v>14000</v>
      </c>
      <c r="J26" s="1432"/>
      <c r="K26" s="1433"/>
      <c r="L26" s="1434">
        <v>1000</v>
      </c>
      <c r="M26" s="1435"/>
      <c r="N26" s="1433"/>
      <c r="O26" s="1436">
        <f>I26*L26+J26*M26+K26*N26</f>
        <v>14000000</v>
      </c>
      <c r="P26" s="1437">
        <v>2517546</v>
      </c>
      <c r="Q26" s="1438">
        <f>O26+P26</f>
        <v>16517546</v>
      </c>
      <c r="R26" s="1439">
        <v>5.8000000000000003E-2</v>
      </c>
      <c r="S26" s="1440">
        <f>R26*Q26</f>
        <v>958017.66800000006</v>
      </c>
      <c r="T26" s="1439">
        <v>0.05</v>
      </c>
      <c r="U26" s="1440">
        <f>T26*Q26</f>
        <v>825877.3</v>
      </c>
      <c r="V26" s="1441">
        <f>Q26+S26+U26</f>
        <v>18301440.968000002</v>
      </c>
      <c r="W26" s="1439"/>
      <c r="X26" s="1440">
        <f>W26*V26</f>
        <v>0</v>
      </c>
      <c r="Y26" s="1439"/>
      <c r="Z26" s="1440">
        <f>Y26*V26</f>
        <v>0</v>
      </c>
      <c r="AA26" s="1442">
        <f>V26+X26+Z26</f>
        <v>18301440.968000002</v>
      </c>
      <c r="AB26" s="1443"/>
      <c r="AC26" s="1444"/>
      <c r="AD26" s="1444"/>
      <c r="AE26" s="1444"/>
      <c r="AF26" s="1444">
        <f>1-SUM(AC26:AE26)</f>
        <v>1</v>
      </c>
      <c r="AG26" s="1444"/>
      <c r="AH26" s="1444"/>
      <c r="AI26" s="1445">
        <v>0.2</v>
      </c>
      <c r="AJ26" s="1446">
        <v>0.2</v>
      </c>
      <c r="AK26" s="1446">
        <v>0.3</v>
      </c>
      <c r="AL26" s="1446">
        <v>0.3</v>
      </c>
      <c r="AM26" s="1446"/>
      <c r="AN26" s="1446"/>
      <c r="AO26" s="1447">
        <f>1-SUM(AI26:AN26)</f>
        <v>0</v>
      </c>
      <c r="AP26" s="1448">
        <f t="shared" ref="AP26:AV27" si="66">$AA26*AI26</f>
        <v>3660288.1936000008</v>
      </c>
      <c r="AQ26" s="1444">
        <f t="shared" si="66"/>
        <v>3660288.1936000008</v>
      </c>
      <c r="AR26" s="1444">
        <f t="shared" si="66"/>
        <v>5490432.2904000003</v>
      </c>
      <c r="AS26" s="1444">
        <f t="shared" si="66"/>
        <v>5490432.2904000003</v>
      </c>
      <c r="AT26" s="1444">
        <f t="shared" si="66"/>
        <v>0</v>
      </c>
      <c r="AU26" s="1444">
        <f t="shared" si="66"/>
        <v>0</v>
      </c>
      <c r="AV26" s="1440">
        <f t="shared" si="66"/>
        <v>0</v>
      </c>
      <c r="AX26" s="1445"/>
      <c r="AY26" s="1446"/>
      <c r="AZ26" s="1446"/>
      <c r="BA26" s="1446">
        <v>1</v>
      </c>
      <c r="BB26" s="1446"/>
      <c r="BC26" s="1446"/>
      <c r="BD26" s="1447">
        <f>1-SUM(AX26:BC26)</f>
        <v>0</v>
      </c>
      <c r="BE26" s="1448">
        <f t="shared" ref="BE26:BK27" si="67">AX26*SUM($X26,$Z26)</f>
        <v>0</v>
      </c>
      <c r="BF26" s="1444">
        <f t="shared" si="67"/>
        <v>0</v>
      </c>
      <c r="BG26" s="1444">
        <f t="shared" si="67"/>
        <v>0</v>
      </c>
      <c r="BH26" s="1444">
        <f t="shared" si="67"/>
        <v>0</v>
      </c>
      <c r="BI26" s="1444">
        <f t="shared" si="67"/>
        <v>0</v>
      </c>
      <c r="BJ26" s="1444">
        <f t="shared" si="67"/>
        <v>0</v>
      </c>
      <c r="BK26" s="1440">
        <f t="shared" si="67"/>
        <v>0</v>
      </c>
    </row>
    <row r="27" spans="1:63" s="1471" customFormat="1">
      <c r="A27" s="1450">
        <v>2</v>
      </c>
      <c r="B27" s="1451" t="s">
        <v>272</v>
      </c>
      <c r="C27" s="1452" t="s">
        <v>1164</v>
      </c>
      <c r="D27" s="1453" t="s">
        <v>3134</v>
      </c>
      <c r="E27" s="1452" t="s">
        <v>2892</v>
      </c>
      <c r="F27" s="1450" t="s">
        <v>2890</v>
      </c>
      <c r="G27" s="1451">
        <v>2022</v>
      </c>
      <c r="H27" s="1454">
        <v>2025</v>
      </c>
      <c r="I27" s="1455">
        <v>1</v>
      </c>
      <c r="J27" s="1456"/>
      <c r="K27" s="1457"/>
      <c r="L27" s="1455">
        <v>2000000</v>
      </c>
      <c r="M27" s="1456"/>
      <c r="N27" s="1457"/>
      <c r="O27" s="1458">
        <f>I27*L27+J27*M27+K27*N27</f>
        <v>2000000</v>
      </c>
      <c r="P27" s="1459"/>
      <c r="Q27" s="1460">
        <f>O27+P27</f>
        <v>2000000</v>
      </c>
      <c r="R27" s="1461">
        <v>5.8000000000000003E-2</v>
      </c>
      <c r="S27" s="1462">
        <f>R27*Q27</f>
        <v>116000</v>
      </c>
      <c r="T27" s="1461">
        <v>0.05</v>
      </c>
      <c r="U27" s="1462">
        <f>T27*Q27</f>
        <v>100000</v>
      </c>
      <c r="V27" s="1463">
        <f>Q27+S27+U27</f>
        <v>2216000</v>
      </c>
      <c r="W27" s="1461"/>
      <c r="X27" s="1462">
        <f>W27*V27</f>
        <v>0</v>
      </c>
      <c r="Y27" s="1461"/>
      <c r="Z27" s="1462">
        <f>Y27*V27</f>
        <v>0</v>
      </c>
      <c r="AA27" s="1464">
        <f>V27+X27+Z27</f>
        <v>2216000</v>
      </c>
      <c r="AB27" s="1465"/>
      <c r="AC27" s="1466"/>
      <c r="AD27" s="1466"/>
      <c r="AE27" s="1466"/>
      <c r="AF27" s="1466">
        <f>1-SUM(AC27:AE27)</f>
        <v>1</v>
      </c>
      <c r="AG27" s="1466"/>
      <c r="AH27" s="1466"/>
      <c r="AI27" s="1467">
        <v>0.8</v>
      </c>
      <c r="AJ27" s="1468">
        <v>0.2</v>
      </c>
      <c r="AK27" s="1468"/>
      <c r="AL27" s="1468"/>
      <c r="AM27" s="1468"/>
      <c r="AN27" s="1468"/>
      <c r="AO27" s="1469">
        <f>1-SUM(AI27:AN27)</f>
        <v>0</v>
      </c>
      <c r="AP27" s="1470">
        <f t="shared" si="66"/>
        <v>1772800</v>
      </c>
      <c r="AQ27" s="1466">
        <f t="shared" si="66"/>
        <v>443200</v>
      </c>
      <c r="AR27" s="1466">
        <f t="shared" si="66"/>
        <v>0</v>
      </c>
      <c r="AS27" s="1466">
        <f t="shared" si="66"/>
        <v>0</v>
      </c>
      <c r="AT27" s="1466">
        <f t="shared" si="66"/>
        <v>0</v>
      </c>
      <c r="AU27" s="1466">
        <f t="shared" si="66"/>
        <v>0</v>
      </c>
      <c r="AV27" s="1462">
        <f t="shared" si="66"/>
        <v>0</v>
      </c>
      <c r="AX27" s="1467"/>
      <c r="AY27" s="1468"/>
      <c r="AZ27" s="1468"/>
      <c r="BA27" s="1468">
        <v>1</v>
      </c>
      <c r="BB27" s="1468"/>
      <c r="BC27" s="1468"/>
      <c r="BD27" s="1469">
        <f>1-SUM(AX27:BC27)</f>
        <v>0</v>
      </c>
      <c r="BE27" s="1470">
        <f t="shared" si="67"/>
        <v>0</v>
      </c>
      <c r="BF27" s="1466">
        <f t="shared" si="67"/>
        <v>0</v>
      </c>
      <c r="BG27" s="1466">
        <f t="shared" si="67"/>
        <v>0</v>
      </c>
      <c r="BH27" s="1466">
        <f t="shared" si="67"/>
        <v>0</v>
      </c>
      <c r="BI27" s="1466">
        <f t="shared" si="67"/>
        <v>0</v>
      </c>
      <c r="BJ27" s="1466">
        <f t="shared" si="67"/>
        <v>0</v>
      </c>
      <c r="BK27" s="1462">
        <f t="shared" si="67"/>
        <v>0</v>
      </c>
    </row>
    <row r="28" spans="1:63" s="1471" customFormat="1">
      <c r="A28" s="1450">
        <v>3</v>
      </c>
      <c r="B28" s="1451" t="s">
        <v>278</v>
      </c>
      <c r="C28" s="1452" t="s">
        <v>1167</v>
      </c>
      <c r="D28" s="1453" t="s">
        <v>3210</v>
      </c>
      <c r="E28" s="1452"/>
      <c r="F28" s="1450"/>
      <c r="G28" s="1451"/>
      <c r="H28" s="1454"/>
      <c r="I28" s="1472">
        <v>7000</v>
      </c>
      <c r="J28" s="1473"/>
      <c r="K28" s="1457"/>
      <c r="L28" s="1455">
        <v>750</v>
      </c>
      <c r="M28" s="1456"/>
      <c r="N28" s="1457"/>
      <c r="O28" s="1458">
        <f t="shared" si="14"/>
        <v>5250000</v>
      </c>
      <c r="P28" s="1459">
        <v>1076378</v>
      </c>
      <c r="Q28" s="1460">
        <f t="shared" si="29"/>
        <v>6326378</v>
      </c>
      <c r="R28" s="1461">
        <v>5.8000000000000003E-2</v>
      </c>
      <c r="S28" s="1462">
        <f t="shared" si="15"/>
        <v>366929.924</v>
      </c>
      <c r="T28" s="1461">
        <v>0.05</v>
      </c>
      <c r="U28" s="1462">
        <f t="shared" si="16"/>
        <v>316318.90000000002</v>
      </c>
      <c r="V28" s="1463">
        <f t="shared" si="17"/>
        <v>7009626.824</v>
      </c>
      <c r="W28" s="1461">
        <v>0.08</v>
      </c>
      <c r="X28" s="1462">
        <f t="shared" si="18"/>
        <v>560770.14592000004</v>
      </c>
      <c r="Y28" s="1461"/>
      <c r="Z28" s="1462">
        <f t="shared" si="19"/>
        <v>0</v>
      </c>
      <c r="AA28" s="1464">
        <f t="shared" si="20"/>
        <v>7570396.9699200001</v>
      </c>
      <c r="AB28" s="1465"/>
      <c r="AC28" s="1466"/>
      <c r="AD28" s="1466"/>
      <c r="AE28" s="1466"/>
      <c r="AF28" s="1466">
        <f t="shared" si="30"/>
        <v>1</v>
      </c>
      <c r="AG28" s="1466"/>
      <c r="AH28" s="1466"/>
      <c r="AI28" s="1467"/>
      <c r="AJ28" s="1468">
        <v>0</v>
      </c>
      <c r="AK28" s="1468">
        <v>0.3</v>
      </c>
      <c r="AL28" s="1468">
        <v>0.7</v>
      </c>
      <c r="AM28" s="1468"/>
      <c r="AN28" s="1468"/>
      <c r="AO28" s="1469">
        <f t="shared" si="31"/>
        <v>0</v>
      </c>
      <c r="AP28" s="1470">
        <f t="shared" si="21"/>
        <v>0</v>
      </c>
      <c r="AQ28" s="1466">
        <f t="shared" si="22"/>
        <v>0</v>
      </c>
      <c r="AR28" s="1466">
        <f t="shared" si="23"/>
        <v>2271119.0909759998</v>
      </c>
      <c r="AS28" s="1466">
        <f t="shared" si="24"/>
        <v>5299277.8789439993</v>
      </c>
      <c r="AT28" s="1466">
        <f t="shared" si="25"/>
        <v>0</v>
      </c>
      <c r="AU28" s="1466">
        <f t="shared" si="26"/>
        <v>0</v>
      </c>
      <c r="AV28" s="1462">
        <f t="shared" si="27"/>
        <v>0</v>
      </c>
      <c r="AX28" s="1467"/>
      <c r="AY28" s="1468">
        <v>0</v>
      </c>
      <c r="AZ28" s="1468">
        <v>0.3</v>
      </c>
      <c r="BA28" s="1468">
        <v>0.7</v>
      </c>
      <c r="BB28" s="1468"/>
      <c r="BC28" s="1468"/>
      <c r="BD28" s="1469">
        <f t="shared" si="32"/>
        <v>0</v>
      </c>
      <c r="BE28" s="1470">
        <f t="shared" si="33"/>
        <v>0</v>
      </c>
      <c r="BF28" s="1466">
        <f t="shared" si="34"/>
        <v>0</v>
      </c>
      <c r="BG28" s="1466">
        <f t="shared" si="35"/>
        <v>168231.04377600001</v>
      </c>
      <c r="BH28" s="1466">
        <f t="shared" si="36"/>
        <v>392539.102144</v>
      </c>
      <c r="BI28" s="1466">
        <f t="shared" si="37"/>
        <v>0</v>
      </c>
      <c r="BJ28" s="1466">
        <f t="shared" si="38"/>
        <v>0</v>
      </c>
      <c r="BK28" s="1462">
        <f t="shared" si="39"/>
        <v>0</v>
      </c>
    </row>
    <row r="29" spans="1:63" s="1471" customFormat="1">
      <c r="A29" s="1450">
        <v>3</v>
      </c>
      <c r="B29" s="1451" t="s">
        <v>281</v>
      </c>
      <c r="C29" s="1452" t="s">
        <v>1164</v>
      </c>
      <c r="D29" s="1453" t="s">
        <v>3211</v>
      </c>
      <c r="E29" s="1452" t="s">
        <v>2892</v>
      </c>
      <c r="F29" s="1450" t="s">
        <v>3212</v>
      </c>
      <c r="G29" s="1451">
        <v>2023</v>
      </c>
      <c r="H29" s="1454">
        <v>2026</v>
      </c>
      <c r="I29" s="1474"/>
      <c r="J29" s="1475">
        <v>16988</v>
      </c>
      <c r="K29" s="1457"/>
      <c r="L29" s="1455"/>
      <c r="M29" s="1456">
        <f>1.4*650</f>
        <v>909.99999999999989</v>
      </c>
      <c r="N29" s="1457"/>
      <c r="O29" s="1458">
        <f t="shared" si="14"/>
        <v>15459079.999999998</v>
      </c>
      <c r="P29" s="1459"/>
      <c r="Q29" s="1460">
        <f t="shared" si="29"/>
        <v>15459079.999999998</v>
      </c>
      <c r="R29" s="1461">
        <v>5.8000000000000003E-2</v>
      </c>
      <c r="S29" s="1462">
        <f t="shared" si="15"/>
        <v>896626.6399999999</v>
      </c>
      <c r="T29" s="1461">
        <v>0.05</v>
      </c>
      <c r="U29" s="1462">
        <f t="shared" si="16"/>
        <v>772954</v>
      </c>
      <c r="V29" s="1463">
        <f t="shared" si="17"/>
        <v>17128660.640000001</v>
      </c>
      <c r="W29" s="1508">
        <v>0.05</v>
      </c>
      <c r="X29" s="1462">
        <f t="shared" si="18"/>
        <v>856433.03200000012</v>
      </c>
      <c r="Y29" s="1461">
        <v>0</v>
      </c>
      <c r="Z29" s="1462">
        <f t="shared" si="19"/>
        <v>0</v>
      </c>
      <c r="AA29" s="1464">
        <f t="shared" si="20"/>
        <v>17985093.672000002</v>
      </c>
      <c r="AB29" s="1465"/>
      <c r="AC29" s="1466"/>
      <c r="AD29" s="1466"/>
      <c r="AE29" s="1466">
        <v>1</v>
      </c>
      <c r="AF29" s="1466">
        <f t="shared" si="30"/>
        <v>0</v>
      </c>
      <c r="AG29" s="1466"/>
      <c r="AH29" s="1466"/>
      <c r="AI29" s="1467"/>
      <c r="AJ29" s="1468">
        <v>0.8</v>
      </c>
      <c r="AK29" s="1468">
        <v>0.2</v>
      </c>
      <c r="AL29" s="1468"/>
      <c r="AM29" s="1468"/>
      <c r="AN29" s="1468"/>
      <c r="AO29" s="1469">
        <f t="shared" si="31"/>
        <v>0</v>
      </c>
      <c r="AP29" s="1470">
        <f t="shared" si="21"/>
        <v>0</v>
      </c>
      <c r="AQ29" s="1466">
        <f t="shared" si="22"/>
        <v>14388074.937600002</v>
      </c>
      <c r="AR29" s="1466">
        <f t="shared" si="23"/>
        <v>3597018.7344000004</v>
      </c>
      <c r="AS29" s="1466">
        <f t="shared" si="24"/>
        <v>0</v>
      </c>
      <c r="AT29" s="1466">
        <f t="shared" si="25"/>
        <v>0</v>
      </c>
      <c r="AU29" s="1466">
        <f t="shared" si="26"/>
        <v>0</v>
      </c>
      <c r="AV29" s="1462">
        <f t="shared" si="27"/>
        <v>0</v>
      </c>
      <c r="AX29" s="1467"/>
      <c r="AY29" s="1468"/>
      <c r="AZ29" s="1468">
        <v>1</v>
      </c>
      <c r="BA29" s="1468"/>
      <c r="BB29" s="1468"/>
      <c r="BC29" s="1468"/>
      <c r="BD29" s="1469">
        <f t="shared" si="32"/>
        <v>0</v>
      </c>
      <c r="BE29" s="1470">
        <f t="shared" si="33"/>
        <v>0</v>
      </c>
      <c r="BF29" s="1466">
        <f t="shared" si="34"/>
        <v>0</v>
      </c>
      <c r="BG29" s="1466">
        <f t="shared" si="35"/>
        <v>856433.03200000012</v>
      </c>
      <c r="BH29" s="1466">
        <f t="shared" si="36"/>
        <v>0</v>
      </c>
      <c r="BI29" s="1466">
        <f t="shared" si="37"/>
        <v>0</v>
      </c>
      <c r="BJ29" s="1466">
        <f t="shared" si="38"/>
        <v>0</v>
      </c>
      <c r="BK29" s="1462">
        <f t="shared" si="39"/>
        <v>0</v>
      </c>
    </row>
    <row r="30" spans="1:63" s="1471" customFormat="1">
      <c r="A30" s="1450">
        <v>3</v>
      </c>
      <c r="B30" s="1451" t="s">
        <v>282</v>
      </c>
      <c r="C30" s="1452" t="s">
        <v>1164</v>
      </c>
      <c r="D30" s="1453" t="s">
        <v>3213</v>
      </c>
      <c r="E30" s="1452" t="s">
        <v>2892</v>
      </c>
      <c r="F30" s="1450" t="s">
        <v>3212</v>
      </c>
      <c r="G30" s="1451">
        <v>2023</v>
      </c>
      <c r="H30" s="1454">
        <v>2026</v>
      </c>
      <c r="I30" s="1474"/>
      <c r="J30" s="1475">
        <v>6249</v>
      </c>
      <c r="K30" s="1457"/>
      <c r="L30" s="1455"/>
      <c r="M30" s="1456">
        <f>1.4*650</f>
        <v>909.99999999999989</v>
      </c>
      <c r="N30" s="1457"/>
      <c r="O30" s="1458">
        <f t="shared" si="14"/>
        <v>5686589.9999999991</v>
      </c>
      <c r="P30" s="1459"/>
      <c r="Q30" s="1460">
        <f t="shared" si="29"/>
        <v>5686589.9999999991</v>
      </c>
      <c r="R30" s="1461">
        <v>5.8000000000000003E-2</v>
      </c>
      <c r="S30" s="1462">
        <f t="shared" si="15"/>
        <v>329822.21999999997</v>
      </c>
      <c r="T30" s="1461">
        <v>0.05</v>
      </c>
      <c r="U30" s="1462">
        <f t="shared" si="16"/>
        <v>284329.49999999994</v>
      </c>
      <c r="V30" s="1463">
        <f t="shared" si="17"/>
        <v>6300741.7199999988</v>
      </c>
      <c r="W30" s="1461">
        <f>W29</f>
        <v>0.05</v>
      </c>
      <c r="X30" s="1462">
        <f t="shared" si="18"/>
        <v>315037.08599999995</v>
      </c>
      <c r="Y30" s="1461">
        <v>0</v>
      </c>
      <c r="Z30" s="1462">
        <f t="shared" si="19"/>
        <v>0</v>
      </c>
      <c r="AA30" s="1464">
        <f t="shared" si="20"/>
        <v>6615778.8059999989</v>
      </c>
      <c r="AB30" s="1465"/>
      <c r="AC30" s="1466">
        <v>1</v>
      </c>
      <c r="AD30" s="1466"/>
      <c r="AE30" s="1466"/>
      <c r="AF30" s="1466">
        <f t="shared" si="30"/>
        <v>0</v>
      </c>
      <c r="AG30" s="1466"/>
      <c r="AH30" s="1466"/>
      <c r="AI30" s="1467"/>
      <c r="AJ30" s="1468">
        <v>0.8</v>
      </c>
      <c r="AK30" s="1468">
        <v>0.2</v>
      </c>
      <c r="AL30" s="1468"/>
      <c r="AM30" s="1468"/>
      <c r="AN30" s="1468"/>
      <c r="AO30" s="1469">
        <f t="shared" si="31"/>
        <v>0</v>
      </c>
      <c r="AP30" s="1470">
        <f t="shared" si="21"/>
        <v>0</v>
      </c>
      <c r="AQ30" s="1466">
        <f t="shared" si="22"/>
        <v>5292623.0447999993</v>
      </c>
      <c r="AR30" s="1466">
        <f t="shared" si="23"/>
        <v>1323155.7611999998</v>
      </c>
      <c r="AS30" s="1466">
        <f t="shared" si="24"/>
        <v>0</v>
      </c>
      <c r="AT30" s="1466">
        <f t="shared" si="25"/>
        <v>0</v>
      </c>
      <c r="AU30" s="1466">
        <f t="shared" si="26"/>
        <v>0</v>
      </c>
      <c r="AV30" s="1462">
        <f t="shared" si="27"/>
        <v>0</v>
      </c>
      <c r="AX30" s="1467"/>
      <c r="AY30" s="1468"/>
      <c r="AZ30" s="1468">
        <v>1</v>
      </c>
      <c r="BA30" s="1468"/>
      <c r="BB30" s="1468"/>
      <c r="BC30" s="1468"/>
      <c r="BD30" s="1469">
        <f t="shared" si="32"/>
        <v>0</v>
      </c>
      <c r="BE30" s="1470">
        <f t="shared" si="33"/>
        <v>0</v>
      </c>
      <c r="BF30" s="1466">
        <f t="shared" si="34"/>
        <v>0</v>
      </c>
      <c r="BG30" s="1466">
        <f t="shared" si="35"/>
        <v>315037.08599999995</v>
      </c>
      <c r="BH30" s="1466">
        <f t="shared" si="36"/>
        <v>0</v>
      </c>
      <c r="BI30" s="1466">
        <f t="shared" si="37"/>
        <v>0</v>
      </c>
      <c r="BJ30" s="1466">
        <f t="shared" si="38"/>
        <v>0</v>
      </c>
      <c r="BK30" s="1462">
        <f t="shared" si="39"/>
        <v>0</v>
      </c>
    </row>
    <row r="31" spans="1:63" s="1471" customFormat="1">
      <c r="A31" s="1450">
        <v>3</v>
      </c>
      <c r="B31" s="1451" t="s">
        <v>283</v>
      </c>
      <c r="C31" s="1452" t="s">
        <v>1164</v>
      </c>
      <c r="D31" s="1453" t="s">
        <v>3214</v>
      </c>
      <c r="E31" s="1452" t="s">
        <v>2892</v>
      </c>
      <c r="F31" s="1450" t="s">
        <v>3215</v>
      </c>
      <c r="G31" s="1451">
        <v>2023</v>
      </c>
      <c r="H31" s="1454">
        <v>2026</v>
      </c>
      <c r="I31" s="1474"/>
      <c r="J31" s="1475">
        <v>5389</v>
      </c>
      <c r="K31" s="1457"/>
      <c r="L31" s="1455"/>
      <c r="M31" s="1456">
        <f>1.4*650</f>
        <v>909.99999999999989</v>
      </c>
      <c r="N31" s="1457"/>
      <c r="O31" s="1458">
        <f t="shared" si="14"/>
        <v>4903989.9999999991</v>
      </c>
      <c r="P31" s="1459"/>
      <c r="Q31" s="1460">
        <f t="shared" si="29"/>
        <v>4903989.9999999991</v>
      </c>
      <c r="R31" s="1461">
        <v>5.8000000000000003E-2</v>
      </c>
      <c r="S31" s="1462">
        <f t="shared" si="15"/>
        <v>284431.42</v>
      </c>
      <c r="T31" s="1461">
        <v>0.05</v>
      </c>
      <c r="U31" s="1462">
        <f t="shared" si="16"/>
        <v>245199.49999999997</v>
      </c>
      <c r="V31" s="1463">
        <f t="shared" si="17"/>
        <v>5433620.919999999</v>
      </c>
      <c r="W31" s="1461">
        <f t="shared" ref="W31:W41" si="68">W30</f>
        <v>0.05</v>
      </c>
      <c r="X31" s="1462">
        <f t="shared" si="18"/>
        <v>271681.04599999997</v>
      </c>
      <c r="Y31" s="1461">
        <v>0</v>
      </c>
      <c r="Z31" s="1462">
        <f t="shared" si="19"/>
        <v>0</v>
      </c>
      <c r="AA31" s="1464">
        <f t="shared" si="20"/>
        <v>5705301.9659999991</v>
      </c>
      <c r="AB31" s="1465"/>
      <c r="AC31" s="1466"/>
      <c r="AD31" s="1466"/>
      <c r="AE31" s="1466"/>
      <c r="AF31" s="1466">
        <f t="shared" si="30"/>
        <v>1</v>
      </c>
      <c r="AG31" s="1466"/>
      <c r="AH31" s="1466"/>
      <c r="AI31" s="1467"/>
      <c r="AJ31" s="1468">
        <v>0.8</v>
      </c>
      <c r="AK31" s="1468">
        <v>0.2</v>
      </c>
      <c r="AL31" s="1468"/>
      <c r="AM31" s="1468"/>
      <c r="AN31" s="1468"/>
      <c r="AO31" s="1469">
        <f t="shared" si="31"/>
        <v>0</v>
      </c>
      <c r="AP31" s="1470">
        <f t="shared" si="21"/>
        <v>0</v>
      </c>
      <c r="AQ31" s="1466">
        <f t="shared" si="22"/>
        <v>4564241.5727999993</v>
      </c>
      <c r="AR31" s="1466">
        <f t="shared" si="23"/>
        <v>1141060.3931999998</v>
      </c>
      <c r="AS31" s="1466">
        <f t="shared" si="24"/>
        <v>0</v>
      </c>
      <c r="AT31" s="1466">
        <f t="shared" si="25"/>
        <v>0</v>
      </c>
      <c r="AU31" s="1466">
        <f t="shared" si="26"/>
        <v>0</v>
      </c>
      <c r="AV31" s="1462">
        <f t="shared" si="27"/>
        <v>0</v>
      </c>
      <c r="AX31" s="1467"/>
      <c r="AY31" s="1468"/>
      <c r="AZ31" s="1468">
        <v>1</v>
      </c>
      <c r="BA31" s="1468"/>
      <c r="BB31" s="1468"/>
      <c r="BC31" s="1468"/>
      <c r="BD31" s="1469">
        <f t="shared" si="32"/>
        <v>0</v>
      </c>
      <c r="BE31" s="1470">
        <f t="shared" si="33"/>
        <v>0</v>
      </c>
      <c r="BF31" s="1466">
        <f t="shared" si="34"/>
        <v>0</v>
      </c>
      <c r="BG31" s="1466">
        <f t="shared" si="35"/>
        <v>271681.04599999997</v>
      </c>
      <c r="BH31" s="1466">
        <f t="shared" si="36"/>
        <v>0</v>
      </c>
      <c r="BI31" s="1466">
        <f t="shared" si="37"/>
        <v>0</v>
      </c>
      <c r="BJ31" s="1466">
        <f t="shared" si="38"/>
        <v>0</v>
      </c>
      <c r="BK31" s="1462">
        <f t="shared" si="39"/>
        <v>0</v>
      </c>
    </row>
    <row r="32" spans="1:63" s="1471" customFormat="1" ht="12.5" customHeight="1">
      <c r="A32" s="1450">
        <v>3</v>
      </c>
      <c r="B32" s="1451" t="s">
        <v>284</v>
      </c>
      <c r="C32" s="1452" t="s">
        <v>1164</v>
      </c>
      <c r="D32" s="1453" t="s">
        <v>3216</v>
      </c>
      <c r="E32" s="1452" t="s">
        <v>2892</v>
      </c>
      <c r="F32" s="1450" t="s">
        <v>3215</v>
      </c>
      <c r="G32" s="1451">
        <v>2023</v>
      </c>
      <c r="H32" s="1454">
        <v>2026</v>
      </c>
      <c r="I32" s="1474"/>
      <c r="J32" s="1475">
        <v>2009</v>
      </c>
      <c r="K32" s="1457"/>
      <c r="L32" s="1455"/>
      <c r="M32" s="1456">
        <f>1.4*650</f>
        <v>909.99999999999989</v>
      </c>
      <c r="N32" s="1457"/>
      <c r="O32" s="1458">
        <f t="shared" si="14"/>
        <v>1828189.9999999998</v>
      </c>
      <c r="P32" s="1459"/>
      <c r="Q32" s="1460">
        <f t="shared" si="29"/>
        <v>1828189.9999999998</v>
      </c>
      <c r="R32" s="1461">
        <v>5.8000000000000003E-2</v>
      </c>
      <c r="S32" s="1462">
        <f t="shared" si="15"/>
        <v>106035.01999999999</v>
      </c>
      <c r="T32" s="1461">
        <v>0.05</v>
      </c>
      <c r="U32" s="1462">
        <f t="shared" si="16"/>
        <v>91409.5</v>
      </c>
      <c r="V32" s="1463">
        <f t="shared" si="17"/>
        <v>2025634.5199999998</v>
      </c>
      <c r="W32" s="1461">
        <f t="shared" si="68"/>
        <v>0.05</v>
      </c>
      <c r="X32" s="1462">
        <f t="shared" si="18"/>
        <v>101281.726</v>
      </c>
      <c r="Y32" s="1461">
        <v>0</v>
      </c>
      <c r="Z32" s="1462">
        <f t="shared" si="19"/>
        <v>0</v>
      </c>
      <c r="AA32" s="1464">
        <f t="shared" si="20"/>
        <v>2126916.2459999998</v>
      </c>
      <c r="AB32" s="1465"/>
      <c r="AC32" s="1466">
        <v>1</v>
      </c>
      <c r="AD32" s="1466"/>
      <c r="AE32" s="1466"/>
      <c r="AF32" s="1466">
        <f t="shared" si="30"/>
        <v>0</v>
      </c>
      <c r="AG32" s="1466"/>
      <c r="AH32" s="1466"/>
      <c r="AI32" s="1467"/>
      <c r="AJ32" s="1468">
        <v>0.8</v>
      </c>
      <c r="AK32" s="1468">
        <v>0.2</v>
      </c>
      <c r="AL32" s="1468"/>
      <c r="AM32" s="1468"/>
      <c r="AN32" s="1468"/>
      <c r="AO32" s="1469">
        <f t="shared" si="31"/>
        <v>0</v>
      </c>
      <c r="AP32" s="1470">
        <f t="shared" si="21"/>
        <v>0</v>
      </c>
      <c r="AQ32" s="1466">
        <f t="shared" si="22"/>
        <v>1701532.9967999998</v>
      </c>
      <c r="AR32" s="1466">
        <f t="shared" si="23"/>
        <v>425383.24919999996</v>
      </c>
      <c r="AS32" s="1466">
        <f t="shared" si="24"/>
        <v>0</v>
      </c>
      <c r="AT32" s="1466">
        <f t="shared" si="25"/>
        <v>0</v>
      </c>
      <c r="AU32" s="1466">
        <f t="shared" si="26"/>
        <v>0</v>
      </c>
      <c r="AV32" s="1462">
        <f t="shared" si="27"/>
        <v>0</v>
      </c>
      <c r="AX32" s="1467"/>
      <c r="AY32" s="1468"/>
      <c r="AZ32" s="1468">
        <v>1</v>
      </c>
      <c r="BA32" s="1468"/>
      <c r="BB32" s="1468"/>
      <c r="BC32" s="1468"/>
      <c r="BD32" s="1469">
        <f t="shared" si="32"/>
        <v>0</v>
      </c>
      <c r="BE32" s="1470">
        <f t="shared" si="33"/>
        <v>0</v>
      </c>
      <c r="BF32" s="1466">
        <f t="shared" si="34"/>
        <v>0</v>
      </c>
      <c r="BG32" s="1466">
        <f t="shared" si="35"/>
        <v>101281.726</v>
      </c>
      <c r="BH32" s="1466">
        <f t="shared" si="36"/>
        <v>0</v>
      </c>
      <c r="BI32" s="1466">
        <f t="shared" si="37"/>
        <v>0</v>
      </c>
      <c r="BJ32" s="1466">
        <f t="shared" si="38"/>
        <v>0</v>
      </c>
      <c r="BK32" s="1462">
        <f t="shared" si="39"/>
        <v>0</v>
      </c>
    </row>
    <row r="33" spans="1:63" s="1471" customFormat="1">
      <c r="A33" s="1450">
        <v>3</v>
      </c>
      <c r="B33" s="1451" t="s">
        <v>285</v>
      </c>
      <c r="C33" s="1452" t="s">
        <v>1167</v>
      </c>
      <c r="D33" s="1453" t="s">
        <v>3217</v>
      </c>
      <c r="E33" s="1452" t="s">
        <v>2892</v>
      </c>
      <c r="F33" s="1450" t="s">
        <v>3218</v>
      </c>
      <c r="G33" s="1451">
        <v>2023</v>
      </c>
      <c r="H33" s="1454">
        <v>2026</v>
      </c>
      <c r="I33" s="1474"/>
      <c r="J33" s="1475">
        <v>7524</v>
      </c>
      <c r="K33" s="1457"/>
      <c r="L33" s="1455"/>
      <c r="M33" s="1456">
        <f>1.4*650</f>
        <v>909.99999999999989</v>
      </c>
      <c r="N33" s="1457"/>
      <c r="O33" s="1458">
        <f t="shared" si="14"/>
        <v>6846839.9999999991</v>
      </c>
      <c r="P33" s="1459"/>
      <c r="Q33" s="1460">
        <f t="shared" si="29"/>
        <v>6846839.9999999991</v>
      </c>
      <c r="R33" s="1461">
        <v>5.8000000000000003E-2</v>
      </c>
      <c r="S33" s="1462">
        <f t="shared" si="15"/>
        <v>397116.72</v>
      </c>
      <c r="T33" s="1461">
        <v>0.05</v>
      </c>
      <c r="U33" s="1462">
        <f t="shared" si="16"/>
        <v>342342</v>
      </c>
      <c r="V33" s="1463">
        <f t="shared" si="17"/>
        <v>7586298.7199999988</v>
      </c>
      <c r="W33" s="1461">
        <f t="shared" si="68"/>
        <v>0.05</v>
      </c>
      <c r="X33" s="1462">
        <f t="shared" si="18"/>
        <v>379314.93599999999</v>
      </c>
      <c r="Y33" s="1461">
        <v>0</v>
      </c>
      <c r="Z33" s="1462">
        <f t="shared" si="19"/>
        <v>0</v>
      </c>
      <c r="AA33" s="1464">
        <f t="shared" si="20"/>
        <v>7965613.6559999986</v>
      </c>
      <c r="AB33" s="1465"/>
      <c r="AC33" s="1466"/>
      <c r="AD33" s="1466"/>
      <c r="AE33" s="1466"/>
      <c r="AF33" s="1466">
        <f t="shared" si="30"/>
        <v>1</v>
      </c>
      <c r="AG33" s="1466"/>
      <c r="AH33" s="1466"/>
      <c r="AI33" s="1467"/>
      <c r="AJ33" s="1468">
        <v>0.8</v>
      </c>
      <c r="AK33" s="1468">
        <v>0.2</v>
      </c>
      <c r="AL33" s="1468"/>
      <c r="AM33" s="1468"/>
      <c r="AN33" s="1468"/>
      <c r="AO33" s="1469">
        <f t="shared" si="31"/>
        <v>0</v>
      </c>
      <c r="AP33" s="1470">
        <f t="shared" si="21"/>
        <v>0</v>
      </c>
      <c r="AQ33" s="1466">
        <f t="shared" si="22"/>
        <v>6372490.9247999992</v>
      </c>
      <c r="AR33" s="1466">
        <f t="shared" si="23"/>
        <v>1593122.7311999998</v>
      </c>
      <c r="AS33" s="1466">
        <f t="shared" si="24"/>
        <v>0</v>
      </c>
      <c r="AT33" s="1466">
        <f t="shared" si="25"/>
        <v>0</v>
      </c>
      <c r="AU33" s="1466">
        <f t="shared" si="26"/>
        <v>0</v>
      </c>
      <c r="AV33" s="1462">
        <f t="shared" si="27"/>
        <v>0</v>
      </c>
      <c r="AX33" s="1467"/>
      <c r="AY33" s="1468"/>
      <c r="AZ33" s="1468">
        <v>1</v>
      </c>
      <c r="BA33" s="1468"/>
      <c r="BB33" s="1468"/>
      <c r="BC33" s="1468"/>
      <c r="BD33" s="1469">
        <f t="shared" si="32"/>
        <v>0</v>
      </c>
      <c r="BE33" s="1470">
        <f t="shared" si="33"/>
        <v>0</v>
      </c>
      <c r="BF33" s="1466">
        <f t="shared" si="34"/>
        <v>0</v>
      </c>
      <c r="BG33" s="1466">
        <f t="shared" si="35"/>
        <v>379314.93599999999</v>
      </c>
      <c r="BH33" s="1466">
        <f t="shared" si="36"/>
        <v>0</v>
      </c>
      <c r="BI33" s="1466">
        <f t="shared" si="37"/>
        <v>0</v>
      </c>
      <c r="BJ33" s="1466">
        <f t="shared" si="38"/>
        <v>0</v>
      </c>
      <c r="BK33" s="1462">
        <f t="shared" si="39"/>
        <v>0</v>
      </c>
    </row>
    <row r="34" spans="1:63" s="1452" customFormat="1">
      <c r="A34" s="1450">
        <v>3</v>
      </c>
      <c r="B34" s="1476" t="s">
        <v>286</v>
      </c>
      <c r="C34" s="1452" t="s">
        <v>1164</v>
      </c>
      <c r="D34" s="1452" t="s">
        <v>3219</v>
      </c>
      <c r="E34" s="1452" t="s">
        <v>2892</v>
      </c>
      <c r="F34" s="1450" t="s">
        <v>3220</v>
      </c>
      <c r="G34" s="1476">
        <v>2027</v>
      </c>
      <c r="H34" s="1450">
        <v>2030</v>
      </c>
      <c r="I34" s="1477">
        <v>66861</v>
      </c>
      <c r="J34" s="1478"/>
      <c r="K34" s="1479"/>
      <c r="L34" s="1458">
        <f>1920*(1+L42)</f>
        <v>1402.3412203526705</v>
      </c>
      <c r="M34" s="1459"/>
      <c r="N34" s="1479"/>
      <c r="O34" s="1458">
        <f t="shared" si="14"/>
        <v>93761936.333999902</v>
      </c>
      <c r="P34" s="1459"/>
      <c r="Q34" s="1460">
        <f t="shared" si="29"/>
        <v>93761936.333999902</v>
      </c>
      <c r="R34" s="1480">
        <v>5.8000000000000003E-2</v>
      </c>
      <c r="S34" s="1479">
        <f t="shared" si="15"/>
        <v>5438192.3073719945</v>
      </c>
      <c r="T34" s="1480">
        <v>0.05</v>
      </c>
      <c r="U34" s="1479">
        <f t="shared" si="16"/>
        <v>4688096.8166999957</v>
      </c>
      <c r="V34" s="1481">
        <f t="shared" si="17"/>
        <v>103888225.45807189</v>
      </c>
      <c r="W34" s="1480">
        <f t="shared" si="68"/>
        <v>0.05</v>
      </c>
      <c r="X34" s="1479">
        <f t="shared" si="18"/>
        <v>5194411.2729035951</v>
      </c>
      <c r="Y34" s="1509">
        <v>0.35</v>
      </c>
      <c r="Z34" s="1479">
        <f t="shared" si="19"/>
        <v>36360878.910325155</v>
      </c>
      <c r="AA34" s="1464">
        <f t="shared" si="20"/>
        <v>145443515.64130062</v>
      </c>
      <c r="AB34" s="1482">
        <v>430</v>
      </c>
      <c r="AC34" s="1459"/>
      <c r="AD34" s="1459"/>
      <c r="AE34" s="1459">
        <v>1</v>
      </c>
      <c r="AF34" s="1466">
        <f t="shared" si="30"/>
        <v>0</v>
      </c>
      <c r="AG34" s="1459"/>
      <c r="AH34" s="1459"/>
      <c r="AI34" s="1483"/>
      <c r="AJ34" s="1484"/>
      <c r="AK34" s="1484"/>
      <c r="AL34" s="1484"/>
      <c r="AM34" s="1484">
        <v>0.2</v>
      </c>
      <c r="AN34" s="1484">
        <v>0.5</v>
      </c>
      <c r="AO34" s="1485">
        <f t="shared" si="31"/>
        <v>0.30000000000000004</v>
      </c>
      <c r="AP34" s="1486">
        <f t="shared" si="21"/>
        <v>0</v>
      </c>
      <c r="AQ34" s="1459">
        <f t="shared" si="22"/>
        <v>0</v>
      </c>
      <c r="AR34" s="1459">
        <f t="shared" si="23"/>
        <v>0</v>
      </c>
      <c r="AS34" s="1459">
        <f t="shared" si="24"/>
        <v>0</v>
      </c>
      <c r="AT34" s="1459">
        <f t="shared" si="25"/>
        <v>29088703.128260124</v>
      </c>
      <c r="AU34" s="1459">
        <f t="shared" si="26"/>
        <v>72721757.820650309</v>
      </c>
      <c r="AV34" s="1479">
        <f t="shared" si="27"/>
        <v>43633054.692390189</v>
      </c>
      <c r="AW34" s="1471"/>
      <c r="AX34" s="1483"/>
      <c r="AY34" s="1484"/>
      <c r="AZ34" s="1484"/>
      <c r="BA34" s="1484"/>
      <c r="BB34" s="1484"/>
      <c r="BC34" s="1484"/>
      <c r="BD34" s="1485">
        <f t="shared" si="32"/>
        <v>1</v>
      </c>
      <c r="BE34" s="1470">
        <f t="shared" si="33"/>
        <v>0</v>
      </c>
      <c r="BF34" s="1466">
        <f t="shared" si="34"/>
        <v>0</v>
      </c>
      <c r="BG34" s="1466">
        <f t="shared" si="35"/>
        <v>0</v>
      </c>
      <c r="BH34" s="1466">
        <f t="shared" si="36"/>
        <v>0</v>
      </c>
      <c r="BI34" s="1466">
        <f t="shared" si="37"/>
        <v>0</v>
      </c>
      <c r="BJ34" s="1466">
        <f t="shared" si="38"/>
        <v>0</v>
      </c>
      <c r="BK34" s="1462">
        <f t="shared" si="39"/>
        <v>41555290.183228746</v>
      </c>
    </row>
    <row r="35" spans="1:63" s="1452" customFormat="1">
      <c r="A35" s="1450">
        <v>3</v>
      </c>
      <c r="B35" s="1476" t="s">
        <v>3221</v>
      </c>
      <c r="C35" s="1452" t="s">
        <v>1164</v>
      </c>
      <c r="D35" s="1452" t="s">
        <v>3222</v>
      </c>
      <c r="E35" s="1452" t="s">
        <v>2892</v>
      </c>
      <c r="F35" s="1450" t="s">
        <v>3220</v>
      </c>
      <c r="G35" s="1476">
        <v>2027</v>
      </c>
      <c r="H35" s="1450">
        <v>2030</v>
      </c>
      <c r="I35" s="1477">
        <v>47930</v>
      </c>
      <c r="J35" s="1478"/>
      <c r="K35" s="1479"/>
      <c r="L35" s="1458">
        <f>L34</f>
        <v>1402.3412203526705</v>
      </c>
      <c r="M35" s="1459"/>
      <c r="N35" s="1479"/>
      <c r="O35" s="1458">
        <f t="shared" si="14"/>
        <v>67214214.691503495</v>
      </c>
      <c r="P35" s="1459"/>
      <c r="Q35" s="1460">
        <f t="shared" si="29"/>
        <v>67214214.691503495</v>
      </c>
      <c r="R35" s="1480">
        <v>5.8000000000000003E-2</v>
      </c>
      <c r="S35" s="1479">
        <f t="shared" si="15"/>
        <v>3898424.4521072027</v>
      </c>
      <c r="T35" s="1480">
        <v>0.05</v>
      </c>
      <c r="U35" s="1479">
        <f t="shared" si="16"/>
        <v>3360710.7345751747</v>
      </c>
      <c r="V35" s="1481">
        <f t="shared" si="17"/>
        <v>74473349.878185868</v>
      </c>
      <c r="W35" s="1480">
        <f t="shared" si="68"/>
        <v>0.05</v>
      </c>
      <c r="X35" s="1479">
        <f t="shared" si="18"/>
        <v>3723667.4939092938</v>
      </c>
      <c r="Y35" s="1480">
        <f>Y34</f>
        <v>0.35</v>
      </c>
      <c r="Z35" s="1479">
        <f t="shared" si="19"/>
        <v>26065672.457365051</v>
      </c>
      <c r="AA35" s="1464">
        <f t="shared" si="20"/>
        <v>104262689.82946022</v>
      </c>
      <c r="AB35" s="1482"/>
      <c r="AC35" s="1459"/>
      <c r="AD35" s="1459"/>
      <c r="AE35" s="1459">
        <v>1</v>
      </c>
      <c r="AF35" s="1466">
        <f t="shared" si="30"/>
        <v>0</v>
      </c>
      <c r="AG35" s="1459"/>
      <c r="AH35" s="1459"/>
      <c r="AI35" s="1483"/>
      <c r="AJ35" s="1484"/>
      <c r="AK35" s="1484"/>
      <c r="AL35" s="1484"/>
      <c r="AM35" s="1484">
        <v>0.2</v>
      </c>
      <c r="AN35" s="1484">
        <v>0.5</v>
      </c>
      <c r="AO35" s="1485">
        <f t="shared" si="31"/>
        <v>0.30000000000000004</v>
      </c>
      <c r="AP35" s="1486">
        <f t="shared" si="21"/>
        <v>0</v>
      </c>
      <c r="AQ35" s="1459">
        <f t="shared" si="22"/>
        <v>0</v>
      </c>
      <c r="AR35" s="1459">
        <f t="shared" si="23"/>
        <v>0</v>
      </c>
      <c r="AS35" s="1459">
        <f t="shared" si="24"/>
        <v>0</v>
      </c>
      <c r="AT35" s="1459">
        <f t="shared" si="25"/>
        <v>20852537.965892047</v>
      </c>
      <c r="AU35" s="1459">
        <f t="shared" si="26"/>
        <v>52131344.914730109</v>
      </c>
      <c r="AV35" s="1479">
        <f t="shared" si="27"/>
        <v>31278806.94883807</v>
      </c>
      <c r="AW35" s="1471"/>
      <c r="AX35" s="1483"/>
      <c r="AY35" s="1484"/>
      <c r="AZ35" s="1484"/>
      <c r="BA35" s="1484"/>
      <c r="BB35" s="1484"/>
      <c r="BC35" s="1484"/>
      <c r="BD35" s="1485">
        <f t="shared" si="32"/>
        <v>1</v>
      </c>
      <c r="BE35" s="1470">
        <f t="shared" si="33"/>
        <v>0</v>
      </c>
      <c r="BF35" s="1466">
        <f t="shared" si="34"/>
        <v>0</v>
      </c>
      <c r="BG35" s="1466">
        <f t="shared" si="35"/>
        <v>0</v>
      </c>
      <c r="BH35" s="1466">
        <f t="shared" si="36"/>
        <v>0</v>
      </c>
      <c r="BI35" s="1466">
        <f t="shared" si="37"/>
        <v>0</v>
      </c>
      <c r="BJ35" s="1466">
        <f t="shared" si="38"/>
        <v>0</v>
      </c>
      <c r="BK35" s="1462">
        <f t="shared" si="39"/>
        <v>29789339.951274343</v>
      </c>
    </row>
    <row r="36" spans="1:63" s="1452" customFormat="1">
      <c r="A36" s="1450">
        <v>3</v>
      </c>
      <c r="B36" s="1476" t="s">
        <v>3223</v>
      </c>
      <c r="C36" s="1452" t="s">
        <v>1167</v>
      </c>
      <c r="D36" s="1452" t="s">
        <v>3224</v>
      </c>
      <c r="E36" s="1452" t="s">
        <v>2892</v>
      </c>
      <c r="F36" s="1450" t="s">
        <v>3220</v>
      </c>
      <c r="G36" s="1476">
        <v>2027</v>
      </c>
      <c r="H36" s="1450">
        <v>2030</v>
      </c>
      <c r="I36" s="1477">
        <v>15361</v>
      </c>
      <c r="J36" s="1478"/>
      <c r="K36" s="1479"/>
      <c r="L36" s="1486">
        <f>1080*(1+L42)</f>
        <v>788.81693644837708</v>
      </c>
      <c r="M36" s="1459"/>
      <c r="N36" s="1479"/>
      <c r="O36" s="1458">
        <f t="shared" si="14"/>
        <v>12117016.960783521</v>
      </c>
      <c r="P36" s="1459"/>
      <c r="Q36" s="1460">
        <f t="shared" si="29"/>
        <v>12117016.960783521</v>
      </c>
      <c r="R36" s="1480">
        <v>5.8000000000000003E-2</v>
      </c>
      <c r="S36" s="1479">
        <f t="shared" si="15"/>
        <v>702786.98372544418</v>
      </c>
      <c r="T36" s="1480">
        <v>0.05</v>
      </c>
      <c r="U36" s="1479">
        <f t="shared" si="16"/>
        <v>605850.84803917608</v>
      </c>
      <c r="V36" s="1481">
        <f t="shared" si="17"/>
        <v>13425654.792548141</v>
      </c>
      <c r="W36" s="1480">
        <f t="shared" si="68"/>
        <v>0.05</v>
      </c>
      <c r="X36" s="1479">
        <f t="shared" si="18"/>
        <v>671282.73962740705</v>
      </c>
      <c r="Y36" s="1509">
        <v>0.3</v>
      </c>
      <c r="Z36" s="1479">
        <f t="shared" si="19"/>
        <v>4027696.4377644421</v>
      </c>
      <c r="AA36" s="1464">
        <f t="shared" si="20"/>
        <v>18124633.969939992</v>
      </c>
      <c r="AB36" s="1482"/>
      <c r="AC36" s="1459"/>
      <c r="AD36" s="1459"/>
      <c r="AE36" s="1459">
        <v>1</v>
      </c>
      <c r="AF36" s="1466">
        <f t="shared" si="30"/>
        <v>0</v>
      </c>
      <c r="AG36" s="1459"/>
      <c r="AH36" s="1459"/>
      <c r="AI36" s="1483"/>
      <c r="AJ36" s="1484"/>
      <c r="AK36" s="1484"/>
      <c r="AL36" s="1484"/>
      <c r="AM36" s="1484">
        <v>0.2</v>
      </c>
      <c r="AN36" s="1484">
        <v>0.5</v>
      </c>
      <c r="AO36" s="1485">
        <f t="shared" si="31"/>
        <v>0.30000000000000004</v>
      </c>
      <c r="AP36" s="1486">
        <f t="shared" si="21"/>
        <v>0</v>
      </c>
      <c r="AQ36" s="1459">
        <f t="shared" si="22"/>
        <v>0</v>
      </c>
      <c r="AR36" s="1459">
        <f t="shared" si="23"/>
        <v>0</v>
      </c>
      <c r="AS36" s="1459">
        <f t="shared" si="24"/>
        <v>0</v>
      </c>
      <c r="AT36" s="1459">
        <f t="shared" si="25"/>
        <v>3624926.7939879987</v>
      </c>
      <c r="AU36" s="1459">
        <f t="shared" si="26"/>
        <v>9062316.9849699959</v>
      </c>
      <c r="AV36" s="1479">
        <f t="shared" si="27"/>
        <v>5437390.1909819981</v>
      </c>
      <c r="AW36" s="1471"/>
      <c r="AX36" s="1483"/>
      <c r="AY36" s="1484"/>
      <c r="AZ36" s="1484"/>
      <c r="BA36" s="1484"/>
      <c r="BB36" s="1484"/>
      <c r="BC36" s="1484"/>
      <c r="BD36" s="1485">
        <f t="shared" si="32"/>
        <v>1</v>
      </c>
      <c r="BE36" s="1470">
        <f t="shared" si="33"/>
        <v>0</v>
      </c>
      <c r="BF36" s="1466">
        <f t="shared" si="34"/>
        <v>0</v>
      </c>
      <c r="BG36" s="1466">
        <f t="shared" si="35"/>
        <v>0</v>
      </c>
      <c r="BH36" s="1466">
        <f t="shared" si="36"/>
        <v>0</v>
      </c>
      <c r="BI36" s="1466">
        <f t="shared" si="37"/>
        <v>0</v>
      </c>
      <c r="BJ36" s="1466">
        <f t="shared" si="38"/>
        <v>0</v>
      </c>
      <c r="BK36" s="1462">
        <f t="shared" si="39"/>
        <v>4698979.1773918495</v>
      </c>
    </row>
    <row r="37" spans="1:63" s="1452" customFormat="1">
      <c r="A37" s="1450">
        <v>3</v>
      </c>
      <c r="B37" s="1476" t="s">
        <v>3225</v>
      </c>
      <c r="C37" s="1452" t="s">
        <v>1167</v>
      </c>
      <c r="D37" s="1452" t="s">
        <v>3226</v>
      </c>
      <c r="E37" s="1452" t="s">
        <v>2892</v>
      </c>
      <c r="F37" s="1450" t="s">
        <v>3220</v>
      </c>
      <c r="G37" s="1476">
        <v>2027</v>
      </c>
      <c r="H37" s="1450">
        <v>2030</v>
      </c>
      <c r="I37" s="1477">
        <v>12556</v>
      </c>
      <c r="J37" s="1478"/>
      <c r="K37" s="1479"/>
      <c r="L37" s="1486">
        <f>L35</f>
        <v>1402.3412203526705</v>
      </c>
      <c r="M37" s="1459"/>
      <c r="N37" s="1479"/>
      <c r="O37" s="1458">
        <f t="shared" si="14"/>
        <v>17607796.362748131</v>
      </c>
      <c r="P37" s="1459"/>
      <c r="Q37" s="1460">
        <f t="shared" si="29"/>
        <v>17607796.362748131</v>
      </c>
      <c r="R37" s="1480">
        <v>5.8000000000000003E-2</v>
      </c>
      <c r="S37" s="1479">
        <f t="shared" si="15"/>
        <v>1021252.1890393917</v>
      </c>
      <c r="T37" s="1480">
        <v>0.05</v>
      </c>
      <c r="U37" s="1479">
        <f t="shared" si="16"/>
        <v>880389.8181374066</v>
      </c>
      <c r="V37" s="1481">
        <f t="shared" si="17"/>
        <v>19509438.369924929</v>
      </c>
      <c r="W37" s="1480">
        <f t="shared" si="68"/>
        <v>0.05</v>
      </c>
      <c r="X37" s="1479">
        <f t="shared" si="18"/>
        <v>975471.91849624645</v>
      </c>
      <c r="Y37" s="1480">
        <f>Y36</f>
        <v>0.3</v>
      </c>
      <c r="Z37" s="1479">
        <f t="shared" si="19"/>
        <v>5852831.5109774787</v>
      </c>
      <c r="AA37" s="1464">
        <f t="shared" si="20"/>
        <v>26337741.799398653</v>
      </c>
      <c r="AB37" s="1482"/>
      <c r="AC37" s="1459"/>
      <c r="AD37" s="1459"/>
      <c r="AE37" s="1459">
        <v>1</v>
      </c>
      <c r="AF37" s="1466">
        <f t="shared" si="30"/>
        <v>0</v>
      </c>
      <c r="AG37" s="1459"/>
      <c r="AH37" s="1459"/>
      <c r="AI37" s="1483"/>
      <c r="AJ37" s="1484"/>
      <c r="AK37" s="1484"/>
      <c r="AL37" s="1484"/>
      <c r="AM37" s="1484">
        <v>0.2</v>
      </c>
      <c r="AN37" s="1484">
        <v>0.5</v>
      </c>
      <c r="AO37" s="1485">
        <f t="shared" si="31"/>
        <v>0.30000000000000004</v>
      </c>
      <c r="AP37" s="1486">
        <f t="shared" si="21"/>
        <v>0</v>
      </c>
      <c r="AQ37" s="1459">
        <f t="shared" si="22"/>
        <v>0</v>
      </c>
      <c r="AR37" s="1459">
        <f t="shared" si="23"/>
        <v>0</v>
      </c>
      <c r="AS37" s="1459">
        <f t="shared" si="24"/>
        <v>0</v>
      </c>
      <c r="AT37" s="1459">
        <f t="shared" si="25"/>
        <v>5267548.3598797312</v>
      </c>
      <c r="AU37" s="1459">
        <f t="shared" si="26"/>
        <v>13168870.899699327</v>
      </c>
      <c r="AV37" s="1479">
        <f t="shared" si="27"/>
        <v>7901322.5398195973</v>
      </c>
      <c r="AW37" s="1471"/>
      <c r="AX37" s="1483"/>
      <c r="AY37" s="1484"/>
      <c r="AZ37" s="1484"/>
      <c r="BA37" s="1484"/>
      <c r="BB37" s="1484"/>
      <c r="BC37" s="1484"/>
      <c r="BD37" s="1485">
        <f t="shared" si="32"/>
        <v>1</v>
      </c>
      <c r="BE37" s="1470">
        <f t="shared" si="33"/>
        <v>0</v>
      </c>
      <c r="BF37" s="1466">
        <f t="shared" si="34"/>
        <v>0</v>
      </c>
      <c r="BG37" s="1466">
        <f t="shared" si="35"/>
        <v>0</v>
      </c>
      <c r="BH37" s="1466">
        <f t="shared" si="36"/>
        <v>0</v>
      </c>
      <c r="BI37" s="1466">
        <f t="shared" si="37"/>
        <v>0</v>
      </c>
      <c r="BJ37" s="1466">
        <f t="shared" si="38"/>
        <v>0</v>
      </c>
      <c r="BK37" s="1462">
        <f t="shared" si="39"/>
        <v>6828303.4294737251</v>
      </c>
    </row>
    <row r="38" spans="1:63" s="1452" customFormat="1">
      <c r="A38" s="1450">
        <v>3</v>
      </c>
      <c r="B38" s="1476" t="s">
        <v>3227</v>
      </c>
      <c r="C38" s="1452" t="s">
        <v>1167</v>
      </c>
      <c r="D38" s="1452" t="s">
        <v>3228</v>
      </c>
      <c r="E38" s="1452" t="s">
        <v>2892</v>
      </c>
      <c r="F38" s="1450" t="s">
        <v>3220</v>
      </c>
      <c r="G38" s="1476">
        <v>2027</v>
      </c>
      <c r="H38" s="1450">
        <v>2030</v>
      </c>
      <c r="I38" s="1477">
        <v>6695</v>
      </c>
      <c r="J38" s="1478"/>
      <c r="K38" s="1479"/>
      <c r="L38" s="1486">
        <f>1440*(1+L42)</f>
        <v>1051.7559152645028</v>
      </c>
      <c r="M38" s="1459"/>
      <c r="N38" s="1479"/>
      <c r="O38" s="1458">
        <f t="shared" si="14"/>
        <v>7041505.8526958469</v>
      </c>
      <c r="P38" s="1459"/>
      <c r="Q38" s="1460">
        <f t="shared" si="29"/>
        <v>7041505.8526958469</v>
      </c>
      <c r="R38" s="1480">
        <v>5.8000000000000003E-2</v>
      </c>
      <c r="S38" s="1479">
        <f t="shared" si="15"/>
        <v>408407.33945635916</v>
      </c>
      <c r="T38" s="1480">
        <v>0.05</v>
      </c>
      <c r="U38" s="1479">
        <f t="shared" si="16"/>
        <v>352075.29263479239</v>
      </c>
      <c r="V38" s="1481">
        <f t="shared" si="17"/>
        <v>7801988.4847869985</v>
      </c>
      <c r="W38" s="1480">
        <f t="shared" si="68"/>
        <v>0.05</v>
      </c>
      <c r="X38" s="1479">
        <f t="shared" si="18"/>
        <v>390099.42423934996</v>
      </c>
      <c r="Y38" s="1480">
        <v>0.15</v>
      </c>
      <c r="Z38" s="1479">
        <f t="shared" si="19"/>
        <v>1170298.2727180498</v>
      </c>
      <c r="AA38" s="1464">
        <f t="shared" si="20"/>
        <v>9362386.1817443985</v>
      </c>
      <c r="AB38" s="1482"/>
      <c r="AC38" s="1459"/>
      <c r="AD38" s="1459"/>
      <c r="AE38" s="1459">
        <v>1</v>
      </c>
      <c r="AF38" s="1466">
        <f t="shared" si="30"/>
        <v>0</v>
      </c>
      <c r="AG38" s="1459"/>
      <c r="AH38" s="1459"/>
      <c r="AI38" s="1483"/>
      <c r="AJ38" s="1484"/>
      <c r="AK38" s="1484"/>
      <c r="AL38" s="1484"/>
      <c r="AM38" s="1484">
        <v>0.2</v>
      </c>
      <c r="AN38" s="1484">
        <v>0.5</v>
      </c>
      <c r="AO38" s="1485">
        <f t="shared" si="31"/>
        <v>0.30000000000000004</v>
      </c>
      <c r="AP38" s="1486">
        <f t="shared" si="21"/>
        <v>0</v>
      </c>
      <c r="AQ38" s="1459">
        <f t="shared" si="22"/>
        <v>0</v>
      </c>
      <c r="AR38" s="1459">
        <f t="shared" si="23"/>
        <v>0</v>
      </c>
      <c r="AS38" s="1459">
        <f t="shared" si="24"/>
        <v>0</v>
      </c>
      <c r="AT38" s="1459">
        <f t="shared" si="25"/>
        <v>1872477.2363488798</v>
      </c>
      <c r="AU38" s="1459">
        <f t="shared" si="26"/>
        <v>4681193.0908721993</v>
      </c>
      <c r="AV38" s="1479">
        <f t="shared" si="27"/>
        <v>2808715.8545233198</v>
      </c>
      <c r="AW38" s="1471"/>
      <c r="AX38" s="1483"/>
      <c r="AY38" s="1484"/>
      <c r="AZ38" s="1484"/>
      <c r="BA38" s="1484"/>
      <c r="BB38" s="1484"/>
      <c r="BC38" s="1484"/>
      <c r="BD38" s="1485">
        <f t="shared" si="32"/>
        <v>1</v>
      </c>
      <c r="BE38" s="1470">
        <f t="shared" si="33"/>
        <v>0</v>
      </c>
      <c r="BF38" s="1466">
        <f t="shared" si="34"/>
        <v>0</v>
      </c>
      <c r="BG38" s="1466">
        <f t="shared" si="35"/>
        <v>0</v>
      </c>
      <c r="BH38" s="1466">
        <f t="shared" si="36"/>
        <v>0</v>
      </c>
      <c r="BI38" s="1466">
        <f t="shared" si="37"/>
        <v>0</v>
      </c>
      <c r="BJ38" s="1466">
        <f t="shared" si="38"/>
        <v>0</v>
      </c>
      <c r="BK38" s="1462">
        <f t="shared" si="39"/>
        <v>1560397.6969573998</v>
      </c>
    </row>
    <row r="39" spans="1:63" s="1452" customFormat="1">
      <c r="A39" s="1450">
        <v>3</v>
      </c>
      <c r="B39" s="1476" t="s">
        <v>3229</v>
      </c>
      <c r="C39" s="1452" t="s">
        <v>1164</v>
      </c>
      <c r="D39" s="1452" t="s">
        <v>3230</v>
      </c>
      <c r="E39" s="1452" t="s">
        <v>2892</v>
      </c>
      <c r="F39" s="1450" t="s">
        <v>3220</v>
      </c>
      <c r="G39" s="1476">
        <v>2027</v>
      </c>
      <c r="H39" s="1450">
        <v>2030</v>
      </c>
      <c r="I39" s="1477">
        <v>19288</v>
      </c>
      <c r="J39" s="1478"/>
      <c r="K39" s="1479"/>
      <c r="L39" s="1486">
        <f>L38</f>
        <v>1051.7559152645028</v>
      </c>
      <c r="M39" s="1459"/>
      <c r="N39" s="1479"/>
      <c r="O39" s="1458">
        <f t="shared" si="14"/>
        <v>20286268.093621731</v>
      </c>
      <c r="P39" s="1459"/>
      <c r="Q39" s="1460">
        <f t="shared" si="29"/>
        <v>20286268.093621731</v>
      </c>
      <c r="R39" s="1480">
        <v>5.8000000000000003E-2</v>
      </c>
      <c r="S39" s="1479">
        <f t="shared" si="15"/>
        <v>1176603.5494300604</v>
      </c>
      <c r="T39" s="1480">
        <v>0.05</v>
      </c>
      <c r="U39" s="1479">
        <f t="shared" si="16"/>
        <v>1014313.4046810865</v>
      </c>
      <c r="V39" s="1481">
        <f t="shared" si="17"/>
        <v>22477185.047732878</v>
      </c>
      <c r="W39" s="1480">
        <f t="shared" si="68"/>
        <v>0.05</v>
      </c>
      <c r="X39" s="1479">
        <f t="shared" si="18"/>
        <v>1123859.252386644</v>
      </c>
      <c r="Y39" s="1480">
        <f>Y38</f>
        <v>0.15</v>
      </c>
      <c r="Z39" s="1479">
        <f t="shared" si="19"/>
        <v>3371577.7571599316</v>
      </c>
      <c r="AA39" s="1464">
        <f t="shared" si="20"/>
        <v>26972622.057279453</v>
      </c>
      <c r="AB39" s="1482"/>
      <c r="AC39" s="1459">
        <v>1</v>
      </c>
      <c r="AD39" s="1459"/>
      <c r="AE39" s="1459"/>
      <c r="AF39" s="1466">
        <f t="shared" si="30"/>
        <v>0</v>
      </c>
      <c r="AG39" s="1459"/>
      <c r="AH39" s="1459"/>
      <c r="AI39" s="1483"/>
      <c r="AJ39" s="1484"/>
      <c r="AK39" s="1484"/>
      <c r="AL39" s="1484"/>
      <c r="AM39" s="1484">
        <v>0.2</v>
      </c>
      <c r="AN39" s="1484">
        <v>0.5</v>
      </c>
      <c r="AO39" s="1485">
        <f t="shared" si="31"/>
        <v>0.30000000000000004</v>
      </c>
      <c r="AP39" s="1486">
        <f t="shared" si="21"/>
        <v>0</v>
      </c>
      <c r="AQ39" s="1459">
        <f t="shared" si="22"/>
        <v>0</v>
      </c>
      <c r="AR39" s="1459">
        <f t="shared" si="23"/>
        <v>0</v>
      </c>
      <c r="AS39" s="1459">
        <f t="shared" si="24"/>
        <v>0</v>
      </c>
      <c r="AT39" s="1459">
        <f t="shared" si="25"/>
        <v>5394524.4114558911</v>
      </c>
      <c r="AU39" s="1459">
        <f t="shared" si="26"/>
        <v>13486311.028639726</v>
      </c>
      <c r="AV39" s="1479">
        <f t="shared" si="27"/>
        <v>8091786.6171838371</v>
      </c>
      <c r="AW39" s="1471"/>
      <c r="AX39" s="1483"/>
      <c r="AY39" s="1484"/>
      <c r="AZ39" s="1484"/>
      <c r="BA39" s="1484"/>
      <c r="BB39" s="1484"/>
      <c r="BC39" s="1484"/>
      <c r="BD39" s="1485">
        <f t="shared" si="32"/>
        <v>1</v>
      </c>
      <c r="BE39" s="1470">
        <f t="shared" si="33"/>
        <v>0</v>
      </c>
      <c r="BF39" s="1466">
        <f t="shared" si="34"/>
        <v>0</v>
      </c>
      <c r="BG39" s="1466">
        <f t="shared" si="35"/>
        <v>0</v>
      </c>
      <c r="BH39" s="1466">
        <f t="shared" si="36"/>
        <v>0</v>
      </c>
      <c r="BI39" s="1466">
        <f t="shared" si="37"/>
        <v>0</v>
      </c>
      <c r="BJ39" s="1466">
        <f t="shared" si="38"/>
        <v>0</v>
      </c>
      <c r="BK39" s="1462">
        <f t="shared" si="39"/>
        <v>4495437.0095465761</v>
      </c>
    </row>
    <row r="40" spans="1:63" s="1452" customFormat="1" ht="12.5" customHeight="1">
      <c r="A40" s="1450">
        <v>3</v>
      </c>
      <c r="B40" s="1476" t="s">
        <v>3231</v>
      </c>
      <c r="C40" s="1452" t="s">
        <v>1164</v>
      </c>
      <c r="D40" s="1452" t="s">
        <v>3232</v>
      </c>
      <c r="E40" s="1452" t="s">
        <v>2892</v>
      </c>
      <c r="F40" s="1450" t="s">
        <v>3220</v>
      </c>
      <c r="G40" s="1476">
        <v>2027</v>
      </c>
      <c r="H40" s="1450">
        <v>2030</v>
      </c>
      <c r="I40" s="1477">
        <v>7860</v>
      </c>
      <c r="J40" s="1478"/>
      <c r="K40" s="1479"/>
      <c r="L40" s="1486">
        <f>L39</f>
        <v>1051.7559152645028</v>
      </c>
      <c r="M40" s="1459"/>
      <c r="N40" s="1479"/>
      <c r="O40" s="1458">
        <f t="shared" si="14"/>
        <v>8266801.4939789921</v>
      </c>
      <c r="P40" s="1459"/>
      <c r="Q40" s="1460">
        <f t="shared" si="29"/>
        <v>8266801.4939789921</v>
      </c>
      <c r="R40" s="1480">
        <v>5.8000000000000003E-2</v>
      </c>
      <c r="S40" s="1479">
        <f t="shared" si="15"/>
        <v>479474.48665078159</v>
      </c>
      <c r="T40" s="1480">
        <v>0.05</v>
      </c>
      <c r="U40" s="1479">
        <f t="shared" si="16"/>
        <v>413340.07469894964</v>
      </c>
      <c r="V40" s="1481">
        <f t="shared" si="17"/>
        <v>9159616.055328723</v>
      </c>
      <c r="W40" s="1480">
        <f t="shared" si="68"/>
        <v>0.05</v>
      </c>
      <c r="X40" s="1479">
        <f t="shared" si="18"/>
        <v>457980.80276643619</v>
      </c>
      <c r="Y40" s="1480">
        <f>Y39</f>
        <v>0.15</v>
      </c>
      <c r="Z40" s="1479">
        <f t="shared" si="19"/>
        <v>1373942.4082993085</v>
      </c>
      <c r="AA40" s="1464">
        <f t="shared" si="20"/>
        <v>10991539.266394468</v>
      </c>
      <c r="AB40" s="1482"/>
      <c r="AC40" s="1459">
        <v>1</v>
      </c>
      <c r="AD40" s="1459"/>
      <c r="AE40" s="1459"/>
      <c r="AF40" s="1466">
        <f t="shared" si="30"/>
        <v>0</v>
      </c>
      <c r="AG40" s="1459"/>
      <c r="AH40" s="1459"/>
      <c r="AI40" s="1483"/>
      <c r="AJ40" s="1484"/>
      <c r="AK40" s="1484"/>
      <c r="AL40" s="1484"/>
      <c r="AM40" s="1484">
        <v>0.2</v>
      </c>
      <c r="AN40" s="1484">
        <v>0.5</v>
      </c>
      <c r="AO40" s="1485">
        <f t="shared" si="31"/>
        <v>0.30000000000000004</v>
      </c>
      <c r="AP40" s="1486">
        <f t="shared" si="21"/>
        <v>0</v>
      </c>
      <c r="AQ40" s="1459">
        <f t="shared" si="22"/>
        <v>0</v>
      </c>
      <c r="AR40" s="1459">
        <f t="shared" si="23"/>
        <v>0</v>
      </c>
      <c r="AS40" s="1459">
        <f t="shared" si="24"/>
        <v>0</v>
      </c>
      <c r="AT40" s="1459">
        <f t="shared" si="25"/>
        <v>2198307.8532788935</v>
      </c>
      <c r="AU40" s="1459">
        <f t="shared" si="26"/>
        <v>5495769.633197234</v>
      </c>
      <c r="AV40" s="1479">
        <f t="shared" si="27"/>
        <v>3297461.779918341</v>
      </c>
      <c r="AW40" s="1471"/>
      <c r="AX40" s="1483"/>
      <c r="AY40" s="1484"/>
      <c r="AZ40" s="1484"/>
      <c r="BA40" s="1484"/>
      <c r="BB40" s="1484"/>
      <c r="BC40" s="1484"/>
      <c r="BD40" s="1485">
        <f t="shared" si="32"/>
        <v>1</v>
      </c>
      <c r="BE40" s="1470">
        <f t="shared" si="33"/>
        <v>0</v>
      </c>
      <c r="BF40" s="1466">
        <f t="shared" si="34"/>
        <v>0</v>
      </c>
      <c r="BG40" s="1466">
        <f t="shared" si="35"/>
        <v>0</v>
      </c>
      <c r="BH40" s="1466">
        <f t="shared" si="36"/>
        <v>0</v>
      </c>
      <c r="BI40" s="1466">
        <f t="shared" si="37"/>
        <v>0</v>
      </c>
      <c r="BJ40" s="1466">
        <f t="shared" si="38"/>
        <v>0</v>
      </c>
      <c r="BK40" s="1462">
        <f t="shared" si="39"/>
        <v>1831923.2110657447</v>
      </c>
    </row>
    <row r="41" spans="1:63" s="1489" customFormat="1">
      <c r="A41" s="1487">
        <v>3</v>
      </c>
      <c r="B41" s="1488" t="s">
        <v>3233</v>
      </c>
      <c r="C41" s="1489" t="s">
        <v>1164</v>
      </c>
      <c r="D41" s="1489" t="s">
        <v>2898</v>
      </c>
      <c r="E41" s="1489" t="s">
        <v>2892</v>
      </c>
      <c r="F41" s="1487" t="s">
        <v>3234</v>
      </c>
      <c r="G41" s="1488">
        <v>2027</v>
      </c>
      <c r="H41" s="1487">
        <v>2030</v>
      </c>
      <c r="I41" s="1490">
        <v>684</v>
      </c>
      <c r="J41" s="1491"/>
      <c r="K41" s="1492"/>
      <c r="L41" s="1493">
        <f>720*(1+L42)</f>
        <v>525.87795763225142</v>
      </c>
      <c r="M41" s="1494"/>
      <c r="N41" s="1492"/>
      <c r="O41" s="1495">
        <f t="shared" si="14"/>
        <v>359700.52302045998</v>
      </c>
      <c r="P41" s="1494"/>
      <c r="Q41" s="1496">
        <f t="shared" si="29"/>
        <v>359700.52302045998</v>
      </c>
      <c r="R41" s="1497">
        <v>5.8000000000000003E-2</v>
      </c>
      <c r="S41" s="1492">
        <f t="shared" si="15"/>
        <v>20862.630335186681</v>
      </c>
      <c r="T41" s="1497">
        <v>0.05</v>
      </c>
      <c r="U41" s="1492">
        <f t="shared" si="16"/>
        <v>17985.026151023001</v>
      </c>
      <c r="V41" s="1498">
        <f t="shared" si="17"/>
        <v>398548.17950666964</v>
      </c>
      <c r="W41" s="1497">
        <f t="shared" si="68"/>
        <v>0.05</v>
      </c>
      <c r="X41" s="1492">
        <f t="shared" si="18"/>
        <v>19927.408975333485</v>
      </c>
      <c r="Y41" s="1497">
        <v>0</v>
      </c>
      <c r="Z41" s="1492">
        <f t="shared" si="19"/>
        <v>0</v>
      </c>
      <c r="AA41" s="1499">
        <f t="shared" si="20"/>
        <v>418475.58848200314</v>
      </c>
      <c r="AB41" s="1500"/>
      <c r="AC41" s="1494"/>
      <c r="AD41" s="1494"/>
      <c r="AE41" s="1494"/>
      <c r="AF41" s="1501">
        <f t="shared" si="30"/>
        <v>1</v>
      </c>
      <c r="AG41" s="1494"/>
      <c r="AH41" s="1494"/>
      <c r="AI41" s="1502"/>
      <c r="AJ41" s="1503"/>
      <c r="AK41" s="1503"/>
      <c r="AL41" s="1503"/>
      <c r="AM41" s="1503">
        <v>0.2</v>
      </c>
      <c r="AN41" s="1503">
        <v>0.5</v>
      </c>
      <c r="AO41" s="1504">
        <f t="shared" si="31"/>
        <v>0.30000000000000004</v>
      </c>
      <c r="AP41" s="1493">
        <f t="shared" si="21"/>
        <v>0</v>
      </c>
      <c r="AQ41" s="1494">
        <f t="shared" si="22"/>
        <v>0</v>
      </c>
      <c r="AR41" s="1494">
        <f t="shared" si="23"/>
        <v>0</v>
      </c>
      <c r="AS41" s="1494">
        <f t="shared" si="24"/>
        <v>0</v>
      </c>
      <c r="AT41" s="1494">
        <f t="shared" si="25"/>
        <v>83695.11769640063</v>
      </c>
      <c r="AU41" s="1494">
        <f t="shared" si="26"/>
        <v>209237.79424100157</v>
      </c>
      <c r="AV41" s="1492">
        <f t="shared" si="27"/>
        <v>125542.67654460095</v>
      </c>
      <c r="AW41" s="1505"/>
      <c r="AX41" s="1502"/>
      <c r="AY41" s="1503"/>
      <c r="AZ41" s="1503"/>
      <c r="BA41" s="1503"/>
      <c r="BB41" s="1503"/>
      <c r="BC41" s="1503"/>
      <c r="BD41" s="1504">
        <f t="shared" si="32"/>
        <v>1</v>
      </c>
      <c r="BE41" s="1506">
        <f t="shared" si="33"/>
        <v>0</v>
      </c>
      <c r="BF41" s="1501">
        <f t="shared" si="34"/>
        <v>0</v>
      </c>
      <c r="BG41" s="1501">
        <f t="shared" si="35"/>
        <v>0</v>
      </c>
      <c r="BH41" s="1501">
        <f t="shared" si="36"/>
        <v>0</v>
      </c>
      <c r="BI41" s="1501">
        <f t="shared" si="37"/>
        <v>0</v>
      </c>
      <c r="BJ41" s="1501">
        <f t="shared" si="38"/>
        <v>0</v>
      </c>
      <c r="BK41" s="1507">
        <f t="shared" si="39"/>
        <v>19927.408975333485</v>
      </c>
    </row>
    <row r="42" spans="1:63" ht="29.5" customHeight="1" thickBot="1">
      <c r="I42" s="968"/>
      <c r="L42" s="1074">
        <v>-0.26961394773298425</v>
      </c>
      <c r="M42" s="1073" t="s">
        <v>3360</v>
      </c>
      <c r="O42" s="967"/>
      <c r="P42" s="1070"/>
      <c r="V42" s="1065"/>
      <c r="W42" s="1066"/>
      <c r="X42" s="1065"/>
      <c r="Y42" s="1067"/>
      <c r="Z42" s="1065"/>
      <c r="AA42" s="1422">
        <f>SUM(AA7:AA41)</f>
        <v>740144655.09391987</v>
      </c>
      <c r="AC42" s="1423">
        <f>SUMPRODUCT(AC7:AC41,$AA$7:$AA$41)</f>
        <v>48474439.911673918</v>
      </c>
      <c r="AD42" s="1424">
        <f>SUMPRODUCT(AD7:AD41,$AA$7:$AA$41)</f>
        <v>300183033.01999998</v>
      </c>
      <c r="AE42" s="1424">
        <f>SUMPRODUCT(AE7:AE41,$AA$7:$AA$41)</f>
        <v>321516061.09384388</v>
      </c>
      <c r="AF42" s="1425">
        <f>SUMPRODUCT(AF7:AF41,$AA$7:$AA$41)</f>
        <v>69971121.068402007</v>
      </c>
      <c r="AO42" s="1078" t="s">
        <v>3362</v>
      </c>
      <c r="BE42" s="1078" t="s">
        <v>3362</v>
      </c>
    </row>
    <row r="43" spans="1:63" ht="16">
      <c r="D43" s="1072" t="s">
        <v>3359</v>
      </c>
      <c r="O43" s="770"/>
      <c r="AA43" s="968">
        <f>AA42-AA40-AA41-AA39</f>
        <v>701762018.18176389</v>
      </c>
      <c r="AB43" s="967">
        <v>2022</v>
      </c>
      <c r="AC43" s="1041">
        <f>SUMPRODUCT(AC7:AC41,$AP$7:$AP$41)</f>
        <v>0</v>
      </c>
      <c r="AD43" s="1041">
        <f>SUMPRODUCT(AD7:AD41,$AP$7:$AP$41)</f>
        <v>13363568.4715</v>
      </c>
      <c r="AE43" s="1041">
        <f>SUMPRODUCT(AE7:AE41,$AP$7:$AP$41)</f>
        <v>0</v>
      </c>
      <c r="AF43" s="1041">
        <f>SUMPRODUCT(AF7:AF41,$AP$7:$AP$41)</f>
        <v>8557371.1936000008</v>
      </c>
      <c r="AG43" s="980"/>
      <c r="AO43" s="980" t="s">
        <v>3237</v>
      </c>
      <c r="AP43" s="968">
        <f t="shared" ref="AP43:AV43" si="69">SUM(AP7:AP41)</f>
        <v>21920939.665100001</v>
      </c>
      <c r="AQ43" s="968">
        <f t="shared" si="69"/>
        <v>113488833.74253999</v>
      </c>
      <c r="AR43" s="968">
        <f t="shared" si="69"/>
        <v>146502863.32185602</v>
      </c>
      <c r="AS43" s="968">
        <f t="shared" si="69"/>
        <v>116318414.03042398</v>
      </c>
      <c r="AT43" s="968">
        <f t="shared" si="69"/>
        <v>68382720.866799966</v>
      </c>
      <c r="AU43" s="968">
        <f t="shared" si="69"/>
        <v>170956802.16699994</v>
      </c>
      <c r="AV43" s="968">
        <f t="shared" si="69"/>
        <v>102574081.30019996</v>
      </c>
      <c r="BE43" s="968">
        <f>AX42*SUM($X42,$Z42)</f>
        <v>0</v>
      </c>
      <c r="BF43" s="968">
        <f t="shared" ref="BF43:BK43" si="70">SUM(BF7:BF41)</f>
        <v>0</v>
      </c>
      <c r="BG43" s="968">
        <f t="shared" si="70"/>
        <v>4504438.4827359999</v>
      </c>
      <c r="BH43" s="968">
        <f t="shared" si="70"/>
        <v>67253087.109183997</v>
      </c>
      <c r="BI43" s="968">
        <f t="shared" si="70"/>
        <v>0</v>
      </c>
      <c r="BJ43" s="968">
        <f t="shared" si="70"/>
        <v>0</v>
      </c>
      <c r="BK43" s="968">
        <f t="shared" si="70"/>
        <v>90779598.067913726</v>
      </c>
    </row>
    <row r="44" spans="1:63" ht="16">
      <c r="L44" s="1046"/>
      <c r="O44" s="968"/>
      <c r="P44" s="1071"/>
      <c r="Q44" s="968"/>
      <c r="R44" s="968"/>
      <c r="S44" s="968"/>
      <c r="Z44" s="1034"/>
      <c r="AA44" s="69"/>
      <c r="AB44" s="967">
        <v>2023</v>
      </c>
      <c r="AC44" s="1041">
        <f>SUMPRODUCT(AC7:AC41,$AQ$7:$AQ$41)</f>
        <v>7347672.7487999992</v>
      </c>
      <c r="AD44" s="1041">
        <f>SUMPRODUCT(AD7:AD41,$AQ$7:$AQ$41)</f>
        <v>63361254.844939999</v>
      </c>
      <c r="AE44" s="1041">
        <f>SUMPRODUCT(AE7:AE41,$AQ$7:$AQ$41)</f>
        <v>14388074.937600002</v>
      </c>
      <c r="AF44" s="1041">
        <f>SUMPRODUCT(AF7:AF41,$AQ$7:$AQ$41)</f>
        <v>28391831.211199999</v>
      </c>
      <c r="AG44" s="1032"/>
      <c r="AH44" s="967"/>
      <c r="AO44" s="980" t="s">
        <v>3238</v>
      </c>
      <c r="AP44" s="771">
        <f t="shared" ref="AP44:AV44" si="71">BE43</f>
        <v>0</v>
      </c>
      <c r="AQ44" s="771">
        <f t="shared" si="71"/>
        <v>0</v>
      </c>
      <c r="AR44" s="771">
        <f t="shared" si="71"/>
        <v>4504438.4827359999</v>
      </c>
      <c r="AS44" s="771">
        <f t="shared" si="71"/>
        <v>67253087.109183997</v>
      </c>
      <c r="AT44" s="771">
        <f t="shared" si="71"/>
        <v>0</v>
      </c>
      <c r="AU44" s="771">
        <f t="shared" si="71"/>
        <v>0</v>
      </c>
      <c r="AV44" s="771">
        <f t="shared" si="71"/>
        <v>90779598.067913726</v>
      </c>
    </row>
    <row r="45" spans="1:63" ht="16">
      <c r="Z45" s="1034"/>
      <c r="AB45" s="967">
        <v>2024</v>
      </c>
      <c r="AC45" s="1041">
        <f>SUMPRODUCT(AC7:AC41,$AR$7:$AR$41)</f>
        <v>2278814.0712000001</v>
      </c>
      <c r="AD45" s="1041">
        <f>SUMPRODUCT(AD7:AD41,$AR$7:$AR$41)</f>
        <v>124885137.61048</v>
      </c>
      <c r="AE45" s="1041">
        <f>SUMPRODUCT(AE7:AE41,$AR$7:$AR$41)</f>
        <v>3597018.7344000004</v>
      </c>
      <c r="AF45" s="1041">
        <f>SUMPRODUCT(AF7:AF41,$AR$7:$AR$41)</f>
        <v>15741892.905776</v>
      </c>
      <c r="AG45" s="980"/>
      <c r="AO45" s="980" t="s">
        <v>3239</v>
      </c>
      <c r="AP45" s="771">
        <f>AP43-AP44</f>
        <v>21920939.665100001</v>
      </c>
      <c r="AQ45" s="771">
        <f>AQ43-AQ44</f>
        <v>113488833.74253999</v>
      </c>
      <c r="AR45" s="771">
        <f t="shared" ref="AR45:AV45" si="72">AR43-AR44</f>
        <v>141998424.83912003</v>
      </c>
      <c r="AS45" s="771">
        <f t="shared" si="72"/>
        <v>49065326.921239987</v>
      </c>
      <c r="AT45" s="771">
        <f t="shared" si="72"/>
        <v>68382720.866799966</v>
      </c>
      <c r="AU45" s="771">
        <f t="shared" si="72"/>
        <v>170956802.16699994</v>
      </c>
      <c r="AV45" s="771">
        <f t="shared" si="72"/>
        <v>11794483.23228623</v>
      </c>
    </row>
    <row r="46" spans="1:63">
      <c r="L46" s="972"/>
      <c r="O46" s="968"/>
      <c r="Q46" s="968"/>
      <c r="S46" s="967"/>
      <c r="U46" s="967"/>
      <c r="V46" s="967"/>
      <c r="X46" s="967"/>
      <c r="Z46" s="1034"/>
      <c r="AA46" s="69"/>
      <c r="AB46" s="967">
        <v>2025</v>
      </c>
      <c r="AC46" s="1041">
        <f>SUMPRODUCT(AC7:AC41,$AS$7:$AS$41)</f>
        <v>883791.76800000004</v>
      </c>
      <c r="AD46" s="1041">
        <f>SUMPRODUCT(AD7:AD41,$AS$7:$AS$41)</f>
        <v>98573072.093079999</v>
      </c>
      <c r="AE46" s="1041">
        <f>SUMPRODUCT(AE7:AE41,$AS$7:$AS$41)</f>
        <v>0</v>
      </c>
      <c r="AF46" s="1041">
        <f>SUMPRODUCT(AF7:AF41,$AS$7:$AS$41)</f>
        <v>16861550.169344001</v>
      </c>
      <c r="AG46" s="980"/>
      <c r="BE46" s="967"/>
      <c r="BF46" s="967"/>
      <c r="BG46" s="967"/>
      <c r="BH46" s="967"/>
    </row>
    <row r="47" spans="1:63">
      <c r="Z47" s="1035"/>
      <c r="AA47" s="69"/>
      <c r="AB47" s="967">
        <v>2026</v>
      </c>
      <c r="AC47" s="1041">
        <f>SUMPRODUCT(AC7:AC41,$AT$7:$AT$41)</f>
        <v>7592832.2647347841</v>
      </c>
      <c r="AD47" s="1041">
        <f>SUMPRODUCT(AD7:AD41,$AT$7:$AT$41)</f>
        <v>0</v>
      </c>
      <c r="AE47" s="1041">
        <f>SUMPRODUCT(AE7:AE41,$AT$7:$AT$41)</f>
        <v>60706193.484368779</v>
      </c>
      <c r="AF47" s="1041">
        <f>SUMPRODUCT(AF7:AF41,$AT$7:$AT$41)</f>
        <v>83695.11769640063</v>
      </c>
      <c r="AG47" s="980"/>
    </row>
    <row r="48" spans="1:63" ht="16">
      <c r="L48" s="967"/>
      <c r="O48" s="968"/>
      <c r="Z48" s="1034"/>
      <c r="AA48" s="69"/>
      <c r="AB48" s="967">
        <v>2027</v>
      </c>
      <c r="AC48" s="1041">
        <f>SUMPRODUCT(AC7:AC41,$AU$7:$AU$41)</f>
        <v>18982080.661836959</v>
      </c>
      <c r="AD48" s="1041">
        <f>SUMPRODUCT(AD7:AD41,$AU$7:$AU$41)</f>
        <v>0</v>
      </c>
      <c r="AE48" s="1041">
        <f>SUMPRODUCT(AE7:AE41,$AU$7:$AU$41)</f>
        <v>151765483.71092194</v>
      </c>
      <c r="AF48" s="1041">
        <f>SUMPRODUCT(AF7:AF41,$AU$7:$AU$41)</f>
        <v>209237.79424100157</v>
      </c>
      <c r="AG48" s="980"/>
      <c r="AO48" s="1078" t="s">
        <v>3363</v>
      </c>
      <c r="AP48" s="1079">
        <v>1</v>
      </c>
      <c r="AQ48" s="967"/>
      <c r="AR48" s="967"/>
      <c r="AS48" s="967"/>
      <c r="BE48" s="1078" t="s">
        <v>3363</v>
      </c>
    </row>
    <row r="49" spans="28:63" ht="16">
      <c r="AB49" s="967">
        <v>2028</v>
      </c>
      <c r="AC49" s="1041">
        <f>SUMPRODUCT(AC7:AC41,$AV$7:$AV$41)</f>
        <v>11389248.397102177</v>
      </c>
      <c r="AD49" s="1041">
        <f>SUMPRODUCT(AD7:AD41,$AV$7:$AV$41)</f>
        <v>0</v>
      </c>
      <c r="AE49" s="1041">
        <f>SUMPRODUCT(AE7:AE41,$AV$7:$AV$41)</f>
        <v>91059290.226553172</v>
      </c>
      <c r="AF49" s="1041">
        <f>SUMPRODUCT(AF7:AF41,$AV$7:$AV$41)</f>
        <v>125542.67654460095</v>
      </c>
      <c r="AG49" s="980"/>
      <c r="AO49" s="980" t="s">
        <v>3237</v>
      </c>
      <c r="AP49" s="968">
        <f t="shared" ref="AP49:AV49" si="73">SUMIF($A$7:$A$41,"="&amp;$AP$48,AP7:AP41)</f>
        <v>16487851.4715</v>
      </c>
      <c r="AQ49" s="968">
        <f t="shared" si="73"/>
        <v>66005780.869659998</v>
      </c>
      <c r="AR49" s="968">
        <f t="shared" si="73"/>
        <v>94691159.002719998</v>
      </c>
      <c r="AS49" s="968">
        <f t="shared" si="73"/>
        <v>70600018.76692</v>
      </c>
      <c r="AT49" s="968">
        <f t="shared" si="73"/>
        <v>0</v>
      </c>
      <c r="AU49" s="968">
        <f t="shared" si="73"/>
        <v>0</v>
      </c>
      <c r="AV49" s="968">
        <f t="shared" si="73"/>
        <v>0</v>
      </c>
      <c r="BE49" s="968">
        <f t="shared" ref="BE49:BK49" si="74">SUMIF($A$7:$A$41,"="&amp;$AP$48,BE7:BE41)</f>
        <v>0</v>
      </c>
      <c r="BF49" s="968">
        <f t="shared" si="74"/>
        <v>0</v>
      </c>
      <c r="BG49" s="968">
        <f t="shared" si="74"/>
        <v>0</v>
      </c>
      <c r="BH49" s="968">
        <f t="shared" si="74"/>
        <v>52137417.658799998</v>
      </c>
      <c r="BI49" s="968">
        <f t="shared" si="74"/>
        <v>0</v>
      </c>
      <c r="BJ49" s="968">
        <f t="shared" si="74"/>
        <v>0</v>
      </c>
      <c r="BK49" s="968">
        <f t="shared" si="74"/>
        <v>0</v>
      </c>
    </row>
    <row r="50" spans="28:63" ht="16">
      <c r="AB50" s="967"/>
      <c r="AC50" s="1040"/>
      <c r="AD50" s="1040"/>
      <c r="AE50" s="1040"/>
      <c r="AF50" s="1040"/>
      <c r="AO50" s="980" t="s">
        <v>3238</v>
      </c>
      <c r="AP50" s="771">
        <f>BE49</f>
        <v>0</v>
      </c>
      <c r="AQ50" s="771">
        <f t="shared" ref="AQ50:AV50" si="75">BF49</f>
        <v>0</v>
      </c>
      <c r="AR50" s="771">
        <f t="shared" si="75"/>
        <v>0</v>
      </c>
      <c r="AS50" s="771">
        <f t="shared" si="75"/>
        <v>52137417.658799998</v>
      </c>
      <c r="AT50" s="771">
        <f t="shared" si="75"/>
        <v>0</v>
      </c>
      <c r="AU50" s="771">
        <f t="shared" si="75"/>
        <v>0</v>
      </c>
      <c r="AV50" s="771">
        <f t="shared" si="75"/>
        <v>0</v>
      </c>
    </row>
    <row r="51" spans="28:63" ht="16">
      <c r="AO51" s="980" t="s">
        <v>3239</v>
      </c>
      <c r="AP51" s="771">
        <f>AP49-AP50</f>
        <v>16487851.4715</v>
      </c>
      <c r="AQ51" s="771">
        <f>AQ49-AQ50</f>
        <v>66005780.869659998</v>
      </c>
      <c r="AR51" s="771">
        <f t="shared" ref="AR51:AV51" si="76">AR49-AR50</f>
        <v>94691159.002719998</v>
      </c>
      <c r="AS51" s="771">
        <f t="shared" si="76"/>
        <v>18462601.108120002</v>
      </c>
      <c r="AT51" s="771">
        <f t="shared" si="76"/>
        <v>0</v>
      </c>
      <c r="AU51" s="771">
        <f t="shared" si="76"/>
        <v>0</v>
      </c>
      <c r="AV51" s="771">
        <f t="shared" si="76"/>
        <v>0</v>
      </c>
    </row>
    <row r="53" spans="28:63" ht="16">
      <c r="AO53" s="1078" t="s">
        <v>3364</v>
      </c>
      <c r="AP53" s="1079">
        <v>2</v>
      </c>
      <c r="AQ53" s="967"/>
      <c r="AR53" s="967"/>
      <c r="AS53" s="967"/>
      <c r="BE53" s="1078" t="s">
        <v>3364</v>
      </c>
    </row>
    <row r="54" spans="28:63" ht="16">
      <c r="AB54" s="967"/>
      <c r="AO54" s="980" t="s">
        <v>3237</v>
      </c>
      <c r="AP54" s="968">
        <f t="shared" ref="AP54:AV54" si="77">SUMIF($A$7:$A$41,"="&amp;$AP$53,AP7:AP41)</f>
        <v>1772800</v>
      </c>
      <c r="AQ54" s="968">
        <f t="shared" si="77"/>
        <v>11503801.20248</v>
      </c>
      <c r="AR54" s="968">
        <f t="shared" si="77"/>
        <v>35970412.068560004</v>
      </c>
      <c r="AS54" s="968">
        <f t="shared" si="77"/>
        <v>34928685.094160005</v>
      </c>
      <c r="AT54" s="968">
        <f t="shared" si="77"/>
        <v>0</v>
      </c>
      <c r="AU54" s="968">
        <f t="shared" si="77"/>
        <v>0</v>
      </c>
      <c r="AV54" s="968">
        <f t="shared" si="77"/>
        <v>0</v>
      </c>
      <c r="BE54" s="968">
        <f t="shared" ref="BE54:BK54" si="78">SUMIF($A$7:$A$41,"="&amp;$AP$53,BE7:BE41)</f>
        <v>0</v>
      </c>
      <c r="BF54" s="968">
        <f t="shared" si="78"/>
        <v>0</v>
      </c>
      <c r="BG54" s="968">
        <f t="shared" si="78"/>
        <v>2412459.6129600001</v>
      </c>
      <c r="BH54" s="968">
        <f t="shared" si="78"/>
        <v>14723130.348239999</v>
      </c>
      <c r="BI54" s="968">
        <f t="shared" si="78"/>
        <v>0</v>
      </c>
      <c r="BJ54" s="968">
        <f t="shared" si="78"/>
        <v>0</v>
      </c>
      <c r="BK54" s="968">
        <f t="shared" si="78"/>
        <v>0</v>
      </c>
    </row>
    <row r="55" spans="28:63" ht="16">
      <c r="AO55" s="980" t="s">
        <v>3238</v>
      </c>
      <c r="AP55" s="771">
        <f>BE54</f>
        <v>0</v>
      </c>
      <c r="AQ55" s="771">
        <f t="shared" ref="AQ55" si="79">BF54</f>
        <v>0</v>
      </c>
      <c r="AR55" s="771">
        <f t="shared" ref="AR55" si="80">BG54</f>
        <v>2412459.6129600001</v>
      </c>
      <c r="AS55" s="771">
        <f t="shared" ref="AS55" si="81">BH54</f>
        <v>14723130.348239999</v>
      </c>
      <c r="AT55" s="771">
        <f t="shared" ref="AT55" si="82">BI54</f>
        <v>0</v>
      </c>
      <c r="AU55" s="771">
        <f t="shared" ref="AU55" si="83">BJ54</f>
        <v>0</v>
      </c>
      <c r="AV55" s="771">
        <f t="shared" ref="AV55" si="84">BK54</f>
        <v>0</v>
      </c>
    </row>
    <row r="56" spans="28:63" ht="16">
      <c r="AO56" s="980" t="s">
        <v>3239</v>
      </c>
      <c r="AP56" s="771">
        <f>AP54-AP55</f>
        <v>1772800</v>
      </c>
      <c r="AQ56" s="771">
        <f>AQ54-AQ55</f>
        <v>11503801.20248</v>
      </c>
      <c r="AR56" s="771">
        <f t="shared" ref="AR56:AV56" si="85">AR54-AR55</f>
        <v>33557952.455600001</v>
      </c>
      <c r="AS56" s="771">
        <f t="shared" si="85"/>
        <v>20205554.745920006</v>
      </c>
      <c r="AT56" s="771">
        <f t="shared" si="85"/>
        <v>0</v>
      </c>
      <c r="AU56" s="771">
        <f t="shared" si="85"/>
        <v>0</v>
      </c>
      <c r="AV56" s="771">
        <f t="shared" si="85"/>
        <v>0</v>
      </c>
    </row>
    <row r="58" spans="28:63" ht="16">
      <c r="AO58" s="1078" t="s">
        <v>3364</v>
      </c>
      <c r="AP58" s="1079">
        <v>3</v>
      </c>
      <c r="AQ58" s="967"/>
      <c r="AR58" s="967"/>
      <c r="AS58" s="967"/>
      <c r="BE58" s="1078" t="s">
        <v>3365</v>
      </c>
    </row>
    <row r="59" spans="28:63" ht="16">
      <c r="AO59" s="980" t="s">
        <v>3237</v>
      </c>
      <c r="AP59" s="968">
        <f t="shared" ref="AP59:AV59" si="86">SUMIF($A$7:$A$41,"="&amp;$AP$58,AP7:AP41)</f>
        <v>3660288.1936000008</v>
      </c>
      <c r="AQ59" s="968">
        <f t="shared" si="86"/>
        <v>35979251.670400001</v>
      </c>
      <c r="AR59" s="968">
        <f t="shared" si="86"/>
        <v>15841292.250576001</v>
      </c>
      <c r="AS59" s="968">
        <f t="shared" si="86"/>
        <v>10789710.169344001</v>
      </c>
      <c r="AT59" s="968">
        <f t="shared" si="86"/>
        <v>68382720.866799966</v>
      </c>
      <c r="AU59" s="968">
        <f t="shared" si="86"/>
        <v>170956802.16699994</v>
      </c>
      <c r="AV59" s="968">
        <f t="shared" si="86"/>
        <v>102574081.30019996</v>
      </c>
      <c r="BE59" s="968">
        <f t="shared" ref="BE59:BK59" si="87">SUMIF($A$7:$A$41,"="&amp;$AP$58,BE7:BE41)</f>
        <v>0</v>
      </c>
      <c r="BF59" s="968">
        <f t="shared" si="87"/>
        <v>0</v>
      </c>
      <c r="BG59" s="968">
        <f t="shared" si="87"/>
        <v>2091978.8697760003</v>
      </c>
      <c r="BH59" s="968">
        <f t="shared" si="87"/>
        <v>392539.102144</v>
      </c>
      <c r="BI59" s="968">
        <f t="shared" si="87"/>
        <v>0</v>
      </c>
      <c r="BJ59" s="968">
        <f t="shared" si="87"/>
        <v>0</v>
      </c>
      <c r="BK59" s="968">
        <f t="shared" si="87"/>
        <v>90779598.067913726</v>
      </c>
    </row>
    <row r="60" spans="28:63" ht="16">
      <c r="AO60" s="980" t="s">
        <v>3238</v>
      </c>
      <c r="AP60" s="771">
        <f>BE59</f>
        <v>0</v>
      </c>
      <c r="AQ60" s="771">
        <f t="shared" ref="AQ60" si="88">BF59</f>
        <v>0</v>
      </c>
      <c r="AR60" s="771">
        <f t="shared" ref="AR60" si="89">BG59</f>
        <v>2091978.8697760003</v>
      </c>
      <c r="AS60" s="771">
        <f t="shared" ref="AS60" si="90">BH59</f>
        <v>392539.102144</v>
      </c>
      <c r="AT60" s="771">
        <f t="shared" ref="AT60" si="91">BI59</f>
        <v>0</v>
      </c>
      <c r="AU60" s="771">
        <f t="shared" ref="AU60" si="92">BJ59</f>
        <v>0</v>
      </c>
      <c r="AV60" s="771">
        <f t="shared" ref="AV60" si="93">BK59</f>
        <v>90779598.067913726</v>
      </c>
    </row>
    <row r="61" spans="28:63" ht="16">
      <c r="AO61" s="980" t="s">
        <v>3239</v>
      </c>
      <c r="AP61" s="771">
        <f>AP59-AP60</f>
        <v>3660288.1936000008</v>
      </c>
      <c r="AQ61" s="771">
        <f>AQ59-AQ60</f>
        <v>35979251.670400001</v>
      </c>
      <c r="AR61" s="771">
        <f t="shared" ref="AR61:AV61" si="94">AR59-AR60</f>
        <v>13749313.380800001</v>
      </c>
      <c r="AS61" s="771">
        <f t="shared" si="94"/>
        <v>10397171.067200001</v>
      </c>
      <c r="AT61" s="771">
        <f t="shared" si="94"/>
        <v>68382720.866799966</v>
      </c>
      <c r="AU61" s="771">
        <f t="shared" si="94"/>
        <v>170956802.16699994</v>
      </c>
      <c r="AV61" s="771">
        <f t="shared" si="94"/>
        <v>11794483.23228623</v>
      </c>
    </row>
    <row r="62" spans="28:63">
      <c r="AQ62" s="967"/>
      <c r="AR62" s="967"/>
      <c r="AS62" s="967"/>
      <c r="BF62" s="967"/>
      <c r="BG62" s="967"/>
      <c r="BH62" s="967"/>
    </row>
    <row r="63" spans="28:63">
      <c r="AQ63" s="973"/>
      <c r="AR63" s="973"/>
      <c r="AS63" s="973"/>
      <c r="BF63" s="973"/>
      <c r="BG63" s="973"/>
      <c r="BH63" s="973"/>
    </row>
    <row r="65" spans="3:60">
      <c r="C65" s="970"/>
      <c r="L65" s="974"/>
      <c r="O65" s="975"/>
    </row>
    <row r="66" spans="3:60" ht="13.25" customHeight="1">
      <c r="C66" s="976"/>
    </row>
    <row r="67" spans="3:60">
      <c r="C67" s="970"/>
      <c r="L67" s="977"/>
    </row>
    <row r="68" spans="3:60">
      <c r="L68" s="63"/>
      <c r="O68" s="978"/>
    </row>
    <row r="69" spans="3:60">
      <c r="L69" s="63"/>
      <c r="O69" s="978"/>
    </row>
    <row r="70" spans="3:60">
      <c r="L70" s="63"/>
      <c r="O70" s="978"/>
    </row>
    <row r="71" spans="3:60">
      <c r="AL71" s="979"/>
      <c r="AS71" s="977"/>
      <c r="BA71" s="979"/>
      <c r="BH71" s="977"/>
    </row>
  </sheetData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14F7D-5A1A-42B2-81C5-A01E9E2ECD52}">
  <sheetPr>
    <tabColor theme="0"/>
  </sheetPr>
  <dimension ref="A1:GC1123"/>
  <sheetViews>
    <sheetView workbookViewId="0"/>
  </sheetViews>
  <sheetFormatPr baseColWidth="10" defaultColWidth="8.83203125" defaultRowHeight="15"/>
  <cols>
    <col min="1" max="1" width="32.5" style="385" customWidth="1"/>
    <col min="2" max="2" width="30.5" style="384" bestFit="1" customWidth="1"/>
    <col min="3" max="3" width="18.1640625" style="396" customWidth="1"/>
    <col min="4" max="4" width="14" style="386" customWidth="1"/>
    <col min="5" max="5" width="13.1640625" style="387" customWidth="1"/>
    <col min="6" max="6" width="14" style="388" customWidth="1"/>
    <col min="7" max="7" width="13.1640625" style="388" customWidth="1"/>
    <col min="8" max="8" width="14" style="389" customWidth="1"/>
    <col min="9" max="9" width="13.1640625" style="390" customWidth="1"/>
    <col min="10" max="10" width="14" style="391" customWidth="1"/>
    <col min="11" max="11" width="13.1640625" style="391" customWidth="1"/>
    <col min="12" max="12" width="14" style="392" customWidth="1"/>
    <col min="13" max="13" width="13.1640625" style="439" customWidth="1"/>
    <col min="14" max="14" width="22.6640625" customWidth="1"/>
    <col min="15" max="15" width="8.83203125" customWidth="1"/>
  </cols>
  <sheetData>
    <row r="1" spans="1:185" s="366" customFormat="1" ht="19.5" customHeight="1" thickBot="1">
      <c r="A1" s="357"/>
      <c r="B1" s="358"/>
      <c r="C1" s="393"/>
      <c r="D1" s="359"/>
      <c r="E1" s="360"/>
      <c r="F1" s="361"/>
      <c r="G1" s="361"/>
      <c r="H1" s="362"/>
      <c r="I1" s="363"/>
      <c r="J1" s="364"/>
      <c r="K1" s="364"/>
      <c r="L1" s="365"/>
      <c r="M1" s="434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</row>
    <row r="2" spans="1:185" s="369" customFormat="1" ht="16">
      <c r="A2" s="367"/>
      <c r="B2" s="368" t="s">
        <v>296</v>
      </c>
      <c r="C2" s="394"/>
      <c r="D2" s="1606">
        <v>2017</v>
      </c>
      <c r="E2" s="1607"/>
      <c r="F2" s="1608">
        <v>2018</v>
      </c>
      <c r="G2" s="1609"/>
      <c r="H2" s="1610">
        <v>2019</v>
      </c>
      <c r="I2" s="1611"/>
      <c r="J2" s="1612">
        <v>2020</v>
      </c>
      <c r="K2" s="1613"/>
      <c r="L2" s="1614">
        <v>2021</v>
      </c>
      <c r="M2" s="1615"/>
    </row>
    <row r="3" spans="1:185" s="380" customFormat="1" ht="48" customHeight="1" thickBot="1">
      <c r="A3" s="397" t="s">
        <v>420</v>
      </c>
      <c r="B3" s="370" t="s">
        <v>415</v>
      </c>
      <c r="C3" s="395" t="s">
        <v>416</v>
      </c>
      <c r="D3" s="371" t="s">
        <v>297</v>
      </c>
      <c r="E3" s="372" t="s">
        <v>298</v>
      </c>
      <c r="F3" s="373" t="s">
        <v>297</v>
      </c>
      <c r="G3" s="374" t="s">
        <v>299</v>
      </c>
      <c r="H3" s="375" t="s">
        <v>297</v>
      </c>
      <c r="I3" s="376" t="s">
        <v>298</v>
      </c>
      <c r="J3" s="377" t="s">
        <v>297</v>
      </c>
      <c r="K3" s="378" t="s">
        <v>298</v>
      </c>
      <c r="L3" s="379" t="s">
        <v>297</v>
      </c>
      <c r="M3" s="435" t="s">
        <v>298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</row>
    <row r="4" spans="1:185" ht="18.75" customHeight="1">
      <c r="A4" s="398" t="s">
        <v>300</v>
      </c>
      <c r="B4" s="399" t="s">
        <v>303</v>
      </c>
      <c r="C4" s="400" t="s">
        <v>419</v>
      </c>
      <c r="D4" s="401">
        <v>2</v>
      </c>
      <c r="E4" s="402">
        <v>848.35750000000007</v>
      </c>
      <c r="F4" s="403">
        <v>2</v>
      </c>
      <c r="G4" s="404">
        <v>842.20208333333323</v>
      </c>
      <c r="H4" s="405">
        <v>2</v>
      </c>
      <c r="I4" s="406">
        <v>880.11625000000004</v>
      </c>
      <c r="J4" s="407">
        <v>2</v>
      </c>
      <c r="K4" s="408">
        <v>761.32083333333333</v>
      </c>
      <c r="L4" s="409">
        <v>2</v>
      </c>
      <c r="M4" s="436">
        <v>1208.8616666666667</v>
      </c>
      <c r="N4" s="440" t="s">
        <v>287</v>
      </c>
    </row>
    <row r="5" spans="1:185">
      <c r="A5" s="410" t="s">
        <v>300</v>
      </c>
      <c r="B5" s="411" t="s">
        <v>315</v>
      </c>
      <c r="C5" s="412" t="s">
        <v>419</v>
      </c>
      <c r="D5" s="413">
        <v>177.59291666666664</v>
      </c>
      <c r="E5" s="414">
        <v>1198.9378846284699</v>
      </c>
      <c r="F5" s="415">
        <v>172.39099999999999</v>
      </c>
      <c r="G5" s="416">
        <v>1271.2652922716372</v>
      </c>
      <c r="H5" s="417">
        <v>175.27850000000001</v>
      </c>
      <c r="I5" s="418">
        <v>1375.6690210151276</v>
      </c>
      <c r="J5" s="419">
        <v>188.94466666666668</v>
      </c>
      <c r="K5" s="420">
        <v>1501.5302275445713</v>
      </c>
      <c r="L5" s="421">
        <v>222.66483333333329</v>
      </c>
      <c r="M5" s="437">
        <v>1623.7901547093572</v>
      </c>
      <c r="N5" s="440" t="s">
        <v>288</v>
      </c>
    </row>
    <row r="6" spans="1:185">
      <c r="A6" s="410" t="s">
        <v>300</v>
      </c>
      <c r="B6" s="411" t="s">
        <v>302</v>
      </c>
      <c r="C6" s="422" t="s">
        <v>418</v>
      </c>
      <c r="D6" s="413">
        <v>12.833333333333334</v>
      </c>
      <c r="E6" s="414">
        <v>944.71077922077916</v>
      </c>
      <c r="F6" s="415">
        <v>13</v>
      </c>
      <c r="G6" s="416">
        <v>948.10455128205126</v>
      </c>
      <c r="H6" s="417">
        <v>12.833333333333334</v>
      </c>
      <c r="I6" s="418">
        <v>1061.2491558441559</v>
      </c>
      <c r="J6" s="419">
        <v>12.5</v>
      </c>
      <c r="K6" s="420">
        <v>1108.6795999999999</v>
      </c>
      <c r="L6" s="421">
        <v>12.462333333333333</v>
      </c>
      <c r="M6" s="437">
        <v>1318.1870703720547</v>
      </c>
      <c r="N6" s="440" t="s">
        <v>417</v>
      </c>
    </row>
    <row r="7" spans="1:185">
      <c r="A7" s="410" t="s">
        <v>300</v>
      </c>
      <c r="B7" s="411" t="s">
        <v>316</v>
      </c>
      <c r="C7" s="412" t="s">
        <v>418</v>
      </c>
      <c r="D7" s="413">
        <v>3</v>
      </c>
      <c r="E7" s="414">
        <v>1023.3758333333333</v>
      </c>
      <c r="F7" s="415">
        <v>3</v>
      </c>
      <c r="G7" s="416">
        <v>1024.3074999999999</v>
      </c>
      <c r="H7" s="417">
        <v>3</v>
      </c>
      <c r="I7" s="418">
        <v>1083.7280555555556</v>
      </c>
      <c r="J7" s="419">
        <v>3.3333333333333335</v>
      </c>
      <c r="K7" s="420">
        <v>1458.2692500000001</v>
      </c>
      <c r="L7" s="421">
        <v>4.25</v>
      </c>
      <c r="M7" s="437">
        <v>2197.7656862745098</v>
      </c>
      <c r="N7" s="440" t="s">
        <v>418</v>
      </c>
    </row>
    <row r="8" spans="1:185">
      <c r="A8" s="410" t="s">
        <v>300</v>
      </c>
      <c r="B8" s="411" t="s">
        <v>301</v>
      </c>
      <c r="C8" s="412" t="s">
        <v>287</v>
      </c>
      <c r="D8" s="413">
        <v>5</v>
      </c>
      <c r="E8" s="414">
        <v>3333.2511666666669</v>
      </c>
      <c r="F8" s="415">
        <v>3.8666666666666667</v>
      </c>
      <c r="G8" s="416">
        <v>2738.8243534482758</v>
      </c>
      <c r="H8" s="417">
        <v>3.65</v>
      </c>
      <c r="I8" s="418">
        <v>2868.035159817352</v>
      </c>
      <c r="J8" s="419">
        <v>3.25</v>
      </c>
      <c r="K8" s="420">
        <v>2973.4994871794875</v>
      </c>
      <c r="L8" s="421">
        <v>3.9250000000000003</v>
      </c>
      <c r="M8" s="437">
        <v>4602.5420382165603</v>
      </c>
      <c r="N8" s="440" t="s">
        <v>289</v>
      </c>
    </row>
    <row r="9" spans="1:185">
      <c r="A9" s="410" t="s">
        <v>300</v>
      </c>
      <c r="B9" s="411" t="s">
        <v>305</v>
      </c>
      <c r="C9" s="412" t="s">
        <v>290</v>
      </c>
      <c r="D9" s="413">
        <v>0.15</v>
      </c>
      <c r="E9" s="414">
        <v>5994.9388888888889</v>
      </c>
      <c r="F9" s="415">
        <v>0.15</v>
      </c>
      <c r="G9" s="416">
        <v>6038.1333333333332</v>
      </c>
      <c r="H9" s="417">
        <v>7.0833333333333345E-2</v>
      </c>
      <c r="I9" s="418">
        <v>2025.0235294117645</v>
      </c>
      <c r="J9" s="419">
        <v>0</v>
      </c>
      <c r="K9" s="420">
        <v>0</v>
      </c>
      <c r="L9" s="421">
        <v>0</v>
      </c>
      <c r="M9" s="437">
        <v>0</v>
      </c>
      <c r="N9" s="440" t="s">
        <v>290</v>
      </c>
    </row>
    <row r="10" spans="1:185">
      <c r="A10" s="410" t="s">
        <v>300</v>
      </c>
      <c r="B10" s="411" t="s">
        <v>306</v>
      </c>
      <c r="C10" s="412" t="s">
        <v>293</v>
      </c>
      <c r="D10" s="413">
        <v>22.283333333333331</v>
      </c>
      <c r="E10" s="414">
        <v>997.17685115931181</v>
      </c>
      <c r="F10" s="415">
        <v>20.988916666666665</v>
      </c>
      <c r="G10" s="416">
        <v>1087.4272532725606</v>
      </c>
      <c r="H10" s="417">
        <v>21.129000000000001</v>
      </c>
      <c r="I10" s="418">
        <v>1226.4105021534385</v>
      </c>
      <c r="J10" s="419">
        <v>21.166666666666668</v>
      </c>
      <c r="K10" s="420">
        <v>1345.6358267716532</v>
      </c>
      <c r="L10" s="421">
        <v>20.184250000000002</v>
      </c>
      <c r="M10" s="437">
        <v>1629.7130188141743</v>
      </c>
      <c r="N10" s="440" t="s">
        <v>291</v>
      </c>
    </row>
    <row r="11" spans="1:185">
      <c r="A11" s="410" t="s">
        <v>300</v>
      </c>
      <c r="B11" s="411" t="s">
        <v>307</v>
      </c>
      <c r="C11" s="422" t="s">
        <v>293</v>
      </c>
      <c r="D11" s="413">
        <v>58.654999999999994</v>
      </c>
      <c r="E11" s="414">
        <v>734.56609268888724</v>
      </c>
      <c r="F11" s="415">
        <v>58.923249999999996</v>
      </c>
      <c r="G11" s="416">
        <v>765.07756559026689</v>
      </c>
      <c r="H11" s="417">
        <v>59.99058333333334</v>
      </c>
      <c r="I11" s="418">
        <v>849.83690495869473</v>
      </c>
      <c r="J11" s="419">
        <v>61.74616666666666</v>
      </c>
      <c r="K11" s="420">
        <v>938.77013957681584</v>
      </c>
      <c r="L11" s="421">
        <v>63.665333333333336</v>
      </c>
      <c r="M11" s="437">
        <v>1010.4553367609795</v>
      </c>
      <c r="N11" s="440" t="s">
        <v>292</v>
      </c>
    </row>
    <row r="12" spans="1:185">
      <c r="A12" s="410" t="s">
        <v>300</v>
      </c>
      <c r="B12" s="411" t="s">
        <v>308</v>
      </c>
      <c r="C12" s="422" t="s">
        <v>293</v>
      </c>
      <c r="D12" s="413">
        <v>87.213000000000008</v>
      </c>
      <c r="E12" s="414">
        <v>705.98726680655409</v>
      </c>
      <c r="F12" s="415">
        <v>86.978416666666661</v>
      </c>
      <c r="G12" s="416">
        <v>772.19007397429073</v>
      </c>
      <c r="H12" s="417">
        <v>86.116666666666674</v>
      </c>
      <c r="I12" s="418">
        <v>830.69155215792523</v>
      </c>
      <c r="J12" s="419">
        <v>83.180083333333343</v>
      </c>
      <c r="K12" s="420">
        <v>917.90295353154477</v>
      </c>
      <c r="L12" s="421">
        <v>82.515083333333322</v>
      </c>
      <c r="M12" s="437">
        <v>976.16407505294501</v>
      </c>
      <c r="N12" s="440" t="s">
        <v>419</v>
      </c>
    </row>
    <row r="13" spans="1:185">
      <c r="A13" s="410" t="s">
        <v>300</v>
      </c>
      <c r="B13" s="411" t="s">
        <v>309</v>
      </c>
      <c r="C13" s="422" t="s">
        <v>293</v>
      </c>
      <c r="D13" s="413">
        <v>22.738916666666668</v>
      </c>
      <c r="E13" s="414">
        <v>504.0123576687543</v>
      </c>
      <c r="F13" s="415">
        <v>22.627750000000002</v>
      </c>
      <c r="G13" s="416">
        <v>530.16259533831976</v>
      </c>
      <c r="H13" s="417">
        <v>23</v>
      </c>
      <c r="I13" s="418">
        <v>575.31927536231888</v>
      </c>
      <c r="J13" s="419">
        <v>23.700083333333335</v>
      </c>
      <c r="K13" s="420">
        <v>650.45035003393093</v>
      </c>
      <c r="L13" s="421">
        <v>20.357499999999998</v>
      </c>
      <c r="M13" s="437">
        <v>692.77972901060218</v>
      </c>
      <c r="N13" s="440" t="s">
        <v>293</v>
      </c>
    </row>
    <row r="14" spans="1:185">
      <c r="A14" s="410" t="s">
        <v>300</v>
      </c>
      <c r="B14" s="411" t="s">
        <v>310</v>
      </c>
      <c r="C14" s="422" t="s">
        <v>293</v>
      </c>
      <c r="D14" s="413">
        <v>56.276583333333328</v>
      </c>
      <c r="E14" s="414">
        <v>974.15316317177508</v>
      </c>
      <c r="F14" s="415">
        <v>56.713750000000005</v>
      </c>
      <c r="G14" s="416">
        <v>1002.708176294696</v>
      </c>
      <c r="H14" s="417">
        <v>57.011916666666671</v>
      </c>
      <c r="I14" s="418">
        <v>1101.7050821246435</v>
      </c>
      <c r="J14" s="419">
        <v>59.295666666666669</v>
      </c>
      <c r="K14" s="420">
        <v>1202.8006543479853</v>
      </c>
      <c r="L14" s="421">
        <v>62.850999999999999</v>
      </c>
      <c r="M14" s="437">
        <v>1264.2270608263993</v>
      </c>
      <c r="N14" s="440" t="s">
        <v>294</v>
      </c>
    </row>
    <row r="15" spans="1:185">
      <c r="A15" s="410" t="s">
        <v>300</v>
      </c>
      <c r="B15" s="411" t="s">
        <v>311</v>
      </c>
      <c r="C15" s="422" t="s">
        <v>293</v>
      </c>
      <c r="D15" s="413">
        <v>15.30325</v>
      </c>
      <c r="E15" s="414">
        <v>717.05498287400826</v>
      </c>
      <c r="F15" s="415">
        <v>16.0425</v>
      </c>
      <c r="G15" s="416">
        <v>731.86811074749369</v>
      </c>
      <c r="H15" s="417">
        <v>16.6935</v>
      </c>
      <c r="I15" s="418">
        <v>787.23395333513042</v>
      </c>
      <c r="J15" s="419">
        <v>18.672000000000001</v>
      </c>
      <c r="K15" s="420">
        <v>901.92882390745501</v>
      </c>
      <c r="L15" s="421">
        <v>80.073333333333181</v>
      </c>
      <c r="M15" s="437">
        <v>949.7936683040565</v>
      </c>
    </row>
    <row r="16" spans="1:185">
      <c r="A16" s="410" t="s">
        <v>300</v>
      </c>
      <c r="B16" s="411" t="s">
        <v>312</v>
      </c>
      <c r="C16" s="422" t="s">
        <v>293</v>
      </c>
      <c r="D16" s="413">
        <v>28.916666666666668</v>
      </c>
      <c r="E16" s="414">
        <v>913.94167146974064</v>
      </c>
      <c r="F16" s="415">
        <v>30.113916666666665</v>
      </c>
      <c r="G16" s="416">
        <v>944.42234625740605</v>
      </c>
      <c r="H16" s="417">
        <v>30</v>
      </c>
      <c r="I16" s="418">
        <v>1001.0626944444444</v>
      </c>
      <c r="J16" s="419">
        <v>30.379000000000001</v>
      </c>
      <c r="K16" s="420">
        <v>1124.5429957097558</v>
      </c>
      <c r="L16" s="421">
        <v>30.481249999999999</v>
      </c>
      <c r="M16" s="437">
        <v>1331.3538924202037</v>
      </c>
      <c r="N16" s="440"/>
    </row>
    <row r="17" spans="1:185">
      <c r="A17" s="410" t="s">
        <v>300</v>
      </c>
      <c r="B17" s="411" t="s">
        <v>313</v>
      </c>
      <c r="C17" s="422" t="s">
        <v>293</v>
      </c>
      <c r="D17" s="413">
        <v>22.241916666666668</v>
      </c>
      <c r="E17" s="414">
        <v>816.58883564440998</v>
      </c>
      <c r="F17" s="415">
        <v>21.005416666666665</v>
      </c>
      <c r="G17" s="416">
        <v>853.15561462321227</v>
      </c>
      <c r="H17" s="417">
        <v>20.25</v>
      </c>
      <c r="I17" s="418">
        <v>953.72707818930041</v>
      </c>
      <c r="J17" s="419">
        <v>18.166666666666668</v>
      </c>
      <c r="K17" s="420">
        <v>1054.6084862385321</v>
      </c>
      <c r="L17" s="421">
        <v>21.841333333333335</v>
      </c>
      <c r="M17" s="437">
        <v>1216.2532049325439</v>
      </c>
    </row>
    <row r="18" spans="1:185">
      <c r="A18" s="410" t="s">
        <v>300</v>
      </c>
      <c r="B18" s="411" t="s">
        <v>304</v>
      </c>
      <c r="C18" s="412" t="s">
        <v>417</v>
      </c>
      <c r="D18" s="413">
        <v>2.1666666666666665</v>
      </c>
      <c r="E18" s="414">
        <v>1053.7407692307693</v>
      </c>
      <c r="F18" s="415">
        <v>1.2</v>
      </c>
      <c r="G18" s="416">
        <v>1158.2055555555555</v>
      </c>
      <c r="H18" s="417">
        <v>1.2</v>
      </c>
      <c r="I18" s="418">
        <v>1124.723611111111</v>
      </c>
      <c r="J18" s="419">
        <v>1.2</v>
      </c>
      <c r="K18" s="420">
        <v>1187.2145833333332</v>
      </c>
      <c r="L18" s="421">
        <v>1.2</v>
      </c>
      <c r="M18" s="437">
        <v>1547.6111111111109</v>
      </c>
    </row>
    <row r="19" spans="1:185">
      <c r="A19" s="410" t="s">
        <v>300</v>
      </c>
      <c r="B19" s="411" t="s">
        <v>314</v>
      </c>
      <c r="C19" s="412" t="s">
        <v>289</v>
      </c>
      <c r="D19" s="413">
        <v>2</v>
      </c>
      <c r="E19" s="414">
        <v>1855.87375</v>
      </c>
      <c r="F19" s="415">
        <v>2</v>
      </c>
      <c r="G19" s="416">
        <v>1874.1883333333333</v>
      </c>
      <c r="H19" s="417">
        <v>2</v>
      </c>
      <c r="I19" s="418">
        <v>1914.3254166666666</v>
      </c>
      <c r="J19" s="419">
        <v>2.5416666666666665</v>
      </c>
      <c r="K19" s="420">
        <v>2325.6662295081969</v>
      </c>
      <c r="L19" s="421">
        <v>1.6666666666666667</v>
      </c>
      <c r="M19" s="437">
        <v>2395.8074999999999</v>
      </c>
    </row>
    <row r="20" spans="1:185" s="381" customFormat="1" ht="16" thickBot="1">
      <c r="A20" s="410" t="s">
        <v>318</v>
      </c>
      <c r="B20" s="411" t="s">
        <v>301</v>
      </c>
      <c r="C20" s="422" t="s">
        <v>287</v>
      </c>
      <c r="D20" s="423">
        <v>1.8</v>
      </c>
      <c r="E20" s="424">
        <v>2054.9662037037033</v>
      </c>
      <c r="F20" s="425">
        <v>1.8</v>
      </c>
      <c r="G20" s="425">
        <v>2131.9462962962962</v>
      </c>
      <c r="H20" s="426">
        <v>1.8</v>
      </c>
      <c r="I20" s="427">
        <v>2228.6254629629625</v>
      </c>
      <c r="J20" s="428">
        <v>1.3333333333333333</v>
      </c>
      <c r="K20" s="428">
        <v>2418.1768750000001</v>
      </c>
      <c r="L20" s="429">
        <v>2.8000000000000003</v>
      </c>
      <c r="M20" s="438">
        <v>2932.0877976190473</v>
      </c>
      <c r="N20" s="369"/>
      <c r="O20"/>
      <c r="P20"/>
      <c r="Q20"/>
      <c r="R20"/>
      <c r="S20"/>
      <c r="T20" s="369"/>
      <c r="U20" s="369"/>
      <c r="V20" s="369"/>
      <c r="W20" s="369"/>
      <c r="X20" s="369"/>
      <c r="Y20" s="369"/>
      <c r="Z20" s="369"/>
      <c r="AA20" s="369"/>
      <c r="AB20" s="369"/>
      <c r="AC20" s="369"/>
      <c r="AD20" s="369"/>
      <c r="AE20" s="369"/>
      <c r="AF20" s="369"/>
      <c r="AG20" s="369"/>
      <c r="AH20" s="369"/>
      <c r="AI20" s="369"/>
      <c r="AJ20" s="369"/>
      <c r="AK20" s="369"/>
      <c r="AL20" s="369"/>
      <c r="AM20" s="369"/>
      <c r="AN20" s="369"/>
      <c r="AO20" s="369"/>
      <c r="AP20" s="369"/>
      <c r="AQ20" s="369"/>
      <c r="AR20" s="369"/>
      <c r="AS20" s="369"/>
      <c r="AT20" s="369"/>
      <c r="AU20" s="369"/>
      <c r="AV20" s="369"/>
      <c r="AW20" s="369"/>
      <c r="AX20" s="369"/>
      <c r="AY20" s="369"/>
      <c r="AZ20" s="369"/>
      <c r="BA20" s="369"/>
      <c r="BB20" s="369"/>
      <c r="BC20" s="369"/>
      <c r="BD20" s="369"/>
      <c r="BE20" s="369"/>
      <c r="BF20" s="369"/>
      <c r="BG20" s="369"/>
      <c r="BH20" s="369"/>
      <c r="BI20" s="369"/>
      <c r="BJ20" s="369"/>
      <c r="BK20" s="369"/>
      <c r="BL20" s="369"/>
      <c r="BM20" s="369"/>
      <c r="BN20" s="369"/>
      <c r="BO20" s="369"/>
      <c r="BP20" s="369"/>
      <c r="BQ20" s="369"/>
      <c r="BR20" s="369"/>
      <c r="BS20" s="369"/>
      <c r="BT20" s="369"/>
      <c r="BU20" s="369"/>
      <c r="BV20" s="369"/>
      <c r="BW20" s="369"/>
      <c r="BX20" s="369"/>
      <c r="BY20" s="369"/>
      <c r="BZ20" s="369"/>
      <c r="CA20" s="369"/>
      <c r="CB20" s="369"/>
      <c r="CC20" s="369"/>
      <c r="CD20" s="369"/>
      <c r="CE20" s="369"/>
      <c r="CF20" s="369"/>
      <c r="CG20" s="369"/>
      <c r="CH20" s="369"/>
      <c r="CI20" s="369"/>
      <c r="CJ20" s="369"/>
      <c r="CK20" s="369"/>
      <c r="CL20" s="369"/>
      <c r="CM20" s="369"/>
      <c r="CN20" s="369"/>
      <c r="CO20" s="369"/>
      <c r="CP20" s="369"/>
      <c r="CQ20" s="369"/>
      <c r="CR20" s="369"/>
      <c r="CS20" s="369"/>
      <c r="CT20" s="369"/>
      <c r="CU20" s="369"/>
      <c r="CV20" s="369"/>
      <c r="CW20" s="369"/>
      <c r="CX20" s="369"/>
      <c r="CY20" s="369"/>
      <c r="CZ20" s="369"/>
      <c r="DA20" s="369"/>
      <c r="DB20" s="369"/>
      <c r="DC20" s="369"/>
      <c r="DD20" s="369"/>
      <c r="DE20" s="369"/>
      <c r="DF20" s="369"/>
      <c r="DG20" s="369"/>
      <c r="DH20" s="369"/>
      <c r="DI20" s="369"/>
      <c r="DJ20" s="369"/>
      <c r="DK20" s="369"/>
      <c r="DL20" s="369"/>
      <c r="DM20" s="369"/>
      <c r="DN20" s="369"/>
      <c r="DO20" s="369"/>
      <c r="DP20" s="369"/>
      <c r="DQ20" s="369"/>
      <c r="DR20" s="369"/>
      <c r="DS20" s="369"/>
      <c r="DT20" s="369"/>
      <c r="DU20" s="369"/>
      <c r="DV20" s="369"/>
      <c r="DW20" s="369"/>
      <c r="DX20" s="369"/>
      <c r="DY20" s="369"/>
      <c r="DZ20" s="369"/>
      <c r="EA20" s="369"/>
      <c r="EB20" s="369"/>
      <c r="EC20" s="369"/>
      <c r="ED20" s="369"/>
      <c r="EE20" s="369"/>
      <c r="EF20" s="369"/>
      <c r="EG20" s="369"/>
      <c r="EH20" s="369"/>
      <c r="EI20" s="369"/>
      <c r="EJ20" s="369"/>
      <c r="EK20" s="369"/>
      <c r="EL20" s="369"/>
      <c r="EM20" s="369"/>
      <c r="EN20" s="369"/>
      <c r="EO20" s="369"/>
      <c r="EP20" s="369"/>
      <c r="EQ20" s="369"/>
      <c r="ER20" s="369"/>
      <c r="ES20" s="369"/>
      <c r="ET20" s="369"/>
      <c r="EU20" s="369"/>
      <c r="EV20" s="369"/>
      <c r="EW20" s="369"/>
      <c r="EX20" s="369"/>
      <c r="EY20" s="369"/>
      <c r="EZ20" s="369"/>
      <c r="FA20" s="369"/>
      <c r="FB20" s="369"/>
      <c r="FC20" s="369"/>
      <c r="FD20" s="369"/>
      <c r="FE20" s="369"/>
      <c r="FF20" s="369"/>
      <c r="FG20" s="369"/>
      <c r="FH20" s="369"/>
      <c r="FI20" s="369"/>
      <c r="FJ20" s="369"/>
      <c r="FK20" s="369"/>
      <c r="FL20" s="369"/>
      <c r="FM20" s="369"/>
      <c r="FN20" s="369"/>
      <c r="FO20" s="369"/>
      <c r="FP20" s="369"/>
      <c r="FQ20" s="369"/>
      <c r="FR20" s="369"/>
      <c r="FS20" s="369"/>
      <c r="FT20" s="369"/>
      <c r="FU20" s="369"/>
      <c r="FV20" s="369"/>
      <c r="FW20" s="369"/>
      <c r="FX20" s="369"/>
      <c r="FY20" s="369"/>
      <c r="FZ20" s="369"/>
      <c r="GA20" s="369"/>
      <c r="GB20" s="369"/>
      <c r="GC20" s="369"/>
    </row>
    <row r="21" spans="1:185" ht="16" thickTop="1">
      <c r="A21" s="410" t="s">
        <v>318</v>
      </c>
      <c r="B21" s="411" t="s">
        <v>320</v>
      </c>
      <c r="C21" s="422" t="s">
        <v>290</v>
      </c>
      <c r="D21" s="413">
        <v>0</v>
      </c>
      <c r="E21" s="414">
        <v>0</v>
      </c>
      <c r="F21" s="415">
        <v>0.46233333333333332</v>
      </c>
      <c r="G21" s="416">
        <v>694.5025234318673</v>
      </c>
      <c r="H21" s="417">
        <v>0</v>
      </c>
      <c r="I21" s="418">
        <v>0</v>
      </c>
      <c r="J21" s="419">
        <v>0</v>
      </c>
      <c r="K21" s="420">
        <v>0</v>
      </c>
      <c r="L21" s="421">
        <v>0</v>
      </c>
      <c r="M21" s="437">
        <v>0</v>
      </c>
      <c r="N21" s="500"/>
    </row>
    <row r="22" spans="1:185">
      <c r="A22" s="410" t="s">
        <v>318</v>
      </c>
      <c r="B22" s="411" t="s">
        <v>319</v>
      </c>
      <c r="C22" s="422" t="s">
        <v>289</v>
      </c>
      <c r="D22" s="413">
        <v>0</v>
      </c>
      <c r="E22" s="414">
        <v>0</v>
      </c>
      <c r="F22" s="415">
        <v>0</v>
      </c>
      <c r="G22" s="416">
        <v>0</v>
      </c>
      <c r="H22" s="417">
        <v>1</v>
      </c>
      <c r="I22" s="418">
        <v>807.61749999999995</v>
      </c>
      <c r="J22" s="419">
        <v>1</v>
      </c>
      <c r="K22" s="420">
        <v>905.20083333333332</v>
      </c>
      <c r="L22" s="421">
        <v>1</v>
      </c>
      <c r="M22" s="437">
        <v>1020.6641666666666</v>
      </c>
    </row>
    <row r="23" spans="1:185">
      <c r="A23" s="410" t="s">
        <v>318</v>
      </c>
      <c r="B23" s="411" t="s">
        <v>314</v>
      </c>
      <c r="C23" s="422" t="s">
        <v>289</v>
      </c>
      <c r="D23" s="413">
        <v>1.25</v>
      </c>
      <c r="E23" s="414">
        <v>775.10266666666655</v>
      </c>
      <c r="F23" s="415">
        <v>2</v>
      </c>
      <c r="G23" s="416">
        <v>849.0866666666667</v>
      </c>
      <c r="H23" s="417">
        <v>2</v>
      </c>
      <c r="I23" s="418">
        <v>906.27166666666653</v>
      </c>
      <c r="J23" s="419">
        <v>2</v>
      </c>
      <c r="K23" s="420">
        <v>915.02833333333331</v>
      </c>
      <c r="L23" s="421">
        <v>2.125</v>
      </c>
      <c r="M23" s="437">
        <v>1215.6129411764707</v>
      </c>
    </row>
    <row r="24" spans="1:185" s="382" customFormat="1" ht="16" thickBot="1">
      <c r="A24" s="410" t="s">
        <v>321</v>
      </c>
      <c r="B24" s="411" t="s">
        <v>303</v>
      </c>
      <c r="C24" s="422" t="s">
        <v>418</v>
      </c>
      <c r="D24" s="413">
        <v>2</v>
      </c>
      <c r="E24" s="414">
        <v>784.77541666666673</v>
      </c>
      <c r="F24" s="415">
        <v>2</v>
      </c>
      <c r="G24" s="416">
        <v>880.43583333333333</v>
      </c>
      <c r="H24" s="417">
        <v>2</v>
      </c>
      <c r="I24" s="418">
        <v>946.81458333333342</v>
      </c>
      <c r="J24" s="419">
        <v>2</v>
      </c>
      <c r="K24" s="420">
        <v>1167.6600000000001</v>
      </c>
      <c r="L24" s="421">
        <v>2</v>
      </c>
      <c r="M24" s="437">
        <v>1171.32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</row>
    <row r="25" spans="1:185" s="383" customFormat="1" ht="17" thickTop="1" thickBot="1">
      <c r="A25" s="410" t="s">
        <v>321</v>
      </c>
      <c r="B25" s="411" t="s">
        <v>301</v>
      </c>
      <c r="C25" s="422" t="s">
        <v>287</v>
      </c>
      <c r="D25" s="423">
        <v>0</v>
      </c>
      <c r="E25" s="424">
        <v>0</v>
      </c>
      <c r="F25" s="425">
        <v>0</v>
      </c>
      <c r="G25" s="425">
        <v>0</v>
      </c>
      <c r="H25" s="426">
        <v>0</v>
      </c>
      <c r="I25" s="427">
        <v>0</v>
      </c>
      <c r="J25" s="428">
        <v>0</v>
      </c>
      <c r="K25" s="428">
        <v>0</v>
      </c>
      <c r="L25" s="429">
        <v>9.1666666666666674E-2</v>
      </c>
      <c r="M25" s="438">
        <v>553.13636363636363</v>
      </c>
      <c r="N25" s="369"/>
      <c r="O25"/>
      <c r="P25"/>
      <c r="Q25"/>
      <c r="R25"/>
      <c r="S25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369"/>
      <c r="BN25" s="369"/>
      <c r="BO25" s="369"/>
      <c r="BP25" s="369"/>
      <c r="BQ25" s="369"/>
      <c r="BR25" s="369"/>
      <c r="BS25" s="369"/>
      <c r="BT25" s="369"/>
      <c r="BU25" s="369"/>
      <c r="BV25" s="369"/>
      <c r="BW25" s="369"/>
      <c r="BX25" s="369"/>
      <c r="BY25" s="369"/>
      <c r="BZ25" s="369"/>
      <c r="CA25" s="369"/>
      <c r="CB25" s="369"/>
      <c r="CC25" s="369"/>
      <c r="CD25" s="369"/>
      <c r="CE25" s="369"/>
      <c r="CF25" s="369"/>
      <c r="CG25" s="369"/>
      <c r="CH25" s="369"/>
      <c r="CI25" s="369"/>
      <c r="CJ25" s="369"/>
      <c r="CK25" s="369"/>
      <c r="CL25" s="369"/>
      <c r="CM25" s="369"/>
      <c r="CN25" s="369"/>
      <c r="CO25" s="369"/>
      <c r="CP25" s="369"/>
      <c r="CQ25" s="369"/>
      <c r="CR25" s="369"/>
      <c r="CS25" s="369"/>
      <c r="CT25" s="369"/>
      <c r="CU25" s="369"/>
      <c r="CV25" s="369"/>
      <c r="CW25" s="369"/>
      <c r="CX25" s="369"/>
      <c r="CY25" s="369"/>
      <c r="CZ25" s="369"/>
      <c r="DA25" s="369"/>
      <c r="DB25" s="369"/>
      <c r="DC25" s="369"/>
      <c r="DD25" s="369"/>
      <c r="DE25" s="369"/>
      <c r="DF25" s="369"/>
      <c r="DG25" s="369"/>
      <c r="DH25" s="369"/>
      <c r="DI25" s="369"/>
      <c r="DJ25" s="369"/>
      <c r="DK25" s="369"/>
      <c r="DL25" s="369"/>
      <c r="DM25" s="369"/>
      <c r="DN25" s="369"/>
      <c r="DO25" s="369"/>
      <c r="DP25" s="369"/>
      <c r="DQ25" s="369"/>
      <c r="DR25" s="369"/>
      <c r="DS25" s="369"/>
      <c r="DT25" s="369"/>
      <c r="DU25" s="369"/>
      <c r="DV25" s="369"/>
      <c r="DW25" s="369"/>
      <c r="DX25" s="369"/>
      <c r="DY25" s="369"/>
      <c r="DZ25" s="369"/>
      <c r="EA25" s="369"/>
      <c r="EB25" s="369"/>
      <c r="EC25" s="369"/>
      <c r="ED25" s="369"/>
      <c r="EE25" s="369"/>
      <c r="EF25" s="369"/>
      <c r="EG25" s="369"/>
      <c r="EH25" s="369"/>
      <c r="EI25" s="369"/>
      <c r="EJ25" s="369"/>
      <c r="EK25" s="369"/>
      <c r="EL25" s="369"/>
      <c r="EM25" s="369"/>
      <c r="EN25" s="369"/>
      <c r="EO25" s="369"/>
      <c r="EP25" s="369"/>
      <c r="EQ25" s="369"/>
      <c r="ER25" s="369"/>
      <c r="ES25" s="369"/>
      <c r="ET25" s="369"/>
      <c r="EU25" s="369"/>
      <c r="EV25" s="369"/>
      <c r="EW25" s="369"/>
      <c r="EX25" s="369"/>
      <c r="EY25" s="369"/>
      <c r="EZ25" s="369"/>
      <c r="FA25" s="369"/>
      <c r="FB25" s="369"/>
      <c r="FC25" s="369"/>
      <c r="FD25" s="369"/>
      <c r="FE25" s="369"/>
      <c r="FF25" s="369"/>
      <c r="FG25" s="369"/>
      <c r="FH25" s="369"/>
      <c r="FI25" s="369"/>
      <c r="FJ25" s="369"/>
      <c r="FK25" s="369"/>
      <c r="FL25" s="369"/>
      <c r="FM25" s="369"/>
      <c r="FN25" s="369"/>
      <c r="FO25" s="369"/>
      <c r="FP25" s="369"/>
      <c r="FQ25" s="369"/>
      <c r="FR25" s="369"/>
      <c r="FS25" s="369"/>
      <c r="FT25" s="369"/>
      <c r="FU25" s="369"/>
      <c r="FV25" s="369"/>
      <c r="FW25" s="369"/>
      <c r="FX25" s="369"/>
      <c r="FY25" s="369"/>
      <c r="FZ25" s="369"/>
      <c r="GA25" s="369"/>
      <c r="GB25" s="369"/>
      <c r="GC25" s="369"/>
    </row>
    <row r="26" spans="1:185" ht="16" thickTop="1">
      <c r="A26" s="410" t="s">
        <v>321</v>
      </c>
      <c r="B26" s="411" t="s">
        <v>305</v>
      </c>
      <c r="C26" s="422" t="s">
        <v>290</v>
      </c>
      <c r="D26" s="413">
        <v>14.866666666666667</v>
      </c>
      <c r="E26" s="414">
        <v>624.88374439461882</v>
      </c>
      <c r="F26" s="415">
        <v>15.794416666666669</v>
      </c>
      <c r="G26" s="416">
        <v>636.45977217687687</v>
      </c>
      <c r="H26" s="417">
        <v>15.145666666666665</v>
      </c>
      <c r="I26" s="418">
        <v>748.64768800757099</v>
      </c>
      <c r="J26" s="419">
        <v>11.174750000000001</v>
      </c>
      <c r="K26" s="420">
        <v>930.91471099278874</v>
      </c>
      <c r="L26" s="421">
        <v>9.8609999999999989</v>
      </c>
      <c r="M26" s="437">
        <v>963.7923807592199</v>
      </c>
      <c r="N26" s="500"/>
    </row>
    <row r="27" spans="1:185">
      <c r="A27" s="410" t="s">
        <v>321</v>
      </c>
      <c r="B27" s="411" t="s">
        <v>320</v>
      </c>
      <c r="C27" s="422" t="s">
        <v>290</v>
      </c>
      <c r="D27" s="413">
        <v>14.433333333333332</v>
      </c>
      <c r="E27" s="414">
        <v>859.10554272517322</v>
      </c>
      <c r="F27" s="415">
        <v>15.461083333333335</v>
      </c>
      <c r="G27" s="416">
        <v>828.60165038025582</v>
      </c>
      <c r="H27" s="417">
        <v>0</v>
      </c>
      <c r="I27" s="418">
        <v>0</v>
      </c>
      <c r="J27" s="419">
        <v>0</v>
      </c>
      <c r="K27" s="420">
        <v>0</v>
      </c>
      <c r="L27" s="421">
        <v>0.83333333333333337</v>
      </c>
      <c r="M27" s="437">
        <v>1053.5909999999999</v>
      </c>
      <c r="N27" s="500"/>
    </row>
    <row r="28" spans="1:185">
      <c r="A28" s="410" t="s">
        <v>321</v>
      </c>
      <c r="B28" s="411" t="s">
        <v>319</v>
      </c>
      <c r="C28" s="422" t="s">
        <v>289</v>
      </c>
      <c r="D28" s="413">
        <v>0</v>
      </c>
      <c r="E28" s="414">
        <v>0</v>
      </c>
      <c r="F28" s="415">
        <v>0</v>
      </c>
      <c r="G28" s="416">
        <v>0</v>
      </c>
      <c r="H28" s="417">
        <v>14.231416666666666</v>
      </c>
      <c r="I28" s="418">
        <v>1032.1316687844383</v>
      </c>
      <c r="J28" s="419">
        <v>18.923249999999999</v>
      </c>
      <c r="K28" s="420">
        <v>1138.5562293298808</v>
      </c>
      <c r="L28" s="421">
        <v>16.266666666666666</v>
      </c>
      <c r="M28" s="437">
        <v>1336.7576844262296</v>
      </c>
    </row>
    <row r="29" spans="1:185">
      <c r="A29" s="410" t="s">
        <v>321</v>
      </c>
      <c r="B29" s="411" t="s">
        <v>314</v>
      </c>
      <c r="C29" s="422" t="s">
        <v>289</v>
      </c>
      <c r="D29" s="413">
        <v>42.75533333333334</v>
      </c>
      <c r="E29" s="414">
        <v>1014.0396714639887</v>
      </c>
      <c r="F29" s="415">
        <v>39.093000000000004</v>
      </c>
      <c r="G29" s="416">
        <v>1056.4230169083978</v>
      </c>
      <c r="H29" s="417">
        <v>42.363750000000003</v>
      </c>
      <c r="I29" s="418">
        <v>1266.1600621600624</v>
      </c>
      <c r="J29" s="419">
        <v>42.014500000000005</v>
      </c>
      <c r="K29" s="420">
        <v>1429.1442438523204</v>
      </c>
      <c r="L29" s="421">
        <v>41.663166666666669</v>
      </c>
      <c r="M29" s="437">
        <v>1635.5504062341231</v>
      </c>
    </row>
    <row r="30" spans="1:185">
      <c r="A30" s="410" t="s">
        <v>322</v>
      </c>
      <c r="B30" s="411" t="s">
        <v>301</v>
      </c>
      <c r="C30" s="422" t="s">
        <v>287</v>
      </c>
      <c r="D30" s="413">
        <v>4.3999999999999995</v>
      </c>
      <c r="E30" s="414">
        <v>2617.5477272727276</v>
      </c>
      <c r="F30" s="415">
        <v>3.0397499999999997</v>
      </c>
      <c r="G30" s="416">
        <v>2132.4908846670505</v>
      </c>
      <c r="H30" s="417">
        <v>0</v>
      </c>
      <c r="I30" s="418">
        <v>0</v>
      </c>
      <c r="J30" s="419">
        <v>0</v>
      </c>
      <c r="K30" s="420">
        <v>0</v>
      </c>
      <c r="L30" s="421">
        <v>0</v>
      </c>
      <c r="M30" s="437">
        <v>0</v>
      </c>
    </row>
    <row r="31" spans="1:185" s="382" customFormat="1" ht="16" thickBot="1">
      <c r="A31" s="410" t="s">
        <v>322</v>
      </c>
      <c r="B31" s="411" t="s">
        <v>305</v>
      </c>
      <c r="C31" s="422" t="s">
        <v>290</v>
      </c>
      <c r="D31" s="413">
        <v>3.5</v>
      </c>
      <c r="E31" s="414">
        <v>988.17976190476202</v>
      </c>
      <c r="F31" s="415">
        <v>3.5</v>
      </c>
      <c r="G31" s="416">
        <v>999.31499999999994</v>
      </c>
      <c r="H31" s="417">
        <v>0</v>
      </c>
      <c r="I31" s="418">
        <v>0</v>
      </c>
      <c r="J31" s="419">
        <v>0</v>
      </c>
      <c r="K31" s="420">
        <v>0</v>
      </c>
      <c r="L31" s="421">
        <v>0</v>
      </c>
      <c r="M31" s="437">
        <v>0</v>
      </c>
      <c r="N31" s="500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</row>
    <row r="32" spans="1:185" s="383" customFormat="1" ht="17" thickTop="1" thickBot="1">
      <c r="A32" s="410" t="s">
        <v>322</v>
      </c>
      <c r="B32" s="411" t="s">
        <v>320</v>
      </c>
      <c r="C32" s="422" t="s">
        <v>290</v>
      </c>
      <c r="D32" s="423">
        <v>1</v>
      </c>
      <c r="E32" s="424">
        <v>888.01583333333338</v>
      </c>
      <c r="F32" s="425">
        <v>1</v>
      </c>
      <c r="G32" s="425">
        <v>1013.8674999999999</v>
      </c>
      <c r="H32" s="426">
        <v>0</v>
      </c>
      <c r="I32" s="427">
        <v>0</v>
      </c>
      <c r="J32" s="428">
        <v>0</v>
      </c>
      <c r="K32" s="428">
        <v>0</v>
      </c>
      <c r="L32" s="429">
        <v>0</v>
      </c>
      <c r="M32" s="438">
        <v>0</v>
      </c>
      <c r="N32" s="500"/>
      <c r="O32"/>
      <c r="P32"/>
      <c r="Q32"/>
      <c r="R32"/>
      <c r="S32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  <c r="BM32" s="369"/>
      <c r="BN32" s="369"/>
      <c r="BO32" s="369"/>
      <c r="BP32" s="369"/>
      <c r="BQ32" s="369"/>
      <c r="BR32" s="369"/>
      <c r="BS32" s="369"/>
      <c r="BT32" s="369"/>
      <c r="BU32" s="369"/>
      <c r="BV32" s="369"/>
      <c r="BW32" s="369"/>
      <c r="BX32" s="369"/>
      <c r="BY32" s="369"/>
      <c r="BZ32" s="369"/>
      <c r="CA32" s="369"/>
      <c r="CB32" s="369"/>
      <c r="CC32" s="369"/>
      <c r="CD32" s="369"/>
      <c r="CE32" s="369"/>
      <c r="CF32" s="369"/>
      <c r="CG32" s="369"/>
      <c r="CH32" s="369"/>
      <c r="CI32" s="369"/>
      <c r="CJ32" s="369"/>
      <c r="CK32" s="369"/>
      <c r="CL32" s="369"/>
      <c r="CM32" s="369"/>
      <c r="CN32" s="369"/>
      <c r="CO32" s="369"/>
      <c r="CP32" s="369"/>
      <c r="CQ32" s="369"/>
      <c r="CR32" s="369"/>
      <c r="CS32" s="369"/>
      <c r="CT32" s="369"/>
      <c r="CU32" s="369"/>
      <c r="CV32" s="369"/>
      <c r="CW32" s="369"/>
      <c r="CX32" s="369"/>
      <c r="CY32" s="369"/>
      <c r="CZ32" s="369"/>
      <c r="DA32" s="369"/>
      <c r="DB32" s="369"/>
      <c r="DC32" s="369"/>
      <c r="DD32" s="369"/>
      <c r="DE32" s="369"/>
      <c r="DF32" s="369"/>
      <c r="DG32" s="369"/>
      <c r="DH32" s="369"/>
      <c r="DI32" s="369"/>
      <c r="DJ32" s="369"/>
      <c r="DK32" s="369"/>
      <c r="DL32" s="369"/>
      <c r="DM32" s="369"/>
      <c r="DN32" s="369"/>
      <c r="DO32" s="369"/>
      <c r="DP32" s="369"/>
      <c r="DQ32" s="369"/>
      <c r="DR32" s="369"/>
      <c r="DS32" s="369"/>
      <c r="DT32" s="369"/>
      <c r="DU32" s="369"/>
      <c r="DV32" s="369"/>
      <c r="DW32" s="369"/>
      <c r="DX32" s="369"/>
      <c r="DY32" s="369"/>
      <c r="DZ32" s="369"/>
      <c r="EA32" s="369"/>
      <c r="EB32" s="369"/>
      <c r="EC32" s="369"/>
      <c r="ED32" s="369"/>
      <c r="EE32" s="369"/>
      <c r="EF32" s="369"/>
      <c r="EG32" s="369"/>
      <c r="EH32" s="369"/>
      <c r="EI32" s="369"/>
      <c r="EJ32" s="369"/>
      <c r="EK32" s="369"/>
      <c r="EL32" s="369"/>
      <c r="EM32" s="369"/>
      <c r="EN32" s="369"/>
      <c r="EO32" s="369"/>
      <c r="EP32" s="369"/>
      <c r="EQ32" s="369"/>
      <c r="ER32" s="369"/>
      <c r="ES32" s="369"/>
      <c r="ET32" s="369"/>
      <c r="EU32" s="369"/>
      <c r="EV32" s="369"/>
      <c r="EW32" s="369"/>
      <c r="EX32" s="369"/>
      <c r="EY32" s="369"/>
      <c r="EZ32" s="369"/>
      <c r="FA32" s="369"/>
      <c r="FB32" s="369"/>
      <c r="FC32" s="369"/>
      <c r="FD32" s="369"/>
      <c r="FE32" s="369"/>
      <c r="FF32" s="369"/>
      <c r="FG32" s="369"/>
      <c r="FH32" s="369"/>
      <c r="FI32" s="369"/>
      <c r="FJ32" s="369"/>
      <c r="FK32" s="369"/>
      <c r="FL32" s="369"/>
      <c r="FM32" s="369"/>
      <c r="FN32" s="369"/>
      <c r="FO32" s="369"/>
      <c r="FP32" s="369"/>
      <c r="FQ32" s="369"/>
      <c r="FR32" s="369"/>
      <c r="FS32" s="369"/>
      <c r="FT32" s="369"/>
      <c r="FU32" s="369"/>
      <c r="FV32" s="369"/>
      <c r="FW32" s="369"/>
      <c r="FX32" s="369"/>
      <c r="FY32" s="369"/>
      <c r="FZ32" s="369"/>
      <c r="GA32" s="369"/>
      <c r="GB32" s="369"/>
      <c r="GC32" s="369"/>
    </row>
    <row r="33" spans="1:185" ht="16" thickTop="1">
      <c r="A33" s="410" t="s">
        <v>322</v>
      </c>
      <c r="B33" s="411" t="s">
        <v>314</v>
      </c>
      <c r="C33" s="422" t="s">
        <v>289</v>
      </c>
      <c r="D33" s="413">
        <v>14.333333333333334</v>
      </c>
      <c r="E33" s="414">
        <v>1104.2766279069767</v>
      </c>
      <c r="F33" s="415">
        <v>12.25</v>
      </c>
      <c r="G33" s="416">
        <v>1155.9268707482993</v>
      </c>
      <c r="H33" s="417">
        <v>0</v>
      </c>
      <c r="I33" s="418">
        <v>0</v>
      </c>
      <c r="J33" s="419">
        <v>0</v>
      </c>
      <c r="K33" s="420">
        <v>0</v>
      </c>
      <c r="L33" s="421">
        <v>0</v>
      </c>
      <c r="M33" s="437">
        <v>0</v>
      </c>
    </row>
    <row r="34" spans="1:185">
      <c r="A34" s="410" t="s">
        <v>323</v>
      </c>
      <c r="B34" s="411" t="s">
        <v>324</v>
      </c>
      <c r="C34" s="422" t="s">
        <v>418</v>
      </c>
      <c r="D34" s="413">
        <v>0</v>
      </c>
      <c r="E34" s="414">
        <v>0</v>
      </c>
      <c r="F34" s="415">
        <v>0</v>
      </c>
      <c r="G34" s="416">
        <v>0</v>
      </c>
      <c r="H34" s="417">
        <v>0</v>
      </c>
      <c r="I34" s="418">
        <v>0</v>
      </c>
      <c r="J34" s="419">
        <v>0</v>
      </c>
      <c r="K34" s="420">
        <v>0</v>
      </c>
      <c r="L34" s="421">
        <v>3</v>
      </c>
      <c r="M34" s="437">
        <v>1264.1658333333332</v>
      </c>
    </row>
    <row r="35" spans="1:185">
      <c r="A35" s="410" t="s">
        <v>323</v>
      </c>
      <c r="B35" s="411" t="s">
        <v>325</v>
      </c>
      <c r="C35" s="422" t="s">
        <v>418</v>
      </c>
      <c r="D35" s="413">
        <v>0</v>
      </c>
      <c r="E35" s="414">
        <v>0</v>
      </c>
      <c r="F35" s="415">
        <v>0</v>
      </c>
      <c r="G35" s="416">
        <v>0</v>
      </c>
      <c r="H35" s="417">
        <v>0</v>
      </c>
      <c r="I35" s="418">
        <v>0</v>
      </c>
      <c r="J35" s="419">
        <v>0</v>
      </c>
      <c r="K35" s="420">
        <v>0</v>
      </c>
      <c r="L35" s="421">
        <v>1</v>
      </c>
      <c r="M35" s="437">
        <v>1142.875</v>
      </c>
    </row>
    <row r="36" spans="1:185" s="382" customFormat="1" ht="16" thickBot="1">
      <c r="A36" s="410" t="s">
        <v>323</v>
      </c>
      <c r="B36" s="411" t="s">
        <v>301</v>
      </c>
      <c r="C36" s="422" t="s">
        <v>287</v>
      </c>
      <c r="D36" s="413">
        <v>9.2903333333333329</v>
      </c>
      <c r="E36" s="414">
        <v>2506.0399698611459</v>
      </c>
      <c r="F36" s="415">
        <v>10.183333333333335</v>
      </c>
      <c r="G36" s="416">
        <v>2374.6058919803595</v>
      </c>
      <c r="H36" s="417">
        <v>10.789416666666668</v>
      </c>
      <c r="I36" s="418">
        <v>2718.5650290021854</v>
      </c>
      <c r="J36" s="419">
        <v>13.16366666666667</v>
      </c>
      <c r="K36" s="420">
        <v>2631.365121166848</v>
      </c>
      <c r="L36" s="421">
        <v>17.97066666666667</v>
      </c>
      <c r="M36" s="437">
        <v>2613.4468671167824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</row>
    <row r="37" spans="1:185" ht="16" thickTop="1">
      <c r="A37" s="410" t="s">
        <v>323</v>
      </c>
      <c r="B37" s="411" t="s">
        <v>305</v>
      </c>
      <c r="C37" s="422" t="s">
        <v>290</v>
      </c>
      <c r="D37" s="413">
        <v>1</v>
      </c>
      <c r="E37" s="414">
        <v>705.07499999999993</v>
      </c>
      <c r="F37" s="415">
        <v>1</v>
      </c>
      <c r="G37" s="416">
        <v>772.28000000000009</v>
      </c>
      <c r="H37" s="417">
        <v>1</v>
      </c>
      <c r="I37" s="418">
        <v>828.28499999999997</v>
      </c>
      <c r="J37" s="419">
        <v>1</v>
      </c>
      <c r="K37" s="420">
        <v>925.69916666666666</v>
      </c>
      <c r="L37" s="421">
        <v>2</v>
      </c>
      <c r="M37" s="437">
        <v>858.44124999999997</v>
      </c>
      <c r="N37" s="500"/>
    </row>
    <row r="38" spans="1:185">
      <c r="A38" s="410" t="s">
        <v>323</v>
      </c>
      <c r="B38" s="411" t="s">
        <v>320</v>
      </c>
      <c r="C38" s="422" t="s">
        <v>290</v>
      </c>
      <c r="D38" s="413">
        <v>2</v>
      </c>
      <c r="E38" s="414">
        <v>850.09875000000011</v>
      </c>
      <c r="F38" s="415">
        <v>2</v>
      </c>
      <c r="G38" s="416">
        <v>845.73500000000001</v>
      </c>
      <c r="H38" s="417">
        <v>0</v>
      </c>
      <c r="I38" s="418">
        <v>0</v>
      </c>
      <c r="J38" s="419">
        <v>0</v>
      </c>
      <c r="K38" s="420">
        <v>0</v>
      </c>
      <c r="L38" s="421">
        <v>0</v>
      </c>
      <c r="M38" s="437">
        <v>0</v>
      </c>
      <c r="N38" s="500"/>
    </row>
    <row r="39" spans="1:185">
      <c r="A39" s="410" t="s">
        <v>323</v>
      </c>
      <c r="B39" s="411" t="s">
        <v>315</v>
      </c>
      <c r="C39" s="422" t="s">
        <v>293</v>
      </c>
      <c r="D39" s="413">
        <v>1</v>
      </c>
      <c r="E39" s="414">
        <v>867.41499999999996</v>
      </c>
      <c r="F39" s="415">
        <v>1</v>
      </c>
      <c r="G39" s="416">
        <v>872.94166666666661</v>
      </c>
      <c r="H39" s="417">
        <v>1</v>
      </c>
      <c r="I39" s="418">
        <v>929.5625</v>
      </c>
      <c r="J39" s="419">
        <v>1</v>
      </c>
      <c r="K39" s="420">
        <v>1038.7208333333333</v>
      </c>
      <c r="L39" s="421">
        <v>1</v>
      </c>
      <c r="M39" s="437">
        <v>1264.1658333333332</v>
      </c>
    </row>
    <row r="40" spans="1:185">
      <c r="A40" s="410" t="s">
        <v>323</v>
      </c>
      <c r="B40" s="411" t="s">
        <v>319</v>
      </c>
      <c r="C40" s="422" t="s">
        <v>289</v>
      </c>
      <c r="D40" s="413">
        <v>0</v>
      </c>
      <c r="E40" s="414">
        <v>0</v>
      </c>
      <c r="F40" s="415">
        <v>0</v>
      </c>
      <c r="G40" s="416">
        <v>0</v>
      </c>
      <c r="H40" s="417">
        <v>2</v>
      </c>
      <c r="I40" s="418">
        <v>947.95916666666665</v>
      </c>
      <c r="J40" s="419">
        <v>2.1774166666666663</v>
      </c>
      <c r="K40" s="420">
        <v>991.74595277278127</v>
      </c>
      <c r="L40" s="421">
        <v>6</v>
      </c>
      <c r="M40" s="437">
        <v>1315.742777777778</v>
      </c>
    </row>
    <row r="41" spans="1:185">
      <c r="A41" s="410" t="s">
        <v>323</v>
      </c>
      <c r="B41" s="411" t="s">
        <v>314</v>
      </c>
      <c r="C41" s="422" t="s">
        <v>289</v>
      </c>
      <c r="D41" s="413">
        <v>17</v>
      </c>
      <c r="E41" s="414">
        <v>974.90122549019611</v>
      </c>
      <c r="F41" s="415">
        <v>16.816666666666666</v>
      </c>
      <c r="G41" s="416">
        <v>1023.653567888999</v>
      </c>
      <c r="H41" s="417">
        <v>16</v>
      </c>
      <c r="I41" s="418">
        <v>1098.3381770833334</v>
      </c>
      <c r="J41" s="419">
        <v>15.271499999999998</v>
      </c>
      <c r="K41" s="420">
        <v>1182.3654628993006</v>
      </c>
      <c r="L41" s="421">
        <v>23.193333333333332</v>
      </c>
      <c r="M41" s="437">
        <v>1440.4595070422533</v>
      </c>
    </row>
    <row r="42" spans="1:185">
      <c r="A42" s="410" t="s">
        <v>326</v>
      </c>
      <c r="B42" s="411" t="s">
        <v>303</v>
      </c>
      <c r="C42" s="422" t="s">
        <v>418</v>
      </c>
      <c r="D42" s="413">
        <v>1.5241666666666667</v>
      </c>
      <c r="E42" s="414">
        <v>528.5795516675779</v>
      </c>
      <c r="F42" s="415">
        <v>1</v>
      </c>
      <c r="G42" s="416">
        <v>315.78833333333336</v>
      </c>
      <c r="H42" s="417">
        <v>1</v>
      </c>
      <c r="I42" s="418">
        <v>222.17250000000001</v>
      </c>
      <c r="J42" s="419">
        <v>0.17208333333333334</v>
      </c>
      <c r="K42" s="420">
        <v>2213.5351089588376</v>
      </c>
      <c r="L42" s="421">
        <v>1</v>
      </c>
      <c r="M42" s="437">
        <v>1217.0908333333334</v>
      </c>
    </row>
    <row r="43" spans="1:185">
      <c r="A43" s="410" t="s">
        <v>326</v>
      </c>
      <c r="B43" s="411" t="s">
        <v>301</v>
      </c>
      <c r="C43" s="422" t="s">
        <v>287</v>
      </c>
      <c r="D43" s="413">
        <v>16.648916666666672</v>
      </c>
      <c r="E43" s="414">
        <v>3138.8975258650444</v>
      </c>
      <c r="F43" s="415">
        <v>16.106916666666667</v>
      </c>
      <c r="G43" s="416">
        <v>3165.0661982688598</v>
      </c>
      <c r="H43" s="417">
        <v>16.766000000000002</v>
      </c>
      <c r="I43" s="418">
        <v>3043.7887192333692</v>
      </c>
      <c r="J43" s="419">
        <v>15.817750000000002</v>
      </c>
      <c r="K43" s="420">
        <v>3507.6426272173139</v>
      </c>
      <c r="L43" s="421">
        <v>17.102666666666668</v>
      </c>
      <c r="M43" s="437">
        <v>3655.4567513837997</v>
      </c>
    </row>
    <row r="44" spans="1:185" s="382" customFormat="1" ht="16" thickBot="1">
      <c r="A44" s="410" t="s">
        <v>326</v>
      </c>
      <c r="B44" s="411" t="s">
        <v>305</v>
      </c>
      <c r="C44" s="422" t="s">
        <v>290</v>
      </c>
      <c r="D44" s="413">
        <v>12.369416666666666</v>
      </c>
      <c r="E44" s="414">
        <v>786.5095362891002</v>
      </c>
      <c r="F44" s="415">
        <v>14</v>
      </c>
      <c r="G44" s="416">
        <v>793.55255952380946</v>
      </c>
      <c r="H44" s="417">
        <v>13</v>
      </c>
      <c r="I44" s="418">
        <v>894.27967948717946</v>
      </c>
      <c r="J44" s="419">
        <v>11.716666666666667</v>
      </c>
      <c r="K44" s="420">
        <v>1020.7963015647226</v>
      </c>
      <c r="L44" s="421">
        <v>12</v>
      </c>
      <c r="M44" s="437">
        <v>974.47611111111109</v>
      </c>
      <c r="N44" s="500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</row>
    <row r="45" spans="1:185" ht="16" thickTop="1">
      <c r="A45" s="410" t="s">
        <v>326</v>
      </c>
      <c r="B45" s="411" t="s">
        <v>320</v>
      </c>
      <c r="C45" s="422" t="s">
        <v>290</v>
      </c>
      <c r="D45" s="413">
        <v>5.5610833333333334</v>
      </c>
      <c r="E45" s="414">
        <v>842.10795258717565</v>
      </c>
      <c r="F45" s="415">
        <v>4</v>
      </c>
      <c r="G45" s="416">
        <v>944.05479166666657</v>
      </c>
      <c r="H45" s="417">
        <v>0</v>
      </c>
      <c r="I45" s="418">
        <v>0</v>
      </c>
      <c r="J45" s="419">
        <v>0</v>
      </c>
      <c r="K45" s="420">
        <v>0</v>
      </c>
      <c r="L45" s="421">
        <v>0</v>
      </c>
      <c r="M45" s="437">
        <v>0</v>
      </c>
      <c r="N45" s="500"/>
    </row>
    <row r="46" spans="1:185">
      <c r="A46" s="410" t="s">
        <v>326</v>
      </c>
      <c r="B46" s="411" t="s">
        <v>315</v>
      </c>
      <c r="C46" s="422" t="s">
        <v>293</v>
      </c>
      <c r="D46" s="413">
        <v>2</v>
      </c>
      <c r="E46" s="414">
        <v>720.67124999999999</v>
      </c>
      <c r="F46" s="415">
        <v>3</v>
      </c>
      <c r="G46" s="416">
        <v>737.27138888888896</v>
      </c>
      <c r="H46" s="417">
        <v>3</v>
      </c>
      <c r="I46" s="418">
        <v>752.63972222222219</v>
      </c>
      <c r="J46" s="419">
        <v>3</v>
      </c>
      <c r="K46" s="420">
        <v>810.77833333333319</v>
      </c>
      <c r="L46" s="421">
        <v>3</v>
      </c>
      <c r="M46" s="437">
        <v>871.88388888888892</v>
      </c>
    </row>
    <row r="47" spans="1:185">
      <c r="A47" s="410" t="s">
        <v>326</v>
      </c>
      <c r="B47" s="411" t="s">
        <v>327</v>
      </c>
      <c r="C47" s="422" t="s">
        <v>289</v>
      </c>
      <c r="D47" s="413">
        <v>46.8855</v>
      </c>
      <c r="E47" s="414">
        <v>1139.6566991216189</v>
      </c>
      <c r="F47" s="415">
        <v>45.077666666666666</v>
      </c>
      <c r="G47" s="416">
        <v>1147.2566792129137</v>
      </c>
      <c r="H47" s="417">
        <v>46.345000000000006</v>
      </c>
      <c r="I47" s="418">
        <v>1284.8685043334408</v>
      </c>
      <c r="J47" s="419">
        <v>45.21608333333333</v>
      </c>
      <c r="K47" s="420">
        <v>1398.6540187580752</v>
      </c>
      <c r="L47" s="421">
        <v>47.101083333333342</v>
      </c>
      <c r="M47" s="437">
        <v>1681.735381174884</v>
      </c>
    </row>
    <row r="48" spans="1:185">
      <c r="A48" s="410" t="s">
        <v>326</v>
      </c>
      <c r="B48" s="411" t="s">
        <v>319</v>
      </c>
      <c r="C48" s="422" t="s">
        <v>289</v>
      </c>
      <c r="D48" s="413">
        <v>0</v>
      </c>
      <c r="E48" s="414">
        <v>0</v>
      </c>
      <c r="F48" s="415">
        <v>0</v>
      </c>
      <c r="G48" s="416">
        <v>0</v>
      </c>
      <c r="H48" s="417">
        <v>5</v>
      </c>
      <c r="I48" s="418">
        <v>1024.3253333333332</v>
      </c>
      <c r="J48" s="419">
        <v>6.3064166666666663</v>
      </c>
      <c r="K48" s="420">
        <v>1057.2255771238288</v>
      </c>
      <c r="L48" s="421">
        <v>9</v>
      </c>
      <c r="M48" s="437">
        <v>1202.1409259259258</v>
      </c>
    </row>
    <row r="49" spans="1:185">
      <c r="A49" s="410" t="s">
        <v>326</v>
      </c>
      <c r="B49" s="411" t="s">
        <v>314</v>
      </c>
      <c r="C49" s="422" t="s">
        <v>289</v>
      </c>
      <c r="D49" s="413">
        <v>12</v>
      </c>
      <c r="E49" s="414">
        <v>1094.6749305555554</v>
      </c>
      <c r="F49" s="415">
        <v>12.5</v>
      </c>
      <c r="G49" s="416">
        <v>1180.5367333333334</v>
      </c>
      <c r="H49" s="417">
        <v>11.962333333333333</v>
      </c>
      <c r="I49" s="418">
        <v>1340.6797029565025</v>
      </c>
      <c r="J49" s="419">
        <v>10.784916666666666</v>
      </c>
      <c r="K49" s="420">
        <v>1453.218074625828</v>
      </c>
      <c r="L49" s="421">
        <v>8.3029166666666665</v>
      </c>
      <c r="M49" s="437">
        <v>1593.99789230692</v>
      </c>
    </row>
    <row r="50" spans="1:185">
      <c r="A50" s="410" t="s">
        <v>328</v>
      </c>
      <c r="B50" s="411" t="s">
        <v>301</v>
      </c>
      <c r="C50" s="422" t="s">
        <v>287</v>
      </c>
      <c r="D50" s="413">
        <v>17.113250000000001</v>
      </c>
      <c r="E50" s="414">
        <v>3194.0273861871151</v>
      </c>
      <c r="F50" s="415">
        <v>14.616666666666667</v>
      </c>
      <c r="G50" s="416">
        <v>3729.7936716077534</v>
      </c>
      <c r="H50" s="417">
        <v>15.219750000000005</v>
      </c>
      <c r="I50" s="418">
        <v>3589.1164988474393</v>
      </c>
      <c r="J50" s="419">
        <v>16.243916666666667</v>
      </c>
      <c r="K50" s="420">
        <v>3580.8123040933274</v>
      </c>
      <c r="L50" s="421">
        <v>11.093833333333334</v>
      </c>
      <c r="M50" s="437">
        <v>4752.3153253308901</v>
      </c>
    </row>
    <row r="51" spans="1:185">
      <c r="A51" s="410" t="s">
        <v>328</v>
      </c>
      <c r="B51" s="430" t="s">
        <v>329</v>
      </c>
      <c r="C51" s="431" t="s">
        <v>287</v>
      </c>
      <c r="D51" s="413">
        <v>0</v>
      </c>
      <c r="E51" s="414">
        <v>0</v>
      </c>
      <c r="F51" s="415">
        <v>0</v>
      </c>
      <c r="G51" s="416">
        <v>0</v>
      </c>
      <c r="H51" s="417">
        <v>0</v>
      </c>
      <c r="I51" s="418">
        <v>0</v>
      </c>
      <c r="J51" s="419">
        <v>0</v>
      </c>
      <c r="K51" s="420">
        <v>0</v>
      </c>
      <c r="L51" s="421">
        <v>0.25</v>
      </c>
      <c r="M51" s="437">
        <v>2568.12</v>
      </c>
    </row>
    <row r="52" spans="1:185" s="382" customFormat="1" ht="16" thickBot="1">
      <c r="A52" s="410" t="s">
        <v>328</v>
      </c>
      <c r="B52" s="411" t="s">
        <v>303</v>
      </c>
      <c r="C52" s="422" t="s">
        <v>290</v>
      </c>
      <c r="D52" s="413">
        <v>1</v>
      </c>
      <c r="E52" s="414">
        <v>591.57249999999999</v>
      </c>
      <c r="F52" s="415">
        <v>1</v>
      </c>
      <c r="G52" s="416">
        <v>837.40916666666669</v>
      </c>
      <c r="H52" s="417">
        <v>1</v>
      </c>
      <c r="I52" s="418">
        <v>836.82916666666677</v>
      </c>
      <c r="J52" s="419">
        <v>1</v>
      </c>
      <c r="K52" s="420">
        <v>686.17500000000007</v>
      </c>
      <c r="L52" s="421">
        <v>1</v>
      </c>
      <c r="M52" s="437">
        <v>823.46999999999991</v>
      </c>
      <c r="N52" s="500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</row>
    <row r="53" spans="1:185" ht="16" thickTop="1">
      <c r="A53" s="410" t="s">
        <v>328</v>
      </c>
      <c r="B53" s="411" t="s">
        <v>305</v>
      </c>
      <c r="C53" s="422" t="s">
        <v>290</v>
      </c>
      <c r="D53" s="413">
        <v>10.138916666666667</v>
      </c>
      <c r="E53" s="414">
        <v>701.51240681532386</v>
      </c>
      <c r="F53" s="415">
        <v>11.336083333333335</v>
      </c>
      <c r="G53" s="416">
        <v>704.73010225459996</v>
      </c>
      <c r="H53" s="417">
        <v>10.879</v>
      </c>
      <c r="I53" s="418">
        <v>825.16216257621704</v>
      </c>
      <c r="J53" s="419">
        <v>11.333333333333334</v>
      </c>
      <c r="K53" s="420">
        <v>972.5837499999999</v>
      </c>
      <c r="L53" s="421">
        <v>12</v>
      </c>
      <c r="M53" s="437">
        <v>1656.6447222222223</v>
      </c>
      <c r="N53" s="500"/>
    </row>
    <row r="54" spans="1:185">
      <c r="A54" s="410" t="s">
        <v>328</v>
      </c>
      <c r="B54" s="411" t="s">
        <v>320</v>
      </c>
      <c r="C54" s="422" t="s">
        <v>290</v>
      </c>
      <c r="D54" s="413">
        <v>7</v>
      </c>
      <c r="E54" s="414">
        <v>852.27226190476199</v>
      </c>
      <c r="F54" s="415">
        <v>7.416666666666667</v>
      </c>
      <c r="G54" s="416">
        <v>859.58674157303358</v>
      </c>
      <c r="H54" s="417">
        <v>0</v>
      </c>
      <c r="I54" s="418">
        <v>0</v>
      </c>
      <c r="J54" s="419">
        <v>0</v>
      </c>
      <c r="K54" s="420">
        <v>0</v>
      </c>
      <c r="L54" s="421">
        <v>0</v>
      </c>
      <c r="M54" s="437">
        <v>0</v>
      </c>
      <c r="N54" s="500"/>
    </row>
    <row r="55" spans="1:185">
      <c r="A55" s="410" t="s">
        <v>328</v>
      </c>
      <c r="B55" s="411" t="s">
        <v>311</v>
      </c>
      <c r="C55" s="422" t="s">
        <v>293</v>
      </c>
      <c r="D55" s="413">
        <v>1.8790000000000002</v>
      </c>
      <c r="E55" s="414">
        <v>531.67509313464609</v>
      </c>
      <c r="F55" s="415">
        <v>1.9166666666666667</v>
      </c>
      <c r="G55" s="416">
        <v>562.05695652173915</v>
      </c>
      <c r="H55" s="417">
        <v>2</v>
      </c>
      <c r="I55" s="418">
        <v>597.26333333333332</v>
      </c>
      <c r="J55" s="419">
        <v>2</v>
      </c>
      <c r="K55" s="420">
        <v>651.47458333333327</v>
      </c>
      <c r="L55" s="421">
        <v>2</v>
      </c>
      <c r="M55" s="437">
        <v>1302.8245833333333</v>
      </c>
    </row>
    <row r="56" spans="1:185">
      <c r="A56" s="410" t="s">
        <v>328</v>
      </c>
      <c r="B56" s="411" t="s">
        <v>315</v>
      </c>
      <c r="C56" s="422" t="s">
        <v>293</v>
      </c>
      <c r="D56" s="413">
        <v>3</v>
      </c>
      <c r="E56" s="414">
        <v>815.3516666666668</v>
      </c>
      <c r="F56" s="415">
        <v>3</v>
      </c>
      <c r="G56" s="416">
        <v>855.34083333333331</v>
      </c>
      <c r="H56" s="417">
        <v>3</v>
      </c>
      <c r="I56" s="418">
        <v>919.48944444444453</v>
      </c>
      <c r="J56" s="419">
        <v>3</v>
      </c>
      <c r="K56" s="420">
        <v>1008.4341666666668</v>
      </c>
      <c r="L56" s="421">
        <v>2</v>
      </c>
      <c r="M56" s="437">
        <v>1684.9712499999998</v>
      </c>
    </row>
    <row r="57" spans="1:185">
      <c r="A57" s="410" t="s">
        <v>328</v>
      </c>
      <c r="B57" s="411" t="s">
        <v>327</v>
      </c>
      <c r="C57" s="422" t="s">
        <v>289</v>
      </c>
      <c r="D57" s="413">
        <v>37.008333333333333</v>
      </c>
      <c r="E57" s="414">
        <v>1087.8077685206033</v>
      </c>
      <c r="F57" s="415">
        <v>38.223083333333335</v>
      </c>
      <c r="G57" s="416">
        <v>1130.2560843469366</v>
      </c>
      <c r="H57" s="417">
        <v>38.070666666666668</v>
      </c>
      <c r="I57" s="418">
        <v>1230.2398609603194</v>
      </c>
      <c r="J57" s="419">
        <v>36.58891666666667</v>
      </c>
      <c r="K57" s="420">
        <v>1353.9953811149553</v>
      </c>
      <c r="L57" s="421">
        <v>36.254250000000006</v>
      </c>
      <c r="M57" s="437">
        <v>1995.3250538442619</v>
      </c>
    </row>
    <row r="58" spans="1:185">
      <c r="A58" s="410" t="s">
        <v>328</v>
      </c>
      <c r="B58" s="411" t="s">
        <v>319</v>
      </c>
      <c r="C58" s="422" t="s">
        <v>289</v>
      </c>
      <c r="D58" s="413">
        <v>0</v>
      </c>
      <c r="E58" s="414">
        <v>0</v>
      </c>
      <c r="F58" s="415">
        <v>0</v>
      </c>
      <c r="G58" s="416">
        <v>0</v>
      </c>
      <c r="H58" s="417">
        <v>7.083333333333333</v>
      </c>
      <c r="I58" s="418">
        <v>968.20858823529409</v>
      </c>
      <c r="J58" s="419">
        <v>7</v>
      </c>
      <c r="K58" s="420">
        <v>787.22238095238106</v>
      </c>
      <c r="L58" s="421">
        <v>7</v>
      </c>
      <c r="M58" s="437">
        <v>1526.2822619047618</v>
      </c>
    </row>
    <row r="59" spans="1:185">
      <c r="A59" s="410" t="s">
        <v>328</v>
      </c>
      <c r="B59" s="411" t="s">
        <v>314</v>
      </c>
      <c r="C59" s="422" t="s">
        <v>289</v>
      </c>
      <c r="D59" s="413">
        <v>14</v>
      </c>
      <c r="E59" s="414">
        <v>1100.9263095238096</v>
      </c>
      <c r="F59" s="415">
        <v>13.561833333333334</v>
      </c>
      <c r="G59" s="416">
        <v>1153.9671381696178</v>
      </c>
      <c r="H59" s="417">
        <v>12.672666666666666</v>
      </c>
      <c r="I59" s="418">
        <v>1387.4861907517491</v>
      </c>
      <c r="J59" s="419">
        <v>12.799999999999999</v>
      </c>
      <c r="K59" s="420">
        <v>1445.7851562499998</v>
      </c>
      <c r="L59" s="421">
        <v>11.437666666666667</v>
      </c>
      <c r="M59" s="437">
        <v>2120.9672718794623</v>
      </c>
    </row>
    <row r="60" spans="1:185">
      <c r="A60" s="410" t="s">
        <v>330</v>
      </c>
      <c r="B60" s="411" t="s">
        <v>301</v>
      </c>
      <c r="C60" s="422" t="s">
        <v>287</v>
      </c>
      <c r="D60" s="413">
        <v>20.053166666666669</v>
      </c>
      <c r="E60" s="414">
        <v>3500.2022540080952</v>
      </c>
      <c r="F60" s="415">
        <v>19.465166666666665</v>
      </c>
      <c r="G60" s="416">
        <v>3698.9632762798515</v>
      </c>
      <c r="H60" s="417">
        <v>22.012499999999999</v>
      </c>
      <c r="I60" s="418">
        <v>3607.0364944160515</v>
      </c>
      <c r="J60" s="419">
        <v>23.588583333333329</v>
      </c>
      <c r="K60" s="420">
        <v>3802.4224995848995</v>
      </c>
      <c r="L60" s="421">
        <v>23.445833333333329</v>
      </c>
      <c r="M60" s="437">
        <v>4008.9614359338907</v>
      </c>
    </row>
    <row r="61" spans="1:185">
      <c r="A61" s="410" t="s">
        <v>330</v>
      </c>
      <c r="B61" s="411" t="s">
        <v>303</v>
      </c>
      <c r="C61" s="422" t="s">
        <v>290</v>
      </c>
      <c r="D61" s="413">
        <v>2</v>
      </c>
      <c r="E61" s="414">
        <v>752.07249999999988</v>
      </c>
      <c r="F61" s="415">
        <v>2</v>
      </c>
      <c r="G61" s="416">
        <v>768.13583333333338</v>
      </c>
      <c r="H61" s="417">
        <v>2</v>
      </c>
      <c r="I61" s="418">
        <v>844.75333333333344</v>
      </c>
      <c r="J61" s="419">
        <v>2</v>
      </c>
      <c r="K61" s="420">
        <v>861.87749999999994</v>
      </c>
      <c r="L61" s="421">
        <v>3.045666666666667</v>
      </c>
      <c r="M61" s="437">
        <v>1045.3228630841631</v>
      </c>
      <c r="N61" s="500"/>
    </row>
    <row r="62" spans="1:185" s="382" customFormat="1" ht="16" thickBot="1">
      <c r="A62" s="410" t="s">
        <v>330</v>
      </c>
      <c r="B62" s="411" t="s">
        <v>305</v>
      </c>
      <c r="C62" s="422" t="s">
        <v>290</v>
      </c>
      <c r="D62" s="413">
        <v>7.4695</v>
      </c>
      <c r="E62" s="414">
        <v>755.75652096302758</v>
      </c>
      <c r="F62" s="415">
        <v>7.2944166666666668</v>
      </c>
      <c r="G62" s="416">
        <v>819.51321215998519</v>
      </c>
      <c r="H62" s="417">
        <v>8</v>
      </c>
      <c r="I62" s="418">
        <v>890.41364583333336</v>
      </c>
      <c r="J62" s="419">
        <v>7.258</v>
      </c>
      <c r="K62" s="420">
        <v>885.51173417837788</v>
      </c>
      <c r="L62" s="421">
        <v>6.8064166666666663</v>
      </c>
      <c r="M62" s="437">
        <v>967.7369394076668</v>
      </c>
      <c r="N62" s="500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</row>
    <row r="63" spans="1:185" ht="16" thickTop="1">
      <c r="A63" s="410" t="s">
        <v>330</v>
      </c>
      <c r="B63" s="411" t="s">
        <v>320</v>
      </c>
      <c r="C63" s="422" t="s">
        <v>290</v>
      </c>
      <c r="D63" s="413">
        <v>5.5913333333333339</v>
      </c>
      <c r="E63" s="414">
        <v>876.11273399308459</v>
      </c>
      <c r="F63" s="415">
        <v>5.5055833333333339</v>
      </c>
      <c r="G63" s="416">
        <v>797.8860853376118</v>
      </c>
      <c r="H63" s="417">
        <v>0</v>
      </c>
      <c r="I63" s="418">
        <v>0</v>
      </c>
      <c r="J63" s="419">
        <v>0</v>
      </c>
      <c r="K63" s="420">
        <v>0</v>
      </c>
      <c r="L63" s="421">
        <v>0.21233333333333335</v>
      </c>
      <c r="M63" s="437">
        <v>904.19152276295131</v>
      </c>
      <c r="N63" s="500"/>
    </row>
    <row r="64" spans="1:185">
      <c r="A64" s="410" t="s">
        <v>330</v>
      </c>
      <c r="B64" s="411" t="s">
        <v>315</v>
      </c>
      <c r="C64" s="422" t="s">
        <v>293</v>
      </c>
      <c r="D64" s="413">
        <v>1.7795833333333333</v>
      </c>
      <c r="E64" s="414">
        <v>508.13626785296185</v>
      </c>
      <c r="F64" s="415">
        <v>2</v>
      </c>
      <c r="G64" s="416">
        <v>641.31000000000006</v>
      </c>
      <c r="H64" s="417">
        <v>2</v>
      </c>
      <c r="I64" s="418">
        <v>731.78958333333333</v>
      </c>
      <c r="J64" s="419">
        <v>2.0110833333333331</v>
      </c>
      <c r="K64" s="420">
        <v>865.47631873368425</v>
      </c>
      <c r="L64" s="421">
        <v>2</v>
      </c>
      <c r="M64" s="437">
        <v>945.05416666666667</v>
      </c>
    </row>
    <row r="65" spans="1:185">
      <c r="A65" s="410" t="s">
        <v>330</v>
      </c>
      <c r="B65" s="411" t="s">
        <v>319</v>
      </c>
      <c r="C65" s="422" t="s">
        <v>289</v>
      </c>
      <c r="D65" s="413">
        <v>0</v>
      </c>
      <c r="E65" s="414">
        <v>0</v>
      </c>
      <c r="F65" s="415">
        <v>0</v>
      </c>
      <c r="G65" s="416">
        <v>0</v>
      </c>
      <c r="H65" s="417">
        <v>4.6290000000000004</v>
      </c>
      <c r="I65" s="418">
        <v>1033.8964499171889</v>
      </c>
      <c r="J65" s="419">
        <v>6.1182500000000006</v>
      </c>
      <c r="K65" s="420">
        <v>1128.6903934948718</v>
      </c>
      <c r="L65" s="421">
        <v>6.5376666666666665</v>
      </c>
      <c r="M65" s="437">
        <v>1244.6499770560342</v>
      </c>
    </row>
    <row r="66" spans="1:185">
      <c r="A66" s="410" t="s">
        <v>330</v>
      </c>
      <c r="B66" s="411" t="s">
        <v>314</v>
      </c>
      <c r="C66" s="422" t="s">
        <v>289</v>
      </c>
      <c r="D66" s="413">
        <v>49.290500000000002</v>
      </c>
      <c r="E66" s="414">
        <v>1056.1120973277471</v>
      </c>
      <c r="F66" s="415">
        <v>51.1875</v>
      </c>
      <c r="G66" s="416">
        <v>1104.2118030118031</v>
      </c>
      <c r="H66" s="417">
        <v>49.639666666666663</v>
      </c>
      <c r="I66" s="418">
        <v>1306.352597720909</v>
      </c>
      <c r="J66" s="419">
        <v>50.939166666666665</v>
      </c>
      <c r="K66" s="420">
        <v>1352.2364421614013</v>
      </c>
      <c r="L66" s="421">
        <v>46.917583333333333</v>
      </c>
      <c r="M66" s="437">
        <v>1541.2314857080949</v>
      </c>
    </row>
    <row r="67" spans="1:185">
      <c r="A67" s="410" t="s">
        <v>331</v>
      </c>
      <c r="B67" s="411" t="s">
        <v>333</v>
      </c>
      <c r="C67" s="422" t="s">
        <v>287</v>
      </c>
      <c r="D67" s="413">
        <v>0</v>
      </c>
      <c r="E67" s="414">
        <v>0</v>
      </c>
      <c r="F67" s="415">
        <v>0</v>
      </c>
      <c r="G67" s="416">
        <v>0</v>
      </c>
      <c r="H67" s="417">
        <v>0</v>
      </c>
      <c r="I67" s="418">
        <v>0</v>
      </c>
      <c r="J67" s="419">
        <v>0.79999999999999993</v>
      </c>
      <c r="K67" s="420">
        <v>2387.8635416666671</v>
      </c>
      <c r="L67" s="421">
        <v>0.79999999999999993</v>
      </c>
      <c r="M67" s="437">
        <v>2486.1875000000005</v>
      </c>
    </row>
    <row r="68" spans="1:185">
      <c r="A68" s="410" t="s">
        <v>331</v>
      </c>
      <c r="B68" s="411" t="s">
        <v>332</v>
      </c>
      <c r="C68" s="422" t="s">
        <v>418</v>
      </c>
      <c r="D68" s="413">
        <v>1</v>
      </c>
      <c r="E68" s="414">
        <v>2014.3441666666668</v>
      </c>
      <c r="F68" s="415">
        <v>1</v>
      </c>
      <c r="G68" s="416">
        <v>2449.9966666666664</v>
      </c>
      <c r="H68" s="417">
        <v>0.9</v>
      </c>
      <c r="I68" s="418">
        <v>2348.2925925925924</v>
      </c>
      <c r="J68" s="419">
        <v>0</v>
      </c>
      <c r="K68" s="420">
        <v>0</v>
      </c>
      <c r="L68" s="421">
        <v>0</v>
      </c>
      <c r="M68" s="437">
        <v>0</v>
      </c>
    </row>
    <row r="69" spans="1:185" s="382" customFormat="1" ht="16" thickBot="1">
      <c r="A69" s="410" t="s">
        <v>331</v>
      </c>
      <c r="B69" s="411" t="s">
        <v>301</v>
      </c>
      <c r="C69" s="422" t="s">
        <v>287</v>
      </c>
      <c r="D69" s="413">
        <v>39.950750000000006</v>
      </c>
      <c r="E69" s="414">
        <v>2222.2993101923407</v>
      </c>
      <c r="F69" s="415">
        <v>36.098166666666671</v>
      </c>
      <c r="G69" s="416">
        <v>2287.0445174962715</v>
      </c>
      <c r="H69" s="417">
        <v>41.727416666666663</v>
      </c>
      <c r="I69" s="418">
        <v>2217.8359951191169</v>
      </c>
      <c r="J69" s="419">
        <v>43.451250000000009</v>
      </c>
      <c r="K69" s="420">
        <v>2388.4462855882562</v>
      </c>
      <c r="L69" s="421">
        <v>38.296333333333337</v>
      </c>
      <c r="M69" s="437">
        <v>2844.3263933013595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</row>
    <row r="70" spans="1:185" ht="16" thickTop="1">
      <c r="A70" s="410" t="s">
        <v>331</v>
      </c>
      <c r="B70" s="411" t="s">
        <v>303</v>
      </c>
      <c r="C70" s="422" t="s">
        <v>290</v>
      </c>
      <c r="D70" s="413">
        <v>2</v>
      </c>
      <c r="E70" s="414">
        <v>693.07833333333338</v>
      </c>
      <c r="F70" s="415">
        <v>2</v>
      </c>
      <c r="G70" s="416">
        <v>696.33166666666659</v>
      </c>
      <c r="H70" s="417">
        <v>2</v>
      </c>
      <c r="I70" s="418">
        <v>448.64333333333326</v>
      </c>
      <c r="J70" s="419">
        <v>1.1889166666666666</v>
      </c>
      <c r="K70" s="420">
        <v>250.9651643653186</v>
      </c>
      <c r="L70" s="421">
        <v>2.4610833333333333</v>
      </c>
      <c r="M70" s="437">
        <v>982.68106863508626</v>
      </c>
      <c r="N70" s="500"/>
    </row>
    <row r="71" spans="1:185">
      <c r="A71" s="410" t="s">
        <v>331</v>
      </c>
      <c r="B71" s="411" t="s">
        <v>305</v>
      </c>
      <c r="C71" s="422" t="s">
        <v>290</v>
      </c>
      <c r="D71" s="413">
        <v>6.5639166666666675</v>
      </c>
      <c r="E71" s="414">
        <v>684.65372554496162</v>
      </c>
      <c r="F71" s="415">
        <v>6.25</v>
      </c>
      <c r="G71" s="416">
        <v>687.10919999999999</v>
      </c>
      <c r="H71" s="417">
        <v>5</v>
      </c>
      <c r="I71" s="418">
        <v>626.24583333333328</v>
      </c>
      <c r="J71" s="419">
        <v>4</v>
      </c>
      <c r="K71" s="420">
        <v>857.49020833333327</v>
      </c>
      <c r="L71" s="421">
        <v>6.791666666666667</v>
      </c>
      <c r="M71" s="437">
        <v>959.88368098159492</v>
      </c>
      <c r="N71" s="500"/>
    </row>
    <row r="72" spans="1:185">
      <c r="A72" s="410" t="s">
        <v>331</v>
      </c>
      <c r="B72" s="411" t="s">
        <v>320</v>
      </c>
      <c r="C72" s="422" t="s">
        <v>290</v>
      </c>
      <c r="D72" s="413">
        <v>7.833333333333333</v>
      </c>
      <c r="E72" s="414">
        <v>762.06723404255331</v>
      </c>
      <c r="F72" s="415">
        <v>6.8994999999999997</v>
      </c>
      <c r="G72" s="416">
        <v>902.3020991859313</v>
      </c>
      <c r="H72" s="417">
        <v>0</v>
      </c>
      <c r="I72" s="418">
        <v>0</v>
      </c>
      <c r="J72" s="419">
        <v>0</v>
      </c>
      <c r="K72" s="420">
        <v>0</v>
      </c>
      <c r="L72" s="421">
        <v>0.54166666666666663</v>
      </c>
      <c r="M72" s="437">
        <v>1218.8415384615384</v>
      </c>
      <c r="N72" s="500"/>
    </row>
    <row r="73" spans="1:185">
      <c r="A73" s="410" t="s">
        <v>331</v>
      </c>
      <c r="B73" s="411" t="s">
        <v>315</v>
      </c>
      <c r="C73" s="422" t="s">
        <v>293</v>
      </c>
      <c r="D73" s="413">
        <v>2.8000000000000003</v>
      </c>
      <c r="E73" s="414">
        <v>712.43898809523807</v>
      </c>
      <c r="F73" s="415">
        <v>1.925</v>
      </c>
      <c r="G73" s="416">
        <v>714.88658008658012</v>
      </c>
      <c r="H73" s="417">
        <v>2.9830833333333331</v>
      </c>
      <c r="I73" s="418">
        <v>799.92345727295594</v>
      </c>
      <c r="J73" s="419">
        <v>3.2510833333333338</v>
      </c>
      <c r="K73" s="420">
        <v>960.51521287775859</v>
      </c>
      <c r="L73" s="421">
        <v>2.8000000000000003</v>
      </c>
      <c r="M73" s="437">
        <v>1012.4062500000001</v>
      </c>
    </row>
    <row r="74" spans="1:185">
      <c r="A74" s="410" t="s">
        <v>331</v>
      </c>
      <c r="B74" s="411" t="s">
        <v>319</v>
      </c>
      <c r="C74" s="422" t="s">
        <v>289</v>
      </c>
      <c r="D74" s="413">
        <v>0</v>
      </c>
      <c r="E74" s="414">
        <v>0</v>
      </c>
      <c r="F74" s="415">
        <v>0</v>
      </c>
      <c r="G74" s="416">
        <v>0</v>
      </c>
      <c r="H74" s="417">
        <v>9.9466666666666672</v>
      </c>
      <c r="I74" s="418">
        <v>924.51960455764072</v>
      </c>
      <c r="J74" s="419">
        <v>10.705666666666668</v>
      </c>
      <c r="K74" s="420">
        <v>1032.8034218638104</v>
      </c>
      <c r="L74" s="421">
        <v>16.962333333333333</v>
      </c>
      <c r="M74" s="437">
        <v>1194.6312908994437</v>
      </c>
    </row>
    <row r="75" spans="1:185">
      <c r="A75" s="410" t="s">
        <v>331</v>
      </c>
      <c r="B75" s="411" t="s">
        <v>314</v>
      </c>
      <c r="C75" s="422" t="s">
        <v>289</v>
      </c>
      <c r="D75" s="413">
        <v>65.961916666666653</v>
      </c>
      <c r="E75" s="414">
        <v>1017.0963927417713</v>
      </c>
      <c r="F75" s="415">
        <v>59.757666666666665</v>
      </c>
      <c r="G75" s="416">
        <v>1054.1428993769284</v>
      </c>
      <c r="H75" s="417">
        <v>61.089083333333328</v>
      </c>
      <c r="I75" s="418">
        <v>1198.6536738015111</v>
      </c>
      <c r="J75" s="419">
        <v>63.088166666666666</v>
      </c>
      <c r="K75" s="420">
        <v>1294.7286469464686</v>
      </c>
      <c r="L75" s="421">
        <v>76.662333333333336</v>
      </c>
      <c r="M75" s="437">
        <v>1517.2899229086865</v>
      </c>
    </row>
    <row r="76" spans="1:185">
      <c r="A76" s="410" t="s">
        <v>334</v>
      </c>
      <c r="B76" s="411" t="s">
        <v>335</v>
      </c>
      <c r="C76" s="422" t="s">
        <v>418</v>
      </c>
      <c r="D76" s="413">
        <v>0</v>
      </c>
      <c r="E76" s="414">
        <v>0</v>
      </c>
      <c r="F76" s="415">
        <v>0</v>
      </c>
      <c r="G76" s="416">
        <v>0</v>
      </c>
      <c r="H76" s="417">
        <v>5.4389166666666666</v>
      </c>
      <c r="I76" s="418">
        <v>1303.2903304886086</v>
      </c>
      <c r="J76" s="419">
        <v>1.0333333333333334</v>
      </c>
      <c r="K76" s="420">
        <v>1217.1403225806453</v>
      </c>
      <c r="L76" s="421">
        <v>1.4000000000000001</v>
      </c>
      <c r="M76" s="437">
        <v>1523.8214285714284</v>
      </c>
    </row>
    <row r="77" spans="1:185">
      <c r="A77" s="410" t="s">
        <v>334</v>
      </c>
      <c r="B77" s="411" t="s">
        <v>336</v>
      </c>
      <c r="C77" s="422" t="s">
        <v>418</v>
      </c>
      <c r="D77" s="413">
        <v>0</v>
      </c>
      <c r="E77" s="414">
        <v>0</v>
      </c>
      <c r="F77" s="415">
        <v>0</v>
      </c>
      <c r="G77" s="416">
        <v>0</v>
      </c>
      <c r="H77" s="417">
        <v>0</v>
      </c>
      <c r="I77" s="418">
        <v>0</v>
      </c>
      <c r="J77" s="419">
        <v>0.41666666666666669</v>
      </c>
      <c r="K77" s="420">
        <v>1204.806</v>
      </c>
      <c r="L77" s="421">
        <v>1</v>
      </c>
      <c r="M77" s="437">
        <v>1341.5258333333334</v>
      </c>
    </row>
    <row r="78" spans="1:185" s="382" customFormat="1" ht="16" thickBot="1">
      <c r="A78" s="410" t="s">
        <v>334</v>
      </c>
      <c r="B78" s="411" t="s">
        <v>337</v>
      </c>
      <c r="C78" s="422" t="s">
        <v>418</v>
      </c>
      <c r="D78" s="413">
        <v>2</v>
      </c>
      <c r="E78" s="414">
        <v>1138.8679166666668</v>
      </c>
      <c r="F78" s="415">
        <v>1.9811666666666667</v>
      </c>
      <c r="G78" s="416">
        <v>1127.5872802220913</v>
      </c>
      <c r="H78" s="417">
        <v>1</v>
      </c>
      <c r="I78" s="418">
        <v>1308.1175000000001</v>
      </c>
      <c r="J78" s="419">
        <v>1</v>
      </c>
      <c r="K78" s="420">
        <v>1199.7058333333332</v>
      </c>
      <c r="L78" s="421">
        <v>0</v>
      </c>
      <c r="M78" s="437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</row>
    <row r="79" spans="1:185" ht="16" thickTop="1">
      <c r="A79" s="410" t="s">
        <v>334</v>
      </c>
      <c r="B79" s="411" t="s">
        <v>338</v>
      </c>
      <c r="C79" s="422" t="s">
        <v>418</v>
      </c>
      <c r="D79" s="413">
        <v>4.1000000000000005</v>
      </c>
      <c r="E79" s="414">
        <v>1075.5012195121951</v>
      </c>
      <c r="F79" s="415">
        <v>4.8500000000000005</v>
      </c>
      <c r="G79" s="416">
        <v>1092.9970790378004</v>
      </c>
      <c r="H79" s="417">
        <v>0</v>
      </c>
      <c r="I79" s="418">
        <v>0</v>
      </c>
      <c r="J79" s="419">
        <v>8.3666666666666671</v>
      </c>
      <c r="K79" s="420">
        <v>1390.6249999999995</v>
      </c>
      <c r="L79" s="421">
        <v>6.3125</v>
      </c>
      <c r="M79" s="437">
        <v>1716.5259405940594</v>
      </c>
    </row>
    <row r="80" spans="1:185">
      <c r="A80" s="410" t="s">
        <v>334</v>
      </c>
      <c r="B80" s="411" t="s">
        <v>332</v>
      </c>
      <c r="C80" s="422" t="s">
        <v>418</v>
      </c>
      <c r="D80" s="413">
        <v>3.3000000000000003</v>
      </c>
      <c r="E80" s="414">
        <v>1337.8921717171715</v>
      </c>
      <c r="F80" s="415">
        <v>3.3000000000000003</v>
      </c>
      <c r="G80" s="416">
        <v>1406.8353535353535</v>
      </c>
      <c r="H80" s="417">
        <v>3.6</v>
      </c>
      <c r="I80" s="418">
        <v>1406.0875000000001</v>
      </c>
      <c r="J80" s="419">
        <v>0</v>
      </c>
      <c r="K80" s="420">
        <v>0</v>
      </c>
      <c r="L80" s="421">
        <v>0</v>
      </c>
      <c r="M80" s="437">
        <v>0</v>
      </c>
    </row>
    <row r="81" spans="1:185">
      <c r="A81" s="410" t="s">
        <v>334</v>
      </c>
      <c r="B81" s="411" t="s">
        <v>301</v>
      </c>
      <c r="C81" s="422" t="s">
        <v>287</v>
      </c>
      <c r="D81" s="413">
        <v>17.978999999999999</v>
      </c>
      <c r="E81" s="414">
        <v>2247.9538164896085</v>
      </c>
      <c r="F81" s="415">
        <v>19.044416666666667</v>
      </c>
      <c r="G81" s="416">
        <v>2315.6375228085221</v>
      </c>
      <c r="H81" s="417">
        <v>21.213083333333334</v>
      </c>
      <c r="I81" s="418">
        <v>2316.1038195767551</v>
      </c>
      <c r="J81" s="419">
        <v>21.303750000000001</v>
      </c>
      <c r="K81" s="420">
        <v>2287.8409122024691</v>
      </c>
      <c r="L81" s="421">
        <v>19.017666666666667</v>
      </c>
      <c r="M81" s="437">
        <v>2761.3370900741411</v>
      </c>
    </row>
    <row r="82" spans="1:185">
      <c r="A82" s="410" t="s">
        <v>334</v>
      </c>
      <c r="B82" s="411" t="s">
        <v>303</v>
      </c>
      <c r="C82" s="422" t="s">
        <v>290</v>
      </c>
      <c r="D82" s="413">
        <v>0</v>
      </c>
      <c r="E82" s="414">
        <v>0</v>
      </c>
      <c r="F82" s="415">
        <v>0</v>
      </c>
      <c r="G82" s="416">
        <v>0</v>
      </c>
      <c r="H82" s="417">
        <v>0</v>
      </c>
      <c r="I82" s="418">
        <v>0</v>
      </c>
      <c r="J82" s="419">
        <v>0</v>
      </c>
      <c r="K82" s="420">
        <v>0</v>
      </c>
      <c r="L82" s="421">
        <v>1.3333333333333333</v>
      </c>
      <c r="M82" s="437">
        <v>799.78562499999998</v>
      </c>
      <c r="N82" s="500"/>
    </row>
    <row r="83" spans="1:185">
      <c r="A83" s="410" t="s">
        <v>334</v>
      </c>
      <c r="B83" s="411" t="s">
        <v>305</v>
      </c>
      <c r="C83" s="422" t="s">
        <v>290</v>
      </c>
      <c r="D83" s="413">
        <v>6.833333333333333</v>
      </c>
      <c r="E83" s="414">
        <v>866.06804878048786</v>
      </c>
      <c r="F83" s="415">
        <v>6.0026666666666664</v>
      </c>
      <c r="G83" s="416">
        <v>950.36719791203927</v>
      </c>
      <c r="H83" s="417">
        <v>6.3790000000000004</v>
      </c>
      <c r="I83" s="418">
        <v>902.6408266708471</v>
      </c>
      <c r="J83" s="419">
        <v>7</v>
      </c>
      <c r="K83" s="420">
        <v>943.83416666666676</v>
      </c>
      <c r="L83" s="421">
        <v>6.833333333333333</v>
      </c>
      <c r="M83" s="437">
        <v>881.73353658536598</v>
      </c>
      <c r="N83" s="500"/>
    </row>
    <row r="84" spans="1:185">
      <c r="A84" s="410" t="s">
        <v>334</v>
      </c>
      <c r="B84" s="411" t="s">
        <v>320</v>
      </c>
      <c r="C84" s="422" t="s">
        <v>290</v>
      </c>
      <c r="D84" s="413">
        <v>11.25</v>
      </c>
      <c r="E84" s="414">
        <v>1048.2698518518519</v>
      </c>
      <c r="F84" s="415">
        <v>9.6989166666666673</v>
      </c>
      <c r="G84" s="416">
        <v>1232.7438631462278</v>
      </c>
      <c r="H84" s="417">
        <v>0</v>
      </c>
      <c r="I84" s="418">
        <v>0</v>
      </c>
      <c r="J84" s="419">
        <v>0</v>
      </c>
      <c r="K84" s="420">
        <v>0</v>
      </c>
      <c r="L84" s="421">
        <v>0</v>
      </c>
      <c r="M84" s="437">
        <v>0</v>
      </c>
      <c r="N84" s="500"/>
    </row>
    <row r="85" spans="1:185">
      <c r="A85" s="410" t="s">
        <v>334</v>
      </c>
      <c r="B85" s="411" t="s">
        <v>315</v>
      </c>
      <c r="C85" s="422" t="s">
        <v>293</v>
      </c>
      <c r="D85" s="413">
        <v>2</v>
      </c>
      <c r="E85" s="414">
        <v>667.08833333333325</v>
      </c>
      <c r="F85" s="415">
        <v>2</v>
      </c>
      <c r="G85" s="416">
        <v>660.19875000000002</v>
      </c>
      <c r="H85" s="417">
        <v>2</v>
      </c>
      <c r="I85" s="418">
        <v>687.14708333333328</v>
      </c>
      <c r="J85" s="419">
        <v>1.9694166666666666</v>
      </c>
      <c r="K85" s="420">
        <v>908.19532010324542</v>
      </c>
      <c r="L85" s="421">
        <v>2</v>
      </c>
      <c r="M85" s="437">
        <v>1106.2950000000001</v>
      </c>
    </row>
    <row r="86" spans="1:185">
      <c r="A86" s="410" t="s">
        <v>334</v>
      </c>
      <c r="B86" s="411" t="s">
        <v>319</v>
      </c>
      <c r="C86" s="422" t="s">
        <v>289</v>
      </c>
      <c r="D86" s="413">
        <v>0</v>
      </c>
      <c r="E86" s="414">
        <v>0</v>
      </c>
      <c r="F86" s="415">
        <v>0.25</v>
      </c>
      <c r="G86" s="416">
        <v>825.4133333333333</v>
      </c>
      <c r="H86" s="417">
        <v>10.916666666666666</v>
      </c>
      <c r="I86" s="418">
        <v>1345.1600763358776</v>
      </c>
      <c r="J86" s="419">
        <v>10.462333333333333</v>
      </c>
      <c r="K86" s="420">
        <v>1458.6644152037468</v>
      </c>
      <c r="L86" s="421">
        <v>11</v>
      </c>
      <c r="M86" s="437">
        <v>1634.0944696969698</v>
      </c>
    </row>
    <row r="87" spans="1:185">
      <c r="A87" s="410" t="s">
        <v>334</v>
      </c>
      <c r="B87" s="411" t="s">
        <v>314</v>
      </c>
      <c r="C87" s="422" t="s">
        <v>289</v>
      </c>
      <c r="D87" s="413">
        <v>39.966166666666666</v>
      </c>
      <c r="E87" s="414">
        <v>1044.018190386035</v>
      </c>
      <c r="F87" s="415">
        <v>37.581666666666663</v>
      </c>
      <c r="G87" s="416">
        <v>1096.2105636613599</v>
      </c>
      <c r="H87" s="417">
        <v>38.866666666666667</v>
      </c>
      <c r="I87" s="418">
        <v>1232.2899228130359</v>
      </c>
      <c r="J87" s="419">
        <v>38.745750000000001</v>
      </c>
      <c r="K87" s="420">
        <v>1368.9090631445602</v>
      </c>
      <c r="L87" s="421">
        <v>33.231749999999998</v>
      </c>
      <c r="M87" s="437">
        <v>1658.9865866227328</v>
      </c>
    </row>
    <row r="88" spans="1:185">
      <c r="A88" s="410" t="s">
        <v>339</v>
      </c>
      <c r="B88" s="411" t="s">
        <v>340</v>
      </c>
      <c r="C88" s="422" t="s">
        <v>418</v>
      </c>
      <c r="D88" s="413">
        <v>0.91666666666666663</v>
      </c>
      <c r="E88" s="414">
        <v>707.92909090909097</v>
      </c>
      <c r="F88" s="415">
        <v>0</v>
      </c>
      <c r="G88" s="416">
        <v>0</v>
      </c>
      <c r="H88" s="417">
        <v>0</v>
      </c>
      <c r="I88" s="418">
        <v>0</v>
      </c>
      <c r="J88" s="419">
        <v>0</v>
      </c>
      <c r="K88" s="420">
        <v>0</v>
      </c>
      <c r="L88" s="421">
        <v>0</v>
      </c>
      <c r="M88" s="437">
        <v>0</v>
      </c>
    </row>
    <row r="89" spans="1:185">
      <c r="A89" s="410" t="s">
        <v>339</v>
      </c>
      <c r="B89" s="430" t="s">
        <v>341</v>
      </c>
      <c r="C89" s="422" t="s">
        <v>418</v>
      </c>
      <c r="D89" s="413">
        <v>0</v>
      </c>
      <c r="E89" s="414">
        <v>0</v>
      </c>
      <c r="F89" s="415">
        <v>0</v>
      </c>
      <c r="G89" s="416">
        <v>0</v>
      </c>
      <c r="H89" s="417">
        <v>0</v>
      </c>
      <c r="I89" s="418">
        <v>0</v>
      </c>
      <c r="J89" s="419">
        <v>1</v>
      </c>
      <c r="K89" s="420">
        <v>859.79750000000001</v>
      </c>
      <c r="L89" s="421">
        <v>1</v>
      </c>
      <c r="M89" s="501">
        <v>890</v>
      </c>
    </row>
    <row r="90" spans="1:185" s="382" customFormat="1" ht="16" thickBot="1">
      <c r="A90" s="410" t="s">
        <v>339</v>
      </c>
      <c r="B90" s="411" t="s">
        <v>342</v>
      </c>
      <c r="C90" s="412" t="s">
        <v>418</v>
      </c>
      <c r="D90" s="413">
        <v>2</v>
      </c>
      <c r="E90" s="414">
        <v>946.0412500000001</v>
      </c>
      <c r="F90" s="415">
        <v>2</v>
      </c>
      <c r="G90" s="501">
        <v>1100</v>
      </c>
      <c r="H90" s="417">
        <v>2</v>
      </c>
      <c r="I90" s="418">
        <v>1115.4849999999999</v>
      </c>
      <c r="J90" s="419">
        <v>2</v>
      </c>
      <c r="K90" s="420">
        <v>1224.1683333333333</v>
      </c>
      <c r="L90" s="421">
        <v>2</v>
      </c>
      <c r="M90" s="501">
        <v>1300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</row>
    <row r="91" spans="1:185" ht="16" thickTop="1">
      <c r="A91" s="410" t="s">
        <v>339</v>
      </c>
      <c r="B91" s="411" t="s">
        <v>301</v>
      </c>
      <c r="C91" s="422" t="s">
        <v>287</v>
      </c>
      <c r="D91" s="413">
        <v>0</v>
      </c>
      <c r="E91" s="414">
        <v>0</v>
      </c>
      <c r="F91" s="415">
        <v>0</v>
      </c>
      <c r="G91" s="416">
        <v>0</v>
      </c>
      <c r="H91" s="417">
        <v>0.3</v>
      </c>
      <c r="I91" s="418">
        <v>4165.958333333333</v>
      </c>
      <c r="J91" s="419">
        <v>0</v>
      </c>
      <c r="K91" s="420">
        <v>0</v>
      </c>
      <c r="L91" s="421">
        <v>0</v>
      </c>
      <c r="M91" s="437">
        <v>0</v>
      </c>
    </row>
    <row r="92" spans="1:185">
      <c r="A92" s="410" t="s">
        <v>339</v>
      </c>
      <c r="B92" s="411" t="s">
        <v>343</v>
      </c>
      <c r="C92" s="431" t="s">
        <v>287</v>
      </c>
      <c r="D92" s="413">
        <v>14.138166666666665</v>
      </c>
      <c r="E92" s="414">
        <v>1912.5857902368298</v>
      </c>
      <c r="F92" s="415">
        <v>14.03008333333333</v>
      </c>
      <c r="G92" s="501">
        <v>1920</v>
      </c>
      <c r="H92" s="417">
        <v>16.846833333333333</v>
      </c>
      <c r="I92" s="418">
        <v>2007.2245525865399</v>
      </c>
      <c r="J92" s="419">
        <v>17.576666666666664</v>
      </c>
      <c r="K92" s="420">
        <v>2190.4424900436188</v>
      </c>
      <c r="L92" s="421">
        <v>14.636000000000001</v>
      </c>
      <c r="M92" s="501">
        <v>2200</v>
      </c>
    </row>
    <row r="93" spans="1:185">
      <c r="A93" s="410" t="s">
        <v>339</v>
      </c>
      <c r="B93" s="411" t="s">
        <v>305</v>
      </c>
      <c r="C93" s="422" t="s">
        <v>290</v>
      </c>
      <c r="D93" s="413">
        <v>2</v>
      </c>
      <c r="E93" s="414">
        <v>598.94500000000005</v>
      </c>
      <c r="F93" s="415">
        <v>2</v>
      </c>
      <c r="G93" s="501">
        <v>680</v>
      </c>
      <c r="H93" s="417">
        <v>2</v>
      </c>
      <c r="I93" s="418">
        <v>701.93583333333333</v>
      </c>
      <c r="J93" s="419">
        <v>1.4865833333333331</v>
      </c>
      <c r="K93" s="420">
        <v>769.42653736195973</v>
      </c>
      <c r="L93" s="421">
        <v>2</v>
      </c>
      <c r="M93" s="501">
        <v>850</v>
      </c>
      <c r="N93" s="500"/>
    </row>
    <row r="94" spans="1:185">
      <c r="A94" s="410" t="s">
        <v>339</v>
      </c>
      <c r="B94" s="411" t="s">
        <v>320</v>
      </c>
      <c r="C94" s="422" t="s">
        <v>290</v>
      </c>
      <c r="D94" s="413">
        <v>4</v>
      </c>
      <c r="E94" s="414">
        <v>722.92416666666668</v>
      </c>
      <c r="F94" s="415">
        <v>4</v>
      </c>
      <c r="G94" s="501">
        <v>820</v>
      </c>
      <c r="H94" s="417">
        <v>0</v>
      </c>
      <c r="I94" s="418">
        <v>0</v>
      </c>
      <c r="J94" s="419">
        <v>0</v>
      </c>
      <c r="K94" s="420">
        <v>0</v>
      </c>
      <c r="L94" s="421">
        <v>0</v>
      </c>
      <c r="M94" s="437">
        <v>0</v>
      </c>
      <c r="N94" s="500"/>
    </row>
    <row r="95" spans="1:185">
      <c r="A95" s="410" t="s">
        <v>339</v>
      </c>
      <c r="B95" s="411" t="s">
        <v>315</v>
      </c>
      <c r="C95" s="422" t="s">
        <v>293</v>
      </c>
      <c r="D95" s="413">
        <v>2</v>
      </c>
      <c r="E95" s="414">
        <v>502.57375000000002</v>
      </c>
      <c r="F95" s="415">
        <v>2</v>
      </c>
      <c r="G95" s="501">
        <v>700</v>
      </c>
      <c r="H95" s="417">
        <v>2</v>
      </c>
      <c r="I95" s="418">
        <v>831.06833333333327</v>
      </c>
      <c r="J95" s="419">
        <v>2.6693333333333329</v>
      </c>
      <c r="K95" s="420">
        <v>919.59384365634367</v>
      </c>
      <c r="L95" s="421">
        <v>3</v>
      </c>
      <c r="M95" s="501">
        <v>1100</v>
      </c>
    </row>
    <row r="96" spans="1:185">
      <c r="A96" s="410" t="s">
        <v>339</v>
      </c>
      <c r="B96" s="411" t="s">
        <v>319</v>
      </c>
      <c r="C96" s="422" t="s">
        <v>289</v>
      </c>
      <c r="D96" s="413">
        <v>0</v>
      </c>
      <c r="E96" s="414">
        <v>0</v>
      </c>
      <c r="F96" s="415">
        <v>0</v>
      </c>
      <c r="G96" s="416">
        <v>0</v>
      </c>
      <c r="H96" s="417">
        <v>3.0403333333333333</v>
      </c>
      <c r="I96" s="418">
        <v>879.18402587435583</v>
      </c>
      <c r="J96" s="419">
        <v>4.083333333333333</v>
      </c>
      <c r="K96" s="420">
        <v>1062.0438775510204</v>
      </c>
      <c r="L96" s="421">
        <v>4</v>
      </c>
      <c r="M96" s="501">
        <v>1300</v>
      </c>
    </row>
    <row r="97" spans="1:185">
      <c r="A97" s="410" t="s">
        <v>339</v>
      </c>
      <c r="B97" s="411" t="s">
        <v>314</v>
      </c>
      <c r="C97" s="422" t="s">
        <v>289</v>
      </c>
      <c r="D97" s="413">
        <v>24.509583333333335</v>
      </c>
      <c r="E97" s="414">
        <v>868.3165088485797</v>
      </c>
      <c r="F97" s="415">
        <v>24.675000000000001</v>
      </c>
      <c r="G97" s="501">
        <v>900</v>
      </c>
      <c r="H97" s="417">
        <v>25</v>
      </c>
      <c r="I97" s="418">
        <v>1031.4448</v>
      </c>
      <c r="J97" s="419">
        <v>24.549833333333336</v>
      </c>
      <c r="K97" s="420">
        <v>1142.8375616942405</v>
      </c>
      <c r="L97" s="421">
        <v>23.819583333333338</v>
      </c>
      <c r="M97" s="501">
        <v>1300</v>
      </c>
    </row>
    <row r="98" spans="1:185">
      <c r="A98" s="410" t="s">
        <v>344</v>
      </c>
      <c r="B98" s="411" t="s">
        <v>301</v>
      </c>
      <c r="C98" s="422" t="s">
        <v>287</v>
      </c>
      <c r="D98" s="413">
        <v>17.925250000000002</v>
      </c>
      <c r="E98" s="414">
        <v>3406.8492303687071</v>
      </c>
      <c r="F98" s="415">
        <v>17.519416666666668</v>
      </c>
      <c r="G98" s="416">
        <v>3507.0427573216389</v>
      </c>
      <c r="H98" s="417">
        <v>19.854166666666668</v>
      </c>
      <c r="I98" s="418">
        <v>3361.1769150052464</v>
      </c>
      <c r="J98" s="419">
        <v>21.100249999999999</v>
      </c>
      <c r="K98" s="420">
        <v>3374.9710311489207</v>
      </c>
      <c r="L98" s="421">
        <v>28.814250000000001</v>
      </c>
      <c r="M98" s="501">
        <v>3400</v>
      </c>
    </row>
    <row r="99" spans="1:185">
      <c r="A99" s="410" t="s">
        <v>344</v>
      </c>
      <c r="B99" s="411" t="s">
        <v>303</v>
      </c>
      <c r="C99" s="422" t="s">
        <v>290</v>
      </c>
      <c r="D99" s="413">
        <v>4</v>
      </c>
      <c r="E99" s="414">
        <v>814.94645833333334</v>
      </c>
      <c r="F99" s="415">
        <v>2</v>
      </c>
      <c r="G99" s="416">
        <v>890.19291666666652</v>
      </c>
      <c r="H99" s="417">
        <v>2</v>
      </c>
      <c r="I99" s="418">
        <v>1065.5429166666665</v>
      </c>
      <c r="J99" s="419">
        <v>2</v>
      </c>
      <c r="K99" s="420">
        <v>1093.6370833333333</v>
      </c>
      <c r="L99" s="421">
        <v>2</v>
      </c>
      <c r="M99" s="501">
        <v>1100</v>
      </c>
      <c r="N99" s="500"/>
    </row>
    <row r="100" spans="1:185" s="382" customFormat="1" ht="16" thickBot="1">
      <c r="A100" s="410" t="s">
        <v>344</v>
      </c>
      <c r="B100" s="411" t="s">
        <v>305</v>
      </c>
      <c r="C100" s="422" t="s">
        <v>290</v>
      </c>
      <c r="D100" s="413">
        <v>9.0833333333333339</v>
      </c>
      <c r="E100" s="414">
        <v>707.21834862385322</v>
      </c>
      <c r="F100" s="415">
        <v>10.954333333333333</v>
      </c>
      <c r="G100" s="416">
        <v>858.65281623710564</v>
      </c>
      <c r="H100" s="417">
        <v>12.465083333333334</v>
      </c>
      <c r="I100" s="418">
        <v>863.20241207105153</v>
      </c>
      <c r="J100" s="419">
        <v>11.061833333333333</v>
      </c>
      <c r="K100" s="420">
        <v>1007.9062391707222</v>
      </c>
      <c r="L100" s="421">
        <v>16.045666666666666</v>
      </c>
      <c r="M100" s="501">
        <v>1200</v>
      </c>
      <c r="N100" s="5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</row>
    <row r="101" spans="1:185" ht="16" thickTop="1">
      <c r="A101" s="410" t="s">
        <v>344</v>
      </c>
      <c r="B101" s="411" t="s">
        <v>320</v>
      </c>
      <c r="C101" s="422" t="s">
        <v>290</v>
      </c>
      <c r="D101" s="413">
        <v>9.9166666666666661</v>
      </c>
      <c r="E101" s="414">
        <v>990.05193277310934</v>
      </c>
      <c r="F101" s="415">
        <v>8</v>
      </c>
      <c r="G101" s="416">
        <v>993.76895833333344</v>
      </c>
      <c r="H101" s="417">
        <v>0</v>
      </c>
      <c r="I101" s="418">
        <v>0</v>
      </c>
      <c r="J101" s="419">
        <v>0</v>
      </c>
      <c r="K101" s="420">
        <v>0</v>
      </c>
      <c r="L101" s="421">
        <v>2.0833333333333335</v>
      </c>
      <c r="M101" s="501">
        <v>1200</v>
      </c>
      <c r="N101" s="500"/>
    </row>
    <row r="102" spans="1:185">
      <c r="A102" s="410" t="s">
        <v>344</v>
      </c>
      <c r="B102" s="411" t="s">
        <v>311</v>
      </c>
      <c r="C102" s="422" t="s">
        <v>293</v>
      </c>
      <c r="D102" s="413">
        <v>2.045666666666667</v>
      </c>
      <c r="E102" s="414">
        <v>470.06395633045463</v>
      </c>
      <c r="F102" s="415">
        <v>2</v>
      </c>
      <c r="G102" s="416">
        <v>651.93625000000009</v>
      </c>
      <c r="H102" s="417">
        <v>2</v>
      </c>
      <c r="I102" s="418">
        <v>728.98750000000007</v>
      </c>
      <c r="J102" s="419">
        <v>2</v>
      </c>
      <c r="K102" s="420">
        <v>806.34958333333327</v>
      </c>
      <c r="L102" s="421">
        <v>2</v>
      </c>
      <c r="M102" s="501">
        <v>950</v>
      </c>
    </row>
    <row r="103" spans="1:185">
      <c r="A103" s="410" t="s">
        <v>344</v>
      </c>
      <c r="B103" s="411" t="s">
        <v>315</v>
      </c>
      <c r="C103" s="422" t="s">
        <v>293</v>
      </c>
      <c r="D103" s="413">
        <v>1</v>
      </c>
      <c r="E103" s="414">
        <v>880.99249999999995</v>
      </c>
      <c r="F103" s="415">
        <v>1</v>
      </c>
      <c r="G103" s="416">
        <v>942.57499999999993</v>
      </c>
      <c r="H103" s="417">
        <v>2</v>
      </c>
      <c r="I103" s="418">
        <v>917.36999999999989</v>
      </c>
      <c r="J103" s="419">
        <v>2</v>
      </c>
      <c r="K103" s="420">
        <v>958.12749999999994</v>
      </c>
      <c r="L103" s="421">
        <v>2</v>
      </c>
      <c r="M103" s="501">
        <v>1100</v>
      </c>
    </row>
    <row r="104" spans="1:185">
      <c r="A104" s="410" t="s">
        <v>344</v>
      </c>
      <c r="B104" s="411" t="s">
        <v>319</v>
      </c>
      <c r="C104" s="422" t="s">
        <v>289</v>
      </c>
      <c r="D104" s="413">
        <v>0</v>
      </c>
      <c r="E104" s="414">
        <v>0</v>
      </c>
      <c r="F104" s="415">
        <v>0.12775</v>
      </c>
      <c r="G104" s="416">
        <v>902.1004566210047</v>
      </c>
      <c r="H104" s="417">
        <v>10.044416666666667</v>
      </c>
      <c r="I104" s="418">
        <v>1185.0788580720634</v>
      </c>
      <c r="J104" s="419">
        <v>14.537666666666667</v>
      </c>
      <c r="K104" s="420">
        <v>1173.3104234975813</v>
      </c>
      <c r="L104" s="421">
        <v>18.0215</v>
      </c>
      <c r="M104" s="501">
        <v>1300</v>
      </c>
    </row>
    <row r="105" spans="1:185">
      <c r="A105" s="410" t="s">
        <v>344</v>
      </c>
      <c r="B105" s="411" t="s">
        <v>314</v>
      </c>
      <c r="C105" s="422" t="s">
        <v>289</v>
      </c>
      <c r="D105" s="413">
        <v>56.789833333333341</v>
      </c>
      <c r="E105" s="414">
        <v>1177.2337478245811</v>
      </c>
      <c r="F105" s="415">
        <v>59.814500000000002</v>
      </c>
      <c r="G105" s="416">
        <v>1147.3712199104455</v>
      </c>
      <c r="H105" s="417">
        <v>55.296249999999993</v>
      </c>
      <c r="I105" s="418">
        <v>1430.2134261666331</v>
      </c>
      <c r="J105" s="419">
        <v>54.902500000000003</v>
      </c>
      <c r="K105" s="420">
        <v>1464.5045004022279</v>
      </c>
      <c r="L105" s="421">
        <v>67.87466666666667</v>
      </c>
      <c r="M105" s="501">
        <v>1500</v>
      </c>
    </row>
    <row r="106" spans="1:185">
      <c r="A106" s="410" t="s">
        <v>345</v>
      </c>
      <c r="B106" s="411" t="s">
        <v>335</v>
      </c>
      <c r="C106" s="422" t="s">
        <v>418</v>
      </c>
      <c r="D106" s="413">
        <v>0</v>
      </c>
      <c r="E106" s="414">
        <v>0</v>
      </c>
      <c r="F106" s="415">
        <v>0</v>
      </c>
      <c r="G106" s="416">
        <v>0</v>
      </c>
      <c r="H106" s="417">
        <v>2</v>
      </c>
      <c r="I106" s="418">
        <v>1415.4041666666665</v>
      </c>
      <c r="J106" s="419">
        <v>1.25</v>
      </c>
      <c r="K106" s="420">
        <v>1194.9226666666666</v>
      </c>
      <c r="L106" s="421">
        <v>0</v>
      </c>
      <c r="M106" s="437">
        <v>0</v>
      </c>
    </row>
    <row r="107" spans="1:185">
      <c r="A107" s="410" t="s">
        <v>345</v>
      </c>
      <c r="B107" s="411" t="s">
        <v>338</v>
      </c>
      <c r="C107" s="422" t="s">
        <v>418</v>
      </c>
      <c r="D107" s="413">
        <v>2</v>
      </c>
      <c r="E107" s="414">
        <v>1131.3391666666666</v>
      </c>
      <c r="F107" s="415">
        <v>2</v>
      </c>
      <c r="G107" s="416">
        <v>1177.6445833333335</v>
      </c>
      <c r="H107" s="417">
        <v>0</v>
      </c>
      <c r="I107" s="418">
        <v>0</v>
      </c>
      <c r="J107" s="419">
        <v>2</v>
      </c>
      <c r="K107" s="420">
        <v>1698.2450000000001</v>
      </c>
      <c r="L107" s="421">
        <v>1.4166666666666667</v>
      </c>
      <c r="M107" s="437">
        <v>1896.1823529411763</v>
      </c>
    </row>
    <row r="108" spans="1:185" s="382" customFormat="1" ht="16" thickBot="1">
      <c r="A108" s="410" t="s">
        <v>345</v>
      </c>
      <c r="B108" s="411" t="s">
        <v>332</v>
      </c>
      <c r="C108" s="422" t="s">
        <v>418</v>
      </c>
      <c r="D108" s="413">
        <v>1</v>
      </c>
      <c r="E108" s="414">
        <v>1311.6558333333335</v>
      </c>
      <c r="F108" s="415">
        <v>1</v>
      </c>
      <c r="G108" s="416">
        <v>1420.2950000000001</v>
      </c>
      <c r="H108" s="417">
        <v>1</v>
      </c>
      <c r="I108" s="418">
        <v>1593.6866666666667</v>
      </c>
      <c r="J108" s="419">
        <v>0</v>
      </c>
      <c r="K108" s="420">
        <v>0</v>
      </c>
      <c r="L108" s="421">
        <v>0</v>
      </c>
      <c r="M108" s="437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</row>
    <row r="109" spans="1:185" ht="16" thickTop="1">
      <c r="A109" s="410" t="s">
        <v>345</v>
      </c>
      <c r="B109" s="411" t="s">
        <v>301</v>
      </c>
      <c r="C109" s="422" t="s">
        <v>287</v>
      </c>
      <c r="D109" s="413">
        <v>9.9749999999999996</v>
      </c>
      <c r="E109" s="414">
        <v>2839.1890559732665</v>
      </c>
      <c r="F109" s="415">
        <v>10.420833333333334</v>
      </c>
      <c r="G109" s="416">
        <v>2819.7139544182319</v>
      </c>
      <c r="H109" s="417">
        <v>10.757</v>
      </c>
      <c r="I109" s="418">
        <v>2827.8987326082242</v>
      </c>
      <c r="J109" s="419">
        <v>10.216666666666667</v>
      </c>
      <c r="K109" s="420">
        <v>3372.8098694942901</v>
      </c>
      <c r="L109" s="421">
        <v>6.9881666666666673</v>
      </c>
      <c r="M109" s="437">
        <v>4400.175773331106</v>
      </c>
    </row>
    <row r="110" spans="1:185">
      <c r="A110" s="410" t="s">
        <v>345</v>
      </c>
      <c r="B110" s="411" t="s">
        <v>303</v>
      </c>
      <c r="C110" s="422" t="s">
        <v>290</v>
      </c>
      <c r="D110" s="413">
        <v>1</v>
      </c>
      <c r="E110" s="414">
        <v>801.37583333333339</v>
      </c>
      <c r="F110" s="415">
        <v>1</v>
      </c>
      <c r="G110" s="416">
        <v>800.38583333333327</v>
      </c>
      <c r="H110" s="417">
        <v>1</v>
      </c>
      <c r="I110" s="418">
        <v>912.18583333333333</v>
      </c>
      <c r="J110" s="419">
        <v>1.62775</v>
      </c>
      <c r="K110" s="420">
        <v>989.71842522909947</v>
      </c>
      <c r="L110" s="421">
        <v>3</v>
      </c>
      <c r="M110" s="437">
        <v>1785.9758333333334</v>
      </c>
      <c r="N110" s="500"/>
    </row>
    <row r="111" spans="1:185">
      <c r="A111" s="410" t="s">
        <v>345</v>
      </c>
      <c r="B111" s="411" t="s">
        <v>305</v>
      </c>
      <c r="C111" s="422" t="s">
        <v>290</v>
      </c>
      <c r="D111" s="413">
        <v>7.5</v>
      </c>
      <c r="E111" s="414">
        <v>976.27833333333319</v>
      </c>
      <c r="F111" s="415">
        <v>7</v>
      </c>
      <c r="G111" s="416">
        <v>990.90892857142865</v>
      </c>
      <c r="H111" s="417">
        <v>6.833333333333333</v>
      </c>
      <c r="I111" s="418">
        <v>1106.2086585365853</v>
      </c>
      <c r="J111" s="419">
        <v>6.25</v>
      </c>
      <c r="K111" s="420">
        <v>1155.9394666666665</v>
      </c>
      <c r="L111" s="421">
        <v>5</v>
      </c>
      <c r="M111" s="437">
        <v>2137.2771666666667</v>
      </c>
      <c r="N111" s="500"/>
    </row>
    <row r="112" spans="1:185">
      <c r="A112" s="410" t="s">
        <v>345</v>
      </c>
      <c r="B112" s="411" t="s">
        <v>320</v>
      </c>
      <c r="C112" s="422" t="s">
        <v>290</v>
      </c>
      <c r="D112" s="413">
        <v>3.4166666666666665</v>
      </c>
      <c r="E112" s="414">
        <v>906.88975609756108</v>
      </c>
      <c r="F112" s="415">
        <v>4.470416666666666</v>
      </c>
      <c r="G112" s="416">
        <v>978.43116786280189</v>
      </c>
      <c r="H112" s="417">
        <v>0</v>
      </c>
      <c r="I112" s="418">
        <v>0</v>
      </c>
      <c r="J112" s="419">
        <v>0</v>
      </c>
      <c r="K112" s="420">
        <v>0</v>
      </c>
      <c r="L112" s="421">
        <v>0.41666666666666669</v>
      </c>
      <c r="M112" s="437">
        <v>1609.1879999999999</v>
      </c>
      <c r="N112" s="500"/>
    </row>
    <row r="113" spans="1:185">
      <c r="A113" s="410" t="s">
        <v>345</v>
      </c>
      <c r="B113" s="411" t="s">
        <v>315</v>
      </c>
      <c r="C113" s="422" t="s">
        <v>293</v>
      </c>
      <c r="D113" s="413">
        <v>2</v>
      </c>
      <c r="E113" s="414">
        <v>783.13958333333323</v>
      </c>
      <c r="F113" s="415">
        <v>2</v>
      </c>
      <c r="G113" s="416">
        <v>820.48624999999993</v>
      </c>
      <c r="H113" s="417">
        <v>2</v>
      </c>
      <c r="I113" s="418">
        <v>888.49875000000009</v>
      </c>
      <c r="J113" s="419">
        <v>2</v>
      </c>
      <c r="K113" s="420">
        <v>926.0424999999999</v>
      </c>
      <c r="L113" s="421">
        <v>2</v>
      </c>
      <c r="M113" s="437">
        <v>1337.6558333333332</v>
      </c>
    </row>
    <row r="114" spans="1:185">
      <c r="A114" s="410" t="s">
        <v>345</v>
      </c>
      <c r="B114" s="411" t="s">
        <v>319</v>
      </c>
      <c r="C114" s="422" t="s">
        <v>289</v>
      </c>
      <c r="D114" s="413">
        <v>0</v>
      </c>
      <c r="E114" s="414">
        <v>0</v>
      </c>
      <c r="F114" s="415">
        <v>0</v>
      </c>
      <c r="G114" s="416">
        <v>0</v>
      </c>
      <c r="H114" s="417">
        <v>4</v>
      </c>
      <c r="I114" s="418">
        <v>1237.340625</v>
      </c>
      <c r="J114" s="419">
        <v>5.166666666666667</v>
      </c>
      <c r="K114" s="420">
        <v>1373.2606451612903</v>
      </c>
      <c r="L114" s="421">
        <v>2</v>
      </c>
      <c r="M114" s="437">
        <v>2105.8641666666667</v>
      </c>
    </row>
    <row r="115" spans="1:185">
      <c r="A115" s="410" t="s">
        <v>345</v>
      </c>
      <c r="B115" s="411" t="s">
        <v>314</v>
      </c>
      <c r="C115" s="422" t="s">
        <v>289</v>
      </c>
      <c r="D115" s="413">
        <v>18.962333333333333</v>
      </c>
      <c r="E115" s="414">
        <v>1028.7926503419058</v>
      </c>
      <c r="F115" s="415">
        <v>19</v>
      </c>
      <c r="G115" s="416">
        <v>1106.7591666666667</v>
      </c>
      <c r="H115" s="417">
        <v>18.650499999999997</v>
      </c>
      <c r="I115" s="418">
        <v>1249.7457172729958</v>
      </c>
      <c r="J115" s="419">
        <v>17.89725</v>
      </c>
      <c r="K115" s="420">
        <v>1218.7880819679003</v>
      </c>
      <c r="L115" s="421">
        <v>16</v>
      </c>
      <c r="M115" s="437">
        <v>2009.6974999999995</v>
      </c>
    </row>
    <row r="116" spans="1:185">
      <c r="A116" s="410" t="s">
        <v>346</v>
      </c>
      <c r="B116" s="411" t="s">
        <v>325</v>
      </c>
      <c r="C116" s="422" t="s">
        <v>418</v>
      </c>
      <c r="D116" s="413">
        <v>0</v>
      </c>
      <c r="E116" s="414">
        <v>0</v>
      </c>
      <c r="F116" s="415">
        <v>0</v>
      </c>
      <c r="G116" s="416">
        <v>0</v>
      </c>
      <c r="H116" s="417">
        <v>0</v>
      </c>
      <c r="I116" s="418">
        <v>0</v>
      </c>
      <c r="J116" s="419">
        <v>0</v>
      </c>
      <c r="K116" s="420">
        <v>0</v>
      </c>
      <c r="L116" s="421">
        <v>0.83333333333333337</v>
      </c>
      <c r="M116" s="437">
        <v>1364.7090000000001</v>
      </c>
    </row>
    <row r="117" spans="1:185">
      <c r="A117" s="410" t="s">
        <v>346</v>
      </c>
      <c r="B117" s="411" t="s">
        <v>301</v>
      </c>
      <c r="C117" s="422" t="s">
        <v>287</v>
      </c>
      <c r="D117" s="413">
        <v>33.110000000000007</v>
      </c>
      <c r="E117" s="414">
        <v>2086.4543189368774</v>
      </c>
      <c r="F117" s="415">
        <v>34.103499999999997</v>
      </c>
      <c r="G117" s="416">
        <v>2140.1352011768099</v>
      </c>
      <c r="H117" s="417">
        <v>38.34291666666666</v>
      </c>
      <c r="I117" s="418">
        <v>2128.7360551166557</v>
      </c>
      <c r="J117" s="419">
        <v>37.852916666666658</v>
      </c>
      <c r="K117" s="420">
        <v>2326.4876330533762</v>
      </c>
      <c r="L117" s="421">
        <v>28.644583333333333</v>
      </c>
      <c r="M117" s="437">
        <v>3120.7695172152962</v>
      </c>
    </row>
    <row r="118" spans="1:185" s="382" customFormat="1" ht="16" thickBot="1">
      <c r="A118" s="410" t="s">
        <v>346</v>
      </c>
      <c r="B118" s="411" t="s">
        <v>303</v>
      </c>
      <c r="C118" s="422" t="s">
        <v>290</v>
      </c>
      <c r="D118" s="413">
        <v>0</v>
      </c>
      <c r="E118" s="414">
        <v>0</v>
      </c>
      <c r="F118" s="415">
        <v>0</v>
      </c>
      <c r="G118" s="416">
        <v>0</v>
      </c>
      <c r="H118" s="417">
        <v>0</v>
      </c>
      <c r="I118" s="418">
        <v>0</v>
      </c>
      <c r="J118" s="419">
        <v>0.16666666666666666</v>
      </c>
      <c r="K118" s="420">
        <v>769.59500000000003</v>
      </c>
      <c r="L118" s="421">
        <v>0.96233333333333337</v>
      </c>
      <c r="M118" s="437">
        <v>1174.1582958087979</v>
      </c>
      <c r="N118" s="500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</row>
    <row r="119" spans="1:185" ht="16" thickTop="1">
      <c r="A119" s="410" t="s">
        <v>346</v>
      </c>
      <c r="B119" s="411" t="s">
        <v>305</v>
      </c>
      <c r="C119" s="422" t="s">
        <v>290</v>
      </c>
      <c r="D119" s="413">
        <v>7.4112499999999999</v>
      </c>
      <c r="E119" s="414">
        <v>741.25777253049978</v>
      </c>
      <c r="F119" s="415">
        <v>9.6397499999999994</v>
      </c>
      <c r="G119" s="416">
        <v>798.97291596427988</v>
      </c>
      <c r="H119" s="417">
        <v>12.717750000000001</v>
      </c>
      <c r="I119" s="418">
        <v>908.8313577480294</v>
      </c>
      <c r="J119" s="419">
        <v>11.981166666666667</v>
      </c>
      <c r="K119" s="420">
        <v>986.41499853937444</v>
      </c>
      <c r="L119" s="421">
        <v>11.833333333333334</v>
      </c>
      <c r="M119" s="437">
        <v>1463.4453521126759</v>
      </c>
      <c r="N119" s="500"/>
    </row>
    <row r="120" spans="1:185">
      <c r="A120" s="410" t="s">
        <v>346</v>
      </c>
      <c r="B120" s="411" t="s">
        <v>320</v>
      </c>
      <c r="C120" s="422" t="s">
        <v>290</v>
      </c>
      <c r="D120" s="413">
        <v>4.0580000000000007</v>
      </c>
      <c r="E120" s="414">
        <v>799.26297847872479</v>
      </c>
      <c r="F120" s="415">
        <v>1.3494999999999999</v>
      </c>
      <c r="G120" s="416">
        <v>825.97134741262198</v>
      </c>
      <c r="H120" s="417">
        <v>0</v>
      </c>
      <c r="I120" s="418">
        <v>0</v>
      </c>
      <c r="J120" s="419">
        <v>0</v>
      </c>
      <c r="K120" s="420">
        <v>0</v>
      </c>
      <c r="L120" s="421">
        <v>0.66666666666666663</v>
      </c>
      <c r="M120" s="437">
        <v>709.92750000000001</v>
      </c>
      <c r="N120" s="500"/>
    </row>
    <row r="121" spans="1:185">
      <c r="A121" s="410" t="s">
        <v>346</v>
      </c>
      <c r="B121" s="411" t="s">
        <v>315</v>
      </c>
      <c r="C121" s="422" t="s">
        <v>293</v>
      </c>
      <c r="D121" s="413">
        <v>2</v>
      </c>
      <c r="E121" s="414">
        <v>618.70291666666662</v>
      </c>
      <c r="F121" s="415">
        <v>2</v>
      </c>
      <c r="G121" s="416">
        <v>647.86125000000004</v>
      </c>
      <c r="H121" s="417">
        <v>2</v>
      </c>
      <c r="I121" s="418">
        <v>744.875</v>
      </c>
      <c r="J121" s="419">
        <v>2</v>
      </c>
      <c r="K121" s="420">
        <v>808.55458333333343</v>
      </c>
      <c r="L121" s="421">
        <v>2.2429166666666664</v>
      </c>
      <c r="M121" s="437">
        <v>1068.1749953557496</v>
      </c>
    </row>
    <row r="122" spans="1:185">
      <c r="A122" s="410" t="s">
        <v>346</v>
      </c>
      <c r="B122" s="411" t="s">
        <v>319</v>
      </c>
      <c r="C122" s="422" t="s">
        <v>289</v>
      </c>
      <c r="D122" s="413">
        <v>0</v>
      </c>
      <c r="E122" s="414">
        <v>0</v>
      </c>
      <c r="F122" s="415">
        <v>0.25</v>
      </c>
      <c r="G122" s="416">
        <v>893.53000000000009</v>
      </c>
      <c r="H122" s="417">
        <v>3.3333333333333335</v>
      </c>
      <c r="I122" s="418">
        <v>1065.6279999999999</v>
      </c>
      <c r="J122" s="419">
        <v>4.6525833333333333</v>
      </c>
      <c r="K122" s="420">
        <v>972.72805430674714</v>
      </c>
      <c r="L122" s="421">
        <v>7.3055833333333338</v>
      </c>
      <c r="M122" s="437">
        <v>1567.2478811867634</v>
      </c>
    </row>
    <row r="123" spans="1:185">
      <c r="A123" s="410" t="s">
        <v>346</v>
      </c>
      <c r="B123" s="411" t="s">
        <v>314</v>
      </c>
      <c r="C123" s="422" t="s">
        <v>289</v>
      </c>
      <c r="D123" s="413">
        <v>48.400833333333331</v>
      </c>
      <c r="E123" s="414">
        <v>1054.3892322790587</v>
      </c>
      <c r="F123" s="415">
        <v>49.738916666666661</v>
      </c>
      <c r="G123" s="416">
        <v>1141.0034061189517</v>
      </c>
      <c r="H123" s="417">
        <v>62.580250000000007</v>
      </c>
      <c r="I123" s="418">
        <v>1291.5505557530796</v>
      </c>
      <c r="J123" s="419">
        <v>63.843083333333333</v>
      </c>
      <c r="K123" s="420">
        <v>1343.6169801740466</v>
      </c>
      <c r="L123" s="421">
        <v>55.644166666666671</v>
      </c>
      <c r="M123" s="437">
        <v>2028.4717176104109</v>
      </c>
    </row>
    <row r="124" spans="1:185">
      <c r="A124" s="410" t="s">
        <v>347</v>
      </c>
      <c r="B124" s="411" t="s">
        <v>324</v>
      </c>
      <c r="C124" s="422" t="s">
        <v>418</v>
      </c>
      <c r="D124" s="413">
        <v>0</v>
      </c>
      <c r="E124" s="414">
        <v>0</v>
      </c>
      <c r="F124" s="415">
        <v>0</v>
      </c>
      <c r="G124" s="416">
        <v>0</v>
      </c>
      <c r="H124" s="417">
        <v>0</v>
      </c>
      <c r="I124" s="418">
        <v>0</v>
      </c>
      <c r="J124" s="419">
        <v>0</v>
      </c>
      <c r="K124" s="420">
        <v>0</v>
      </c>
      <c r="L124" s="421">
        <v>1.8333333333333333</v>
      </c>
      <c r="M124" s="501">
        <v>1400</v>
      </c>
    </row>
    <row r="125" spans="1:185">
      <c r="A125" s="410" t="s">
        <v>347</v>
      </c>
      <c r="B125" s="411" t="s">
        <v>301</v>
      </c>
      <c r="C125" s="422" t="s">
        <v>287</v>
      </c>
      <c r="D125" s="413">
        <v>29.532249999999994</v>
      </c>
      <c r="E125" s="414">
        <v>2843.8455981737484</v>
      </c>
      <c r="F125" s="415">
        <v>29.074999999999999</v>
      </c>
      <c r="G125" s="416">
        <v>2961.5950702206933</v>
      </c>
      <c r="H125" s="417">
        <v>33.39841666666667</v>
      </c>
      <c r="I125" s="418">
        <v>2885.0007111115547</v>
      </c>
      <c r="J125" s="419">
        <v>35.279166666666661</v>
      </c>
      <c r="K125" s="420">
        <v>3110.0530766505258</v>
      </c>
      <c r="L125" s="421">
        <v>28.889749999999996</v>
      </c>
      <c r="M125" s="501">
        <v>3300</v>
      </c>
    </row>
    <row r="126" spans="1:185" s="382" customFormat="1" ht="16" thickBot="1">
      <c r="A126" s="410" t="s">
        <v>347</v>
      </c>
      <c r="B126" s="411" t="s">
        <v>303</v>
      </c>
      <c r="C126" s="422" t="s">
        <v>290</v>
      </c>
      <c r="D126" s="413">
        <v>1</v>
      </c>
      <c r="E126" s="414">
        <v>626.94416666666666</v>
      </c>
      <c r="F126" s="415">
        <v>1</v>
      </c>
      <c r="G126" s="416">
        <v>542.36333333333334</v>
      </c>
      <c r="H126" s="417">
        <v>0.16666666666666666</v>
      </c>
      <c r="I126" s="418">
        <v>1424.4549999999999</v>
      </c>
      <c r="J126" s="419">
        <v>0</v>
      </c>
      <c r="K126" s="420">
        <v>0</v>
      </c>
      <c r="L126" s="421">
        <v>1.2110833333333333</v>
      </c>
      <c r="M126" s="501">
        <v>1200</v>
      </c>
      <c r="N126" s="500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</row>
    <row r="127" spans="1:185" ht="16" thickTop="1">
      <c r="A127" s="410" t="s">
        <v>347</v>
      </c>
      <c r="B127" s="411" t="s">
        <v>305</v>
      </c>
      <c r="C127" s="422" t="s">
        <v>290</v>
      </c>
      <c r="D127" s="413">
        <v>4.4623333333333335</v>
      </c>
      <c r="E127" s="414">
        <v>646.1221707626803</v>
      </c>
      <c r="F127" s="415">
        <v>5</v>
      </c>
      <c r="G127" s="416">
        <v>666.95733333333339</v>
      </c>
      <c r="H127" s="417">
        <v>5</v>
      </c>
      <c r="I127" s="418">
        <v>740.62316666666663</v>
      </c>
      <c r="J127" s="419">
        <v>4</v>
      </c>
      <c r="K127" s="420">
        <v>907.35249999999996</v>
      </c>
      <c r="L127" s="421">
        <v>3</v>
      </c>
      <c r="M127" s="501">
        <v>1000</v>
      </c>
      <c r="N127" s="500"/>
    </row>
    <row r="128" spans="1:185">
      <c r="A128" s="410" t="s">
        <v>347</v>
      </c>
      <c r="B128" s="411" t="s">
        <v>315</v>
      </c>
      <c r="C128" s="422" t="s">
        <v>293</v>
      </c>
      <c r="D128" s="413">
        <v>1</v>
      </c>
      <c r="E128" s="414">
        <v>928.65166666666664</v>
      </c>
      <c r="F128" s="415">
        <v>1</v>
      </c>
      <c r="G128" s="416">
        <v>960.14666666666665</v>
      </c>
      <c r="H128" s="417">
        <v>1.5833333333333333</v>
      </c>
      <c r="I128" s="418">
        <v>880.46421052631581</v>
      </c>
      <c r="J128" s="419">
        <v>2</v>
      </c>
      <c r="K128" s="420">
        <v>922.87541666666675</v>
      </c>
      <c r="L128" s="421">
        <v>2</v>
      </c>
      <c r="M128" s="501">
        <v>1100</v>
      </c>
    </row>
    <row r="129" spans="1:185">
      <c r="A129" s="410" t="s">
        <v>347</v>
      </c>
      <c r="B129" s="411" t="s">
        <v>319</v>
      </c>
      <c r="C129" s="422" t="s">
        <v>289</v>
      </c>
      <c r="D129" s="413">
        <v>0</v>
      </c>
      <c r="E129" s="414">
        <v>0</v>
      </c>
      <c r="F129" s="415">
        <v>0</v>
      </c>
      <c r="G129" s="416">
        <v>0</v>
      </c>
      <c r="H129" s="417">
        <v>0.41666666666666669</v>
      </c>
      <c r="I129" s="418">
        <v>914.9559999999999</v>
      </c>
      <c r="J129" s="419">
        <v>2</v>
      </c>
      <c r="K129" s="420">
        <v>1162.2533333333333</v>
      </c>
      <c r="L129" s="421">
        <v>2</v>
      </c>
      <c r="M129" s="501">
        <v>1200</v>
      </c>
    </row>
    <row r="130" spans="1:185">
      <c r="A130" s="410" t="s">
        <v>347</v>
      </c>
      <c r="B130" s="411" t="s">
        <v>314</v>
      </c>
      <c r="C130" s="422" t="s">
        <v>289</v>
      </c>
      <c r="D130" s="413">
        <v>50.540250000000007</v>
      </c>
      <c r="E130" s="414">
        <v>1231.3626762827646</v>
      </c>
      <c r="F130" s="415">
        <v>48.477916666666665</v>
      </c>
      <c r="G130" s="416">
        <v>1262.2124163063938</v>
      </c>
      <c r="H130" s="417">
        <v>50.118500000000004</v>
      </c>
      <c r="I130" s="418">
        <v>1382.4056652400477</v>
      </c>
      <c r="J130" s="419">
        <v>49.784416666666665</v>
      </c>
      <c r="K130" s="420">
        <v>1469.8420188378896</v>
      </c>
      <c r="L130" s="421">
        <v>50.303499999999993</v>
      </c>
      <c r="M130" s="501">
        <v>1550</v>
      </c>
    </row>
    <row r="131" spans="1:185">
      <c r="A131" s="410" t="s">
        <v>348</v>
      </c>
      <c r="B131" s="411" t="s">
        <v>349</v>
      </c>
      <c r="C131" s="422" t="s">
        <v>418</v>
      </c>
      <c r="D131" s="413">
        <v>34.5715</v>
      </c>
      <c r="E131" s="414">
        <v>876.77197980995902</v>
      </c>
      <c r="F131" s="415">
        <v>33.915583333333331</v>
      </c>
      <c r="G131" s="416">
        <v>876.67279298847393</v>
      </c>
      <c r="H131" s="417">
        <v>33.341000000000001</v>
      </c>
      <c r="I131" s="418">
        <v>993.16767143556967</v>
      </c>
      <c r="J131" s="419">
        <v>35.821750000000002</v>
      </c>
      <c r="K131" s="420">
        <v>1024.989008074703</v>
      </c>
      <c r="L131" s="421">
        <v>30.826916666666666</v>
      </c>
      <c r="M131" s="437">
        <v>1437.1855764578031</v>
      </c>
    </row>
    <row r="132" spans="1:185">
      <c r="A132" s="410" t="s">
        <v>348</v>
      </c>
      <c r="B132" s="411" t="s">
        <v>325</v>
      </c>
      <c r="C132" s="422" t="s">
        <v>418</v>
      </c>
      <c r="D132" s="413">
        <v>7</v>
      </c>
      <c r="E132" s="414">
        <v>726.30785714285707</v>
      </c>
      <c r="F132" s="415">
        <v>7</v>
      </c>
      <c r="G132" s="416">
        <v>745.11607142857144</v>
      </c>
      <c r="H132" s="417">
        <v>7.25</v>
      </c>
      <c r="I132" s="418">
        <v>854.3104597701149</v>
      </c>
      <c r="J132" s="419">
        <v>8.9166666666666661</v>
      </c>
      <c r="K132" s="420">
        <v>927.79364485981296</v>
      </c>
      <c r="L132" s="421">
        <v>1.1335833333333334</v>
      </c>
      <c r="M132" s="437">
        <v>584.50341836359621</v>
      </c>
    </row>
    <row r="133" spans="1:185" s="382" customFormat="1" ht="16" thickBot="1">
      <c r="A133" s="410" t="s">
        <v>348</v>
      </c>
      <c r="B133" s="411" t="s">
        <v>301</v>
      </c>
      <c r="C133" s="422" t="s">
        <v>287</v>
      </c>
      <c r="D133" s="413">
        <v>7.7333333333333343</v>
      </c>
      <c r="E133" s="414">
        <v>2235.0123922413791</v>
      </c>
      <c r="F133" s="415">
        <v>8.6166666666666671</v>
      </c>
      <c r="G133" s="416">
        <v>1921.2890715667309</v>
      </c>
      <c r="H133" s="417">
        <v>10.216666666666667</v>
      </c>
      <c r="I133" s="418">
        <v>1949.696982055465</v>
      </c>
      <c r="J133" s="419">
        <v>10.578999999999999</v>
      </c>
      <c r="K133" s="420">
        <v>1749.495541481552</v>
      </c>
      <c r="L133" s="421">
        <v>6.2623333333333333</v>
      </c>
      <c r="M133" s="437">
        <v>2144.8703890988445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</row>
    <row r="134" spans="1:185" ht="16" thickTop="1">
      <c r="A134" s="410" t="s">
        <v>348</v>
      </c>
      <c r="B134" s="411" t="s">
        <v>303</v>
      </c>
      <c r="C134" s="422" t="s">
        <v>290</v>
      </c>
      <c r="D134" s="413">
        <v>1</v>
      </c>
      <c r="E134" s="414">
        <v>581.46083333333331</v>
      </c>
      <c r="F134" s="415">
        <v>1</v>
      </c>
      <c r="G134" s="416">
        <v>644.70416666666665</v>
      </c>
      <c r="H134" s="417">
        <v>0.5</v>
      </c>
      <c r="I134" s="418">
        <v>1416.4533333333331</v>
      </c>
      <c r="J134" s="419">
        <v>0</v>
      </c>
      <c r="K134" s="420">
        <v>0</v>
      </c>
      <c r="L134" s="421">
        <v>0</v>
      </c>
      <c r="M134" s="437">
        <v>0</v>
      </c>
      <c r="N134" s="500"/>
    </row>
    <row r="135" spans="1:185">
      <c r="A135" s="410" t="s">
        <v>348</v>
      </c>
      <c r="B135" s="411" t="s">
        <v>305</v>
      </c>
      <c r="C135" s="422" t="s">
        <v>290</v>
      </c>
      <c r="D135" s="413">
        <v>4.8972499999999997</v>
      </c>
      <c r="E135" s="414">
        <v>644.42459203294356</v>
      </c>
      <c r="F135" s="415">
        <v>4.791666666666667</v>
      </c>
      <c r="G135" s="416">
        <v>662.38121739130429</v>
      </c>
      <c r="H135" s="417">
        <v>5</v>
      </c>
      <c r="I135" s="418">
        <v>742.87183333333337</v>
      </c>
      <c r="J135" s="419">
        <v>3.7062500000000003</v>
      </c>
      <c r="K135" s="420">
        <v>699.23237774030349</v>
      </c>
      <c r="L135" s="421">
        <v>1.5</v>
      </c>
      <c r="M135" s="437">
        <v>740.34555555555562</v>
      </c>
      <c r="N135" s="500"/>
    </row>
    <row r="136" spans="1:185">
      <c r="A136" s="410" t="s">
        <v>348</v>
      </c>
      <c r="B136" s="411" t="s">
        <v>320</v>
      </c>
      <c r="C136" s="422" t="s">
        <v>290</v>
      </c>
      <c r="D136" s="413">
        <v>1</v>
      </c>
      <c r="E136" s="414">
        <v>909.00833333333333</v>
      </c>
      <c r="F136" s="415">
        <v>0.87774999999999992</v>
      </c>
      <c r="G136" s="416">
        <v>1004.68527485047</v>
      </c>
      <c r="H136" s="417">
        <v>0</v>
      </c>
      <c r="I136" s="418">
        <v>0</v>
      </c>
      <c r="J136" s="419">
        <v>0</v>
      </c>
      <c r="K136" s="420">
        <v>0</v>
      </c>
      <c r="L136" s="421">
        <v>0</v>
      </c>
      <c r="M136" s="437">
        <v>0</v>
      </c>
      <c r="N136" s="500"/>
    </row>
    <row r="137" spans="1:185">
      <c r="A137" s="410" t="s">
        <v>348</v>
      </c>
      <c r="B137" s="411" t="s">
        <v>315</v>
      </c>
      <c r="C137" s="422" t="s">
        <v>293</v>
      </c>
      <c r="D137" s="413">
        <v>1</v>
      </c>
      <c r="E137" s="414">
        <v>576.23583333333329</v>
      </c>
      <c r="F137" s="415">
        <v>1</v>
      </c>
      <c r="G137" s="416">
        <v>689.59083333333331</v>
      </c>
      <c r="H137" s="417">
        <v>1</v>
      </c>
      <c r="I137" s="418">
        <v>799.6008333333333</v>
      </c>
      <c r="J137" s="419">
        <v>1.8735833333333334</v>
      </c>
      <c r="K137" s="420">
        <v>581.28852911088381</v>
      </c>
      <c r="L137" s="421">
        <v>0</v>
      </c>
      <c r="M137" s="437">
        <v>0</v>
      </c>
    </row>
    <row r="138" spans="1:185">
      <c r="A138" s="410" t="s">
        <v>348</v>
      </c>
      <c r="B138" s="411" t="s">
        <v>319</v>
      </c>
      <c r="C138" s="422" t="s">
        <v>289</v>
      </c>
      <c r="D138" s="413">
        <v>0</v>
      </c>
      <c r="E138" s="414">
        <v>0</v>
      </c>
      <c r="F138" s="415">
        <v>0</v>
      </c>
      <c r="G138" s="416">
        <v>0</v>
      </c>
      <c r="H138" s="417">
        <v>0.75</v>
      </c>
      <c r="I138" s="418">
        <v>1009.3744444444445</v>
      </c>
      <c r="J138" s="419">
        <v>1.4489166666666666</v>
      </c>
      <c r="K138" s="420">
        <v>992.74918042215427</v>
      </c>
      <c r="L138" s="421">
        <v>0</v>
      </c>
      <c r="M138" s="437">
        <v>0</v>
      </c>
    </row>
    <row r="139" spans="1:185">
      <c r="A139" s="410" t="s">
        <v>348</v>
      </c>
      <c r="B139" s="411" t="s">
        <v>314</v>
      </c>
      <c r="C139" s="422" t="s">
        <v>289</v>
      </c>
      <c r="D139" s="413">
        <v>11.430083333333334</v>
      </c>
      <c r="E139" s="414">
        <v>1041.7818476097432</v>
      </c>
      <c r="F139" s="415">
        <v>12.629</v>
      </c>
      <c r="G139" s="416">
        <v>1105.2205901760499</v>
      </c>
      <c r="H139" s="417">
        <v>13.75</v>
      </c>
      <c r="I139" s="418">
        <v>1184.9277575757576</v>
      </c>
      <c r="J139" s="419">
        <v>14.103166666666667</v>
      </c>
      <c r="K139" s="420">
        <v>1212.5357189283729</v>
      </c>
      <c r="L139" s="421">
        <v>2.879</v>
      </c>
      <c r="M139" s="437">
        <v>1428.2835475280767</v>
      </c>
    </row>
    <row r="140" spans="1:185">
      <c r="A140" s="410" t="s">
        <v>350</v>
      </c>
      <c r="B140" s="411" t="s">
        <v>301</v>
      </c>
      <c r="C140" s="422" t="s">
        <v>287</v>
      </c>
      <c r="D140" s="413">
        <v>11.25</v>
      </c>
      <c r="E140" s="414">
        <v>2840.5870370370367</v>
      </c>
      <c r="F140" s="415">
        <v>11.701583333333332</v>
      </c>
      <c r="G140" s="416">
        <v>2809.1024718877079</v>
      </c>
      <c r="H140" s="417">
        <v>10.816666666666668</v>
      </c>
      <c r="I140" s="418">
        <v>3087.4568567026195</v>
      </c>
      <c r="J140" s="419">
        <v>11.583333333333334</v>
      </c>
      <c r="K140" s="420">
        <v>3543.8548920863309</v>
      </c>
      <c r="L140" s="421">
        <v>10.799999999999999</v>
      </c>
      <c r="M140" s="437">
        <v>3711.3083333333338</v>
      </c>
    </row>
    <row r="141" spans="1:185">
      <c r="A141" s="410" t="s">
        <v>350</v>
      </c>
      <c r="B141" s="411" t="s">
        <v>305</v>
      </c>
      <c r="C141" s="422" t="s">
        <v>290</v>
      </c>
      <c r="D141" s="413">
        <v>4</v>
      </c>
      <c r="E141" s="414">
        <v>696.12750000000005</v>
      </c>
      <c r="F141" s="415">
        <v>4</v>
      </c>
      <c r="G141" s="416">
        <v>679.55979166666668</v>
      </c>
      <c r="H141" s="417">
        <v>4</v>
      </c>
      <c r="I141" s="418">
        <v>803.70583333333343</v>
      </c>
      <c r="J141" s="419">
        <v>4</v>
      </c>
      <c r="K141" s="420">
        <v>796.57208333333347</v>
      </c>
      <c r="L141" s="421">
        <v>4.166666666666667</v>
      </c>
      <c r="M141" s="437">
        <v>1018.2304</v>
      </c>
      <c r="N141" s="500"/>
    </row>
    <row r="142" spans="1:185" s="382" customFormat="1" ht="16" thickBot="1">
      <c r="A142" s="410" t="s">
        <v>350</v>
      </c>
      <c r="B142" s="411" t="s">
        <v>320</v>
      </c>
      <c r="C142" s="422" t="s">
        <v>290</v>
      </c>
      <c r="D142" s="413">
        <v>1</v>
      </c>
      <c r="E142" s="414">
        <v>808.78666666666675</v>
      </c>
      <c r="F142" s="415">
        <v>1</v>
      </c>
      <c r="G142" s="416">
        <v>841.00416666666661</v>
      </c>
      <c r="H142" s="417">
        <v>0</v>
      </c>
      <c r="I142" s="418">
        <v>0</v>
      </c>
      <c r="J142" s="419">
        <v>0</v>
      </c>
      <c r="K142" s="420">
        <v>0</v>
      </c>
      <c r="L142" s="421">
        <v>1.0456666666666667</v>
      </c>
      <c r="M142" s="437">
        <v>1300.12352566146</v>
      </c>
      <c r="N142" s="500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</row>
    <row r="143" spans="1:185" ht="16" thickTop="1">
      <c r="A143" s="410" t="s">
        <v>350</v>
      </c>
      <c r="B143" s="411" t="s">
        <v>315</v>
      </c>
      <c r="C143" s="422" t="s">
        <v>293</v>
      </c>
      <c r="D143" s="413">
        <v>3</v>
      </c>
      <c r="E143" s="414">
        <v>564.59500000000003</v>
      </c>
      <c r="F143" s="415">
        <v>3</v>
      </c>
      <c r="G143" s="416">
        <v>753.50277777777785</v>
      </c>
      <c r="H143" s="417">
        <v>2</v>
      </c>
      <c r="I143" s="418">
        <v>846.94708333333335</v>
      </c>
      <c r="J143" s="419">
        <v>1.5618333333333334</v>
      </c>
      <c r="K143" s="420">
        <v>912.98047166791173</v>
      </c>
      <c r="L143" s="421">
        <v>2</v>
      </c>
      <c r="M143" s="437">
        <v>1253.3066666666666</v>
      </c>
    </row>
    <row r="144" spans="1:185">
      <c r="A144" s="410" t="s">
        <v>350</v>
      </c>
      <c r="B144" s="411" t="s">
        <v>351</v>
      </c>
      <c r="C144" s="422" t="s">
        <v>289</v>
      </c>
      <c r="D144" s="413">
        <v>0</v>
      </c>
      <c r="E144" s="414">
        <v>0</v>
      </c>
      <c r="F144" s="415">
        <v>0</v>
      </c>
      <c r="G144" s="416">
        <v>0</v>
      </c>
      <c r="H144" s="417">
        <v>1</v>
      </c>
      <c r="I144" s="418">
        <v>915.80083333333334</v>
      </c>
      <c r="J144" s="419">
        <v>1.8333333333333333</v>
      </c>
      <c r="K144" s="420">
        <v>942.40318181818191</v>
      </c>
      <c r="L144" s="421">
        <v>2.5833333333333335</v>
      </c>
      <c r="M144" s="437">
        <v>1117.5893548387096</v>
      </c>
    </row>
    <row r="145" spans="1:185">
      <c r="A145" s="410" t="s">
        <v>350</v>
      </c>
      <c r="B145" s="411" t="s">
        <v>314</v>
      </c>
      <c r="C145" s="422" t="s">
        <v>289</v>
      </c>
      <c r="D145" s="413">
        <v>24.603750000000002</v>
      </c>
      <c r="E145" s="414">
        <v>1096.5791800030484</v>
      </c>
      <c r="F145" s="415">
        <v>23.830749999999998</v>
      </c>
      <c r="G145" s="416">
        <v>1136.3216642363334</v>
      </c>
      <c r="H145" s="417">
        <v>24.188500000000001</v>
      </c>
      <c r="I145" s="418">
        <v>1330.0915379898158</v>
      </c>
      <c r="J145" s="419">
        <v>26.28425</v>
      </c>
      <c r="K145" s="420">
        <v>1430.308074226961</v>
      </c>
      <c r="L145" s="421">
        <v>22.846999999999998</v>
      </c>
      <c r="M145" s="437">
        <v>1717.5629914941426</v>
      </c>
    </row>
    <row r="146" spans="1:185">
      <c r="A146" s="410" t="s">
        <v>352</v>
      </c>
      <c r="B146" s="411" t="s">
        <v>324</v>
      </c>
      <c r="C146" s="422" t="s">
        <v>418</v>
      </c>
      <c r="D146" s="413">
        <v>0</v>
      </c>
      <c r="E146" s="414">
        <v>0</v>
      </c>
      <c r="F146" s="415">
        <v>0</v>
      </c>
      <c r="G146" s="416">
        <v>0</v>
      </c>
      <c r="H146" s="417">
        <v>0</v>
      </c>
      <c r="I146" s="418">
        <v>0</v>
      </c>
      <c r="J146" s="419">
        <v>0</v>
      </c>
      <c r="K146" s="420">
        <v>0</v>
      </c>
      <c r="L146" s="421">
        <v>6.6559166666666671</v>
      </c>
      <c r="M146" s="437">
        <v>1553.1354308822977</v>
      </c>
    </row>
    <row r="147" spans="1:185">
      <c r="A147" s="410" t="s">
        <v>352</v>
      </c>
      <c r="B147" s="430" t="s">
        <v>353</v>
      </c>
      <c r="C147" s="422" t="s">
        <v>418</v>
      </c>
      <c r="D147" s="413">
        <v>0</v>
      </c>
      <c r="E147" s="414">
        <v>0</v>
      </c>
      <c r="F147" s="415">
        <v>0</v>
      </c>
      <c r="G147" s="416">
        <v>0</v>
      </c>
      <c r="H147" s="417">
        <v>0</v>
      </c>
      <c r="I147" s="418">
        <v>0</v>
      </c>
      <c r="J147" s="419">
        <v>0</v>
      </c>
      <c r="K147" s="420">
        <v>0</v>
      </c>
      <c r="L147" s="421">
        <v>1</v>
      </c>
      <c r="M147" s="437">
        <v>1912.8025</v>
      </c>
    </row>
    <row r="148" spans="1:185" s="382" customFormat="1" ht="16" thickBot="1">
      <c r="A148" s="410" t="s">
        <v>352</v>
      </c>
      <c r="B148" s="430" t="s">
        <v>354</v>
      </c>
      <c r="C148" s="422" t="s">
        <v>418</v>
      </c>
      <c r="D148" s="413">
        <v>0</v>
      </c>
      <c r="E148" s="414">
        <v>0</v>
      </c>
      <c r="F148" s="415">
        <v>0</v>
      </c>
      <c r="G148" s="416">
        <v>0</v>
      </c>
      <c r="H148" s="417">
        <v>0</v>
      </c>
      <c r="I148" s="418">
        <v>0</v>
      </c>
      <c r="J148" s="419">
        <v>0</v>
      </c>
      <c r="K148" s="420">
        <v>0</v>
      </c>
      <c r="L148" s="421">
        <v>1</v>
      </c>
      <c r="M148" s="437">
        <v>1010.5608333333333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</row>
    <row r="149" spans="1:185" ht="16" thickTop="1">
      <c r="A149" s="410" t="s">
        <v>352</v>
      </c>
      <c r="B149" s="411" t="s">
        <v>325</v>
      </c>
      <c r="C149" s="422" t="s">
        <v>418</v>
      </c>
      <c r="D149" s="413">
        <v>0</v>
      </c>
      <c r="E149" s="414">
        <v>0</v>
      </c>
      <c r="F149" s="415">
        <v>0</v>
      </c>
      <c r="G149" s="416">
        <v>0</v>
      </c>
      <c r="H149" s="417">
        <v>0</v>
      </c>
      <c r="I149" s="418">
        <v>0</v>
      </c>
      <c r="J149" s="419">
        <v>0</v>
      </c>
      <c r="K149" s="420">
        <v>0</v>
      </c>
      <c r="L149" s="421">
        <v>2.75</v>
      </c>
      <c r="M149" s="437">
        <v>1348.0012121212121</v>
      </c>
    </row>
    <row r="150" spans="1:185">
      <c r="A150" s="410" t="s">
        <v>352</v>
      </c>
      <c r="B150" s="430" t="s">
        <v>355</v>
      </c>
      <c r="C150" s="422" t="s">
        <v>418</v>
      </c>
      <c r="D150" s="413">
        <v>0</v>
      </c>
      <c r="E150" s="414">
        <v>0</v>
      </c>
      <c r="F150" s="415">
        <v>0</v>
      </c>
      <c r="G150" s="416">
        <v>0</v>
      </c>
      <c r="H150" s="417">
        <v>0</v>
      </c>
      <c r="I150" s="418">
        <v>0</v>
      </c>
      <c r="J150" s="419">
        <v>0</v>
      </c>
      <c r="K150" s="420">
        <v>0</v>
      </c>
      <c r="L150" s="421">
        <v>0.81449999999999989</v>
      </c>
      <c r="M150" s="437">
        <v>1964.0188254552897</v>
      </c>
    </row>
    <row r="151" spans="1:185">
      <c r="A151" s="410" t="s">
        <v>352</v>
      </c>
      <c r="B151" s="411" t="s">
        <v>301</v>
      </c>
      <c r="C151" s="422" t="s">
        <v>287</v>
      </c>
      <c r="D151" s="413">
        <v>10.286083333333334</v>
      </c>
      <c r="E151" s="414">
        <v>2704.6856999343768</v>
      </c>
      <c r="F151" s="415">
        <v>10.541666666666666</v>
      </c>
      <c r="G151" s="416">
        <v>2685.5982608695658</v>
      </c>
      <c r="H151" s="417">
        <v>12.14725</v>
      </c>
      <c r="I151" s="418">
        <v>2587.5906755301271</v>
      </c>
      <c r="J151" s="419">
        <v>12.35</v>
      </c>
      <c r="K151" s="420">
        <v>3012.9572874493929</v>
      </c>
      <c r="L151" s="421">
        <v>38.781416666666672</v>
      </c>
      <c r="M151" s="437">
        <v>3476.1166323217517</v>
      </c>
    </row>
    <row r="152" spans="1:185">
      <c r="A152" s="410" t="s">
        <v>352</v>
      </c>
      <c r="B152" s="430" t="s">
        <v>329</v>
      </c>
      <c r="C152" s="431" t="s">
        <v>287</v>
      </c>
      <c r="D152" s="413">
        <v>0</v>
      </c>
      <c r="E152" s="414">
        <v>0</v>
      </c>
      <c r="F152" s="415">
        <v>0</v>
      </c>
      <c r="G152" s="416">
        <v>0</v>
      </c>
      <c r="H152" s="417">
        <v>0</v>
      </c>
      <c r="I152" s="418">
        <v>0</v>
      </c>
      <c r="J152" s="419">
        <v>0</v>
      </c>
      <c r="K152" s="420">
        <v>0</v>
      </c>
      <c r="L152" s="421">
        <v>0.66666666666666663</v>
      </c>
      <c r="M152" s="437">
        <v>3242.9387499999998</v>
      </c>
    </row>
    <row r="153" spans="1:185">
      <c r="A153" s="410" t="s">
        <v>352</v>
      </c>
      <c r="B153" s="411" t="s">
        <v>303</v>
      </c>
      <c r="C153" s="422" t="s">
        <v>290</v>
      </c>
      <c r="D153" s="413">
        <v>2</v>
      </c>
      <c r="E153" s="414">
        <v>647.23916666666662</v>
      </c>
      <c r="F153" s="415">
        <v>2</v>
      </c>
      <c r="G153" s="416">
        <v>679.74916666666661</v>
      </c>
      <c r="H153" s="417">
        <v>2</v>
      </c>
      <c r="I153" s="418">
        <v>734.06624999999997</v>
      </c>
      <c r="J153" s="419">
        <v>2</v>
      </c>
      <c r="K153" s="420">
        <v>1005.2025</v>
      </c>
      <c r="L153" s="421">
        <v>2</v>
      </c>
      <c r="M153" s="437">
        <v>1757.8770833333335</v>
      </c>
      <c r="N153" s="500"/>
    </row>
    <row r="154" spans="1:185">
      <c r="A154" s="410" t="s">
        <v>352</v>
      </c>
      <c r="B154" s="411" t="s">
        <v>305</v>
      </c>
      <c r="C154" s="422" t="s">
        <v>290</v>
      </c>
      <c r="D154" s="413">
        <v>4</v>
      </c>
      <c r="E154" s="414">
        <v>673.95020833333331</v>
      </c>
      <c r="F154" s="415">
        <v>4</v>
      </c>
      <c r="G154" s="416">
        <v>730.58354166666675</v>
      </c>
      <c r="H154" s="417">
        <v>3.8333333333333335</v>
      </c>
      <c r="I154" s="418">
        <v>916.60413043478263</v>
      </c>
      <c r="J154" s="419">
        <v>3.4305833333333333</v>
      </c>
      <c r="K154" s="420">
        <v>994.49340491170119</v>
      </c>
      <c r="L154" s="421">
        <v>6</v>
      </c>
      <c r="M154" s="437">
        <v>1824.7041666666669</v>
      </c>
      <c r="N154" s="500"/>
    </row>
    <row r="155" spans="1:185">
      <c r="A155" s="410" t="s">
        <v>352</v>
      </c>
      <c r="B155" s="411" t="s">
        <v>320</v>
      </c>
      <c r="C155" s="422" t="s">
        <v>290</v>
      </c>
      <c r="D155" s="413">
        <v>1</v>
      </c>
      <c r="E155" s="414">
        <v>764.31416666666667</v>
      </c>
      <c r="F155" s="415">
        <v>1</v>
      </c>
      <c r="G155" s="416">
        <v>581.01583333333326</v>
      </c>
      <c r="H155" s="417">
        <v>0</v>
      </c>
      <c r="I155" s="418">
        <v>0</v>
      </c>
      <c r="J155" s="419">
        <v>0</v>
      </c>
      <c r="K155" s="420">
        <v>0</v>
      </c>
      <c r="L155" s="421">
        <v>3.3723333333333336</v>
      </c>
      <c r="M155" s="437">
        <v>1301.1147079173668</v>
      </c>
      <c r="N155" s="500"/>
    </row>
    <row r="156" spans="1:185">
      <c r="A156" s="410" t="s">
        <v>352</v>
      </c>
      <c r="B156" s="411" t="s">
        <v>315</v>
      </c>
      <c r="C156" s="422" t="s">
        <v>293</v>
      </c>
      <c r="D156" s="413">
        <v>1</v>
      </c>
      <c r="E156" s="414">
        <v>861.41833333333341</v>
      </c>
      <c r="F156" s="415">
        <v>1</v>
      </c>
      <c r="G156" s="416">
        <v>882.08083333333332</v>
      </c>
      <c r="H156" s="417">
        <v>1.1166666666666667</v>
      </c>
      <c r="I156" s="418">
        <v>1010.8432835820895</v>
      </c>
      <c r="J156" s="419">
        <v>1.2</v>
      </c>
      <c r="K156" s="420">
        <v>1637.6111111111109</v>
      </c>
      <c r="L156" s="421">
        <v>3.8690833333333337</v>
      </c>
      <c r="M156" s="437">
        <v>1779.3852979818648</v>
      </c>
    </row>
    <row r="157" spans="1:185">
      <c r="A157" s="410" t="s">
        <v>352</v>
      </c>
      <c r="B157" s="411" t="s">
        <v>319</v>
      </c>
      <c r="C157" s="422" t="s">
        <v>289</v>
      </c>
      <c r="D157" s="413">
        <v>0</v>
      </c>
      <c r="E157" s="414">
        <v>0</v>
      </c>
      <c r="F157" s="415">
        <v>0</v>
      </c>
      <c r="G157" s="416">
        <v>0</v>
      </c>
      <c r="H157" s="417">
        <v>1</v>
      </c>
      <c r="I157" s="418">
        <v>933.75750000000005</v>
      </c>
      <c r="J157" s="419">
        <v>1</v>
      </c>
      <c r="K157" s="420">
        <v>1045.0899999999999</v>
      </c>
      <c r="L157" s="421">
        <v>9.4792500000000004</v>
      </c>
      <c r="M157" s="437">
        <v>1620.0301535810672</v>
      </c>
    </row>
    <row r="158" spans="1:185">
      <c r="A158" s="410" t="s">
        <v>352</v>
      </c>
      <c r="B158" s="411" t="s">
        <v>314</v>
      </c>
      <c r="C158" s="422" t="s">
        <v>289</v>
      </c>
      <c r="D158" s="413">
        <v>21.924666666666667</v>
      </c>
      <c r="E158" s="414">
        <v>1035.4074178246724</v>
      </c>
      <c r="F158" s="415">
        <v>22.067166666666669</v>
      </c>
      <c r="G158" s="416">
        <v>1091.4600877623616</v>
      </c>
      <c r="H158" s="417">
        <v>21.833333333333332</v>
      </c>
      <c r="I158" s="418">
        <v>1285.8304961832059</v>
      </c>
      <c r="J158" s="419">
        <v>20.34675</v>
      </c>
      <c r="K158" s="420">
        <v>1507.2027473675159</v>
      </c>
      <c r="L158" s="421">
        <v>61.935499999999998</v>
      </c>
      <c r="M158" s="437">
        <v>2296.322599047935</v>
      </c>
    </row>
    <row r="159" spans="1:185">
      <c r="A159" s="410" t="s">
        <v>369</v>
      </c>
      <c r="B159" s="411" t="s">
        <v>325</v>
      </c>
      <c r="C159" s="422" t="s">
        <v>418</v>
      </c>
      <c r="D159" s="413">
        <v>0</v>
      </c>
      <c r="E159" s="414">
        <v>0</v>
      </c>
      <c r="F159" s="415">
        <v>0</v>
      </c>
      <c r="G159" s="416">
        <v>0</v>
      </c>
      <c r="H159" s="417">
        <v>0</v>
      </c>
      <c r="I159" s="418">
        <v>0</v>
      </c>
      <c r="J159" s="419">
        <v>0</v>
      </c>
      <c r="K159" s="420">
        <v>0</v>
      </c>
      <c r="L159" s="421">
        <v>3</v>
      </c>
      <c r="M159" s="437">
        <v>1201.2755555555557</v>
      </c>
    </row>
    <row r="160" spans="1:185">
      <c r="A160" s="410" t="s">
        <v>369</v>
      </c>
      <c r="B160" s="411" t="s">
        <v>301</v>
      </c>
      <c r="C160" s="422" t="s">
        <v>287</v>
      </c>
      <c r="D160" s="413">
        <v>26.833333333333332</v>
      </c>
      <c r="E160" s="414">
        <v>2927.79298136646</v>
      </c>
      <c r="F160" s="415">
        <v>28.100000000000005</v>
      </c>
      <c r="G160" s="416">
        <v>2925.3862989323843</v>
      </c>
      <c r="H160" s="417">
        <v>28.083333333333332</v>
      </c>
      <c r="I160" s="418">
        <v>3100.022433234421</v>
      </c>
      <c r="J160" s="419">
        <v>29.066666666666666</v>
      </c>
      <c r="K160" s="420">
        <v>3503.8100917431188</v>
      </c>
      <c r="L160" s="421">
        <v>30.919999999999998</v>
      </c>
      <c r="M160" s="437">
        <v>3774.9151573954287</v>
      </c>
    </row>
    <row r="161" spans="1:185" s="382" customFormat="1" ht="16" thickBot="1">
      <c r="A161" s="410" t="s">
        <v>369</v>
      </c>
      <c r="B161" s="430" t="s">
        <v>329</v>
      </c>
      <c r="C161" s="431" t="s">
        <v>287</v>
      </c>
      <c r="D161" s="413">
        <v>0</v>
      </c>
      <c r="E161" s="414">
        <v>0</v>
      </c>
      <c r="F161" s="415">
        <v>0</v>
      </c>
      <c r="G161" s="416">
        <v>0</v>
      </c>
      <c r="H161" s="417">
        <v>0</v>
      </c>
      <c r="I161" s="418">
        <v>0</v>
      </c>
      <c r="J161" s="419">
        <v>0</v>
      </c>
      <c r="K161" s="420">
        <v>0</v>
      </c>
      <c r="L161" s="421">
        <v>1.5</v>
      </c>
      <c r="M161" s="437">
        <v>2144.0438888888889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</row>
    <row r="162" spans="1:185" ht="16" thickTop="1">
      <c r="A162" s="410" t="s">
        <v>369</v>
      </c>
      <c r="B162" s="411" t="s">
        <v>303</v>
      </c>
      <c r="C162" s="422" t="s">
        <v>290</v>
      </c>
      <c r="D162" s="413">
        <v>2</v>
      </c>
      <c r="E162" s="414">
        <v>973.04541666666671</v>
      </c>
      <c r="F162" s="415">
        <v>2</v>
      </c>
      <c r="G162" s="416">
        <v>1036.0162499999999</v>
      </c>
      <c r="H162" s="417">
        <v>1</v>
      </c>
      <c r="I162" s="418">
        <v>1182.2366666666667</v>
      </c>
      <c r="J162" s="419">
        <v>1.1074999999999999</v>
      </c>
      <c r="K162" s="420">
        <v>1303.6997742663659</v>
      </c>
      <c r="L162" s="421">
        <v>2.5833333333333335</v>
      </c>
      <c r="M162" s="437">
        <v>1205.3706451612904</v>
      </c>
      <c r="N162" s="500"/>
    </row>
    <row r="163" spans="1:185">
      <c r="A163" s="410" t="s">
        <v>369</v>
      </c>
      <c r="B163" s="411" t="s">
        <v>305</v>
      </c>
      <c r="C163" s="422" t="s">
        <v>290</v>
      </c>
      <c r="D163" s="413">
        <v>27.135499999999997</v>
      </c>
      <c r="E163" s="414">
        <v>844.46932984466866</v>
      </c>
      <c r="F163" s="415">
        <v>27</v>
      </c>
      <c r="G163" s="416">
        <v>849.51962962962989</v>
      </c>
      <c r="H163" s="417">
        <v>26.174166666666665</v>
      </c>
      <c r="I163" s="418">
        <v>893.76474895730519</v>
      </c>
      <c r="J163" s="419">
        <v>23.583333333333332</v>
      </c>
      <c r="K163" s="420">
        <v>968.8634275618374</v>
      </c>
      <c r="L163" s="421">
        <v>24.967916666666667</v>
      </c>
      <c r="M163" s="437">
        <v>1419.139395557632</v>
      </c>
      <c r="N163" s="500"/>
    </row>
    <row r="164" spans="1:185">
      <c r="A164" s="410" t="s">
        <v>369</v>
      </c>
      <c r="B164" s="411" t="s">
        <v>320</v>
      </c>
      <c r="C164" s="422" t="s">
        <v>290</v>
      </c>
      <c r="D164" s="413">
        <v>22.884416666666667</v>
      </c>
      <c r="E164" s="414">
        <v>973.48774457145146</v>
      </c>
      <c r="F164" s="415">
        <v>25.201333333333334</v>
      </c>
      <c r="G164" s="416">
        <v>992.79786783768066</v>
      </c>
      <c r="H164" s="417">
        <v>0</v>
      </c>
      <c r="I164" s="418">
        <v>0</v>
      </c>
      <c r="J164" s="419">
        <v>0</v>
      </c>
      <c r="K164" s="420">
        <v>0</v>
      </c>
      <c r="L164" s="421">
        <v>0.79566666666666663</v>
      </c>
      <c r="M164" s="437">
        <v>1591.9710934227062</v>
      </c>
      <c r="N164" s="500"/>
    </row>
    <row r="165" spans="1:185">
      <c r="A165" s="410" t="s">
        <v>369</v>
      </c>
      <c r="B165" s="411" t="s">
        <v>311</v>
      </c>
      <c r="C165" s="422" t="s">
        <v>293</v>
      </c>
      <c r="D165" s="413">
        <v>7.333333333333333</v>
      </c>
      <c r="E165" s="414">
        <v>718.25329545454542</v>
      </c>
      <c r="F165" s="415">
        <v>6.583333333333333</v>
      </c>
      <c r="G165" s="416">
        <v>734.34329113924048</v>
      </c>
      <c r="H165" s="417">
        <v>6.75</v>
      </c>
      <c r="I165" s="418">
        <v>826.74765432098764</v>
      </c>
      <c r="J165" s="419">
        <v>5.0847500000000005</v>
      </c>
      <c r="K165" s="420">
        <v>929.7336807774883</v>
      </c>
      <c r="L165" s="421">
        <v>6.3790000000000004</v>
      </c>
      <c r="M165" s="437">
        <v>1104.304488686837</v>
      </c>
    </row>
    <row r="166" spans="1:185">
      <c r="A166" s="410" t="s">
        <v>369</v>
      </c>
      <c r="B166" s="411" t="s">
        <v>315</v>
      </c>
      <c r="C166" s="422" t="s">
        <v>293</v>
      </c>
      <c r="D166" s="413">
        <v>2.1290833333333334</v>
      </c>
      <c r="E166" s="414">
        <v>710.67987005362249</v>
      </c>
      <c r="F166" s="415">
        <v>2</v>
      </c>
      <c r="G166" s="416">
        <v>712.7791666666667</v>
      </c>
      <c r="H166" s="417">
        <v>2</v>
      </c>
      <c r="I166" s="418">
        <v>770.37250000000006</v>
      </c>
      <c r="J166" s="419">
        <v>2</v>
      </c>
      <c r="K166" s="420">
        <v>939.82875000000001</v>
      </c>
      <c r="L166" s="421">
        <v>2</v>
      </c>
      <c r="M166" s="437">
        <v>1127.7533333333333</v>
      </c>
    </row>
    <row r="167" spans="1:185">
      <c r="A167" s="410" t="s">
        <v>369</v>
      </c>
      <c r="B167" s="411" t="s">
        <v>319</v>
      </c>
      <c r="C167" s="422" t="s">
        <v>289</v>
      </c>
      <c r="D167" s="413">
        <v>0</v>
      </c>
      <c r="E167" s="414">
        <v>0</v>
      </c>
      <c r="F167" s="415">
        <v>5.1083333333333335E-2</v>
      </c>
      <c r="G167" s="416">
        <v>1053.8662316476345</v>
      </c>
      <c r="H167" s="417">
        <v>22.782250000000001</v>
      </c>
      <c r="I167" s="418">
        <v>1191.696423019383</v>
      </c>
      <c r="J167" s="419">
        <v>27.879583333333333</v>
      </c>
      <c r="K167" s="420">
        <v>1326.0126137705306</v>
      </c>
      <c r="L167" s="421">
        <v>28.916666666666668</v>
      </c>
      <c r="M167" s="437">
        <v>1885.5940634005758</v>
      </c>
    </row>
    <row r="168" spans="1:185" s="382" customFormat="1" ht="16" thickBot="1">
      <c r="A168" s="410" t="s">
        <v>369</v>
      </c>
      <c r="B168" s="411" t="s">
        <v>314</v>
      </c>
      <c r="C168" s="422" t="s">
        <v>289</v>
      </c>
      <c r="D168" s="413">
        <v>89.762666666666647</v>
      </c>
      <c r="E168" s="414">
        <v>1153.7847676094</v>
      </c>
      <c r="F168" s="415">
        <v>90.941916666666657</v>
      </c>
      <c r="G168" s="416">
        <v>1215.9698085682896</v>
      </c>
      <c r="H168" s="417">
        <v>93.996500000000012</v>
      </c>
      <c r="I168" s="418">
        <v>1434.1794907257183</v>
      </c>
      <c r="J168" s="419">
        <v>93.582999999999984</v>
      </c>
      <c r="K168" s="420">
        <v>1552.0062938781625</v>
      </c>
      <c r="L168" s="421">
        <v>91.32974999999999</v>
      </c>
      <c r="M168" s="437">
        <v>2380.9370349384158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</row>
    <row r="169" spans="1:185" ht="16" thickTop="1">
      <c r="A169" s="410" t="s">
        <v>356</v>
      </c>
      <c r="B169" s="411" t="s">
        <v>301</v>
      </c>
      <c r="C169" s="422" t="s">
        <v>287</v>
      </c>
      <c r="D169" s="413">
        <v>25.066666666666674</v>
      </c>
      <c r="E169" s="414">
        <v>2816.3964428191484</v>
      </c>
      <c r="F169" s="415">
        <v>25.133333333333336</v>
      </c>
      <c r="G169" s="416">
        <v>2830.3701259946943</v>
      </c>
      <c r="H169" s="417">
        <v>26.016666666666666</v>
      </c>
      <c r="I169" s="418">
        <v>2796.8875720691867</v>
      </c>
      <c r="J169" s="419">
        <v>27.983333333333334</v>
      </c>
      <c r="K169" s="420">
        <v>3108.0448183442522</v>
      </c>
      <c r="L169" s="421">
        <v>27.291666666666668</v>
      </c>
      <c r="M169" s="437">
        <v>3896.5828396946563</v>
      </c>
    </row>
    <row r="170" spans="1:185">
      <c r="A170" s="410" t="s">
        <v>356</v>
      </c>
      <c r="B170" s="411" t="s">
        <v>357</v>
      </c>
      <c r="C170" s="422" t="s">
        <v>290</v>
      </c>
      <c r="D170" s="413">
        <v>0</v>
      </c>
      <c r="E170" s="414">
        <v>0</v>
      </c>
      <c r="F170" s="415">
        <v>0</v>
      </c>
      <c r="G170" s="416">
        <v>0</v>
      </c>
      <c r="H170" s="417">
        <v>0</v>
      </c>
      <c r="I170" s="418">
        <v>0</v>
      </c>
      <c r="J170" s="419">
        <v>0</v>
      </c>
      <c r="K170" s="420">
        <v>0</v>
      </c>
      <c r="L170" s="421">
        <v>1.9900833333333334</v>
      </c>
      <c r="M170" s="437">
        <v>990.68171349608474</v>
      </c>
      <c r="N170" s="500"/>
    </row>
    <row r="171" spans="1:185">
      <c r="A171" s="410" t="s">
        <v>356</v>
      </c>
      <c r="B171" s="411" t="s">
        <v>305</v>
      </c>
      <c r="C171" s="422" t="s">
        <v>290</v>
      </c>
      <c r="D171" s="413">
        <v>2</v>
      </c>
      <c r="E171" s="414">
        <v>781.24458333333348</v>
      </c>
      <c r="F171" s="415">
        <v>2</v>
      </c>
      <c r="G171" s="416">
        <v>755.77958333333333</v>
      </c>
      <c r="H171" s="417">
        <v>2</v>
      </c>
      <c r="I171" s="418">
        <v>875.78750000000002</v>
      </c>
      <c r="J171" s="419">
        <v>2</v>
      </c>
      <c r="K171" s="420">
        <v>997.59333333333325</v>
      </c>
      <c r="L171" s="421">
        <v>2</v>
      </c>
      <c r="M171" s="437">
        <v>726</v>
      </c>
      <c r="N171" s="500"/>
    </row>
    <row r="172" spans="1:185">
      <c r="A172" s="410" t="s">
        <v>356</v>
      </c>
      <c r="B172" s="411" t="s">
        <v>320</v>
      </c>
      <c r="C172" s="422" t="s">
        <v>290</v>
      </c>
      <c r="D172" s="413">
        <v>8.70275</v>
      </c>
      <c r="E172" s="414">
        <v>965.53541505079818</v>
      </c>
      <c r="F172" s="415">
        <v>9.1021666666666672</v>
      </c>
      <c r="G172" s="416">
        <v>1020.3847984912015</v>
      </c>
      <c r="H172" s="417">
        <v>0</v>
      </c>
      <c r="I172" s="418">
        <v>0</v>
      </c>
      <c r="J172" s="419">
        <v>0</v>
      </c>
      <c r="K172" s="420">
        <v>0</v>
      </c>
      <c r="L172" s="421">
        <v>1.3913333333333331</v>
      </c>
      <c r="M172" s="437">
        <v>1212.5131768088165</v>
      </c>
      <c r="N172" s="500"/>
    </row>
    <row r="173" spans="1:185">
      <c r="A173" s="410" t="s">
        <v>356</v>
      </c>
      <c r="B173" s="411" t="s">
        <v>315</v>
      </c>
      <c r="C173" s="422" t="s">
        <v>293</v>
      </c>
      <c r="D173" s="413">
        <v>3</v>
      </c>
      <c r="E173" s="414">
        <v>704.72638888888889</v>
      </c>
      <c r="F173" s="415">
        <v>3</v>
      </c>
      <c r="G173" s="416">
        <v>735.82305555555547</v>
      </c>
      <c r="H173" s="417">
        <v>3</v>
      </c>
      <c r="I173" s="418">
        <v>784.97249999999997</v>
      </c>
      <c r="J173" s="419">
        <v>3</v>
      </c>
      <c r="K173" s="420">
        <v>864.35388888888883</v>
      </c>
      <c r="L173" s="421">
        <v>3</v>
      </c>
      <c r="M173" s="437">
        <v>981.48194444444437</v>
      </c>
    </row>
    <row r="174" spans="1:185">
      <c r="A174" s="410" t="s">
        <v>356</v>
      </c>
      <c r="B174" s="411" t="s">
        <v>351</v>
      </c>
      <c r="C174" s="422" t="s">
        <v>289</v>
      </c>
      <c r="D174" s="413">
        <v>0</v>
      </c>
      <c r="E174" s="414">
        <v>0</v>
      </c>
      <c r="F174" s="415">
        <v>0</v>
      </c>
      <c r="G174" s="416">
        <v>0</v>
      </c>
      <c r="H174" s="417">
        <v>8.3789999999999996</v>
      </c>
      <c r="I174" s="418">
        <v>1121.7615467239527</v>
      </c>
      <c r="J174" s="419">
        <v>8.9476666666666667</v>
      </c>
      <c r="K174" s="420">
        <v>1094.9163655329135</v>
      </c>
      <c r="L174" s="421">
        <v>8</v>
      </c>
      <c r="M174" s="437">
        <v>1340.1516666666666</v>
      </c>
    </row>
    <row r="175" spans="1:185">
      <c r="A175" s="410" t="s">
        <v>356</v>
      </c>
      <c r="B175" s="411" t="s">
        <v>314</v>
      </c>
      <c r="C175" s="422" t="s">
        <v>289</v>
      </c>
      <c r="D175" s="413">
        <v>35.5015</v>
      </c>
      <c r="E175" s="414">
        <v>1025.0319470069339</v>
      </c>
      <c r="F175" s="415">
        <v>34.97625</v>
      </c>
      <c r="G175" s="416">
        <v>1053.4151745827528</v>
      </c>
      <c r="H175" s="417">
        <v>33.030583333333333</v>
      </c>
      <c r="I175" s="418">
        <v>1256.3091024227547</v>
      </c>
      <c r="J175" s="419">
        <v>36.096749999999993</v>
      </c>
      <c r="K175" s="420">
        <v>1264.5781129880118</v>
      </c>
      <c r="L175" s="421">
        <v>27.108333333333334</v>
      </c>
      <c r="M175" s="437">
        <v>1467.9531509375961</v>
      </c>
    </row>
    <row r="176" spans="1:185">
      <c r="A176" s="410" t="s">
        <v>358</v>
      </c>
      <c r="B176" s="411" t="s">
        <v>324</v>
      </c>
      <c r="C176" s="422" t="s">
        <v>418</v>
      </c>
      <c r="D176" s="413">
        <v>0</v>
      </c>
      <c r="E176" s="414">
        <v>0</v>
      </c>
      <c r="F176" s="415">
        <v>0</v>
      </c>
      <c r="G176" s="416">
        <v>0</v>
      </c>
      <c r="H176" s="417">
        <v>0</v>
      </c>
      <c r="I176" s="418">
        <v>0</v>
      </c>
      <c r="J176" s="419">
        <v>0</v>
      </c>
      <c r="K176" s="420">
        <v>0</v>
      </c>
      <c r="L176" s="421">
        <v>2</v>
      </c>
      <c r="M176" s="437">
        <v>1609.2258333333332</v>
      </c>
    </row>
    <row r="177" spans="1:185">
      <c r="A177" s="410" t="s">
        <v>358</v>
      </c>
      <c r="B177" s="430" t="s">
        <v>353</v>
      </c>
      <c r="C177" s="422" t="s">
        <v>418</v>
      </c>
      <c r="D177" s="413">
        <v>0</v>
      </c>
      <c r="E177" s="414">
        <v>0</v>
      </c>
      <c r="F177" s="415">
        <v>0</v>
      </c>
      <c r="G177" s="416">
        <v>0</v>
      </c>
      <c r="H177" s="417">
        <v>0</v>
      </c>
      <c r="I177" s="418">
        <v>0</v>
      </c>
      <c r="J177" s="419">
        <v>0</v>
      </c>
      <c r="K177" s="420">
        <v>0</v>
      </c>
      <c r="L177" s="421">
        <v>1</v>
      </c>
      <c r="M177" s="437">
        <v>1865.4266666666665</v>
      </c>
    </row>
    <row r="178" spans="1:185">
      <c r="A178" s="410" t="s">
        <v>358</v>
      </c>
      <c r="B178" s="430" t="s">
        <v>359</v>
      </c>
      <c r="C178" s="422" t="s">
        <v>418</v>
      </c>
      <c r="D178" s="413">
        <v>0</v>
      </c>
      <c r="E178" s="414">
        <v>0</v>
      </c>
      <c r="F178" s="415">
        <v>0</v>
      </c>
      <c r="G178" s="416">
        <v>0</v>
      </c>
      <c r="H178" s="417">
        <v>0</v>
      </c>
      <c r="I178" s="418">
        <v>0</v>
      </c>
      <c r="J178" s="419">
        <v>0</v>
      </c>
      <c r="K178" s="420">
        <v>0</v>
      </c>
      <c r="L178" s="421">
        <v>1</v>
      </c>
      <c r="M178" s="437">
        <v>1964.4191666666666</v>
      </c>
    </row>
    <row r="179" spans="1:185" s="382" customFormat="1" ht="16" thickBot="1">
      <c r="A179" s="410" t="s">
        <v>358</v>
      </c>
      <c r="B179" s="411" t="s">
        <v>325</v>
      </c>
      <c r="C179" s="422" t="s">
        <v>418</v>
      </c>
      <c r="D179" s="413">
        <v>0</v>
      </c>
      <c r="E179" s="414">
        <v>0</v>
      </c>
      <c r="F179" s="415">
        <v>0</v>
      </c>
      <c r="G179" s="416">
        <v>0</v>
      </c>
      <c r="H179" s="417">
        <v>0</v>
      </c>
      <c r="I179" s="418">
        <v>0</v>
      </c>
      <c r="J179" s="419">
        <v>0</v>
      </c>
      <c r="K179" s="420">
        <v>0</v>
      </c>
      <c r="L179" s="421">
        <v>1</v>
      </c>
      <c r="M179" s="437">
        <v>1766.5658333333333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</row>
    <row r="180" spans="1:185" ht="16" thickTop="1">
      <c r="A180" s="410" t="s">
        <v>358</v>
      </c>
      <c r="B180" s="411" t="s">
        <v>301</v>
      </c>
      <c r="C180" s="422" t="s">
        <v>287</v>
      </c>
      <c r="D180" s="413">
        <v>13.011333333333333</v>
      </c>
      <c r="E180" s="414">
        <v>2787.768355792386</v>
      </c>
      <c r="F180" s="415">
        <v>15.438666666666668</v>
      </c>
      <c r="G180" s="416">
        <v>2668.6526254426112</v>
      </c>
      <c r="H180" s="417">
        <v>18.5</v>
      </c>
      <c r="I180" s="418">
        <v>2664.4693693693698</v>
      </c>
      <c r="J180" s="419">
        <v>17.93375</v>
      </c>
      <c r="K180" s="420">
        <v>3074.4046839060429</v>
      </c>
      <c r="L180" s="421">
        <v>26.133333333333336</v>
      </c>
      <c r="M180" s="437">
        <v>3730.3448022959183</v>
      </c>
    </row>
    <row r="181" spans="1:185">
      <c r="A181" s="410" t="s">
        <v>358</v>
      </c>
      <c r="B181" s="411" t="s">
        <v>303</v>
      </c>
      <c r="C181" s="422" t="s">
        <v>290</v>
      </c>
      <c r="D181" s="413">
        <v>1</v>
      </c>
      <c r="E181" s="414">
        <v>818.27750000000003</v>
      </c>
      <c r="F181" s="415">
        <v>1</v>
      </c>
      <c r="G181" s="416">
        <v>844.25333333333344</v>
      </c>
      <c r="H181" s="417">
        <v>0.25</v>
      </c>
      <c r="I181" s="418">
        <v>1574.4966666666667</v>
      </c>
      <c r="J181" s="419">
        <v>0</v>
      </c>
      <c r="K181" s="420">
        <v>0</v>
      </c>
      <c r="L181" s="421">
        <v>0.25</v>
      </c>
      <c r="M181" s="437">
        <v>998.17333333333329</v>
      </c>
      <c r="N181" s="500"/>
    </row>
    <row r="182" spans="1:185">
      <c r="A182" s="410" t="s">
        <v>358</v>
      </c>
      <c r="B182" s="411" t="s">
        <v>305</v>
      </c>
      <c r="C182" s="422" t="s">
        <v>290</v>
      </c>
      <c r="D182" s="413">
        <v>6</v>
      </c>
      <c r="E182" s="414">
        <v>856.5404166666666</v>
      </c>
      <c r="F182" s="415">
        <v>6</v>
      </c>
      <c r="G182" s="416">
        <v>914.13583333333327</v>
      </c>
      <c r="H182" s="417">
        <v>6.7305833333333327</v>
      </c>
      <c r="I182" s="418">
        <v>1017.7048794680996</v>
      </c>
      <c r="J182" s="419">
        <v>7</v>
      </c>
      <c r="K182" s="420">
        <v>1171.9673809523808</v>
      </c>
      <c r="L182" s="421">
        <v>7</v>
      </c>
      <c r="M182" s="437">
        <v>1790.1035714285715</v>
      </c>
      <c r="N182" s="500"/>
    </row>
    <row r="183" spans="1:185">
      <c r="A183" s="410" t="s">
        <v>358</v>
      </c>
      <c r="B183" s="411" t="s">
        <v>320</v>
      </c>
      <c r="C183" s="422" t="s">
        <v>290</v>
      </c>
      <c r="D183" s="413">
        <v>1</v>
      </c>
      <c r="E183" s="414">
        <v>772.5</v>
      </c>
      <c r="F183" s="415">
        <v>1</v>
      </c>
      <c r="G183" s="416">
        <v>773.34749999999997</v>
      </c>
      <c r="H183" s="417">
        <v>0</v>
      </c>
      <c r="I183" s="418">
        <v>0</v>
      </c>
      <c r="J183" s="419">
        <v>0</v>
      </c>
      <c r="K183" s="420">
        <v>0</v>
      </c>
      <c r="L183" s="421">
        <v>0.5</v>
      </c>
      <c r="M183" s="437">
        <v>1402.3783333333333</v>
      </c>
      <c r="N183" s="500"/>
    </row>
    <row r="184" spans="1:185">
      <c r="A184" s="410" t="s">
        <v>358</v>
      </c>
      <c r="B184" s="411" t="s">
        <v>315</v>
      </c>
      <c r="C184" s="422" t="s">
        <v>293</v>
      </c>
      <c r="D184" s="413">
        <v>2</v>
      </c>
      <c r="E184" s="414">
        <v>717.01625000000001</v>
      </c>
      <c r="F184" s="415">
        <v>2</v>
      </c>
      <c r="G184" s="416">
        <v>737.02583333333348</v>
      </c>
      <c r="H184" s="417">
        <v>2</v>
      </c>
      <c r="I184" s="418">
        <v>775.28291666666667</v>
      </c>
      <c r="J184" s="419">
        <v>2</v>
      </c>
      <c r="K184" s="420">
        <v>859.00833333333333</v>
      </c>
      <c r="L184" s="421">
        <v>2</v>
      </c>
      <c r="M184" s="437">
        <v>1360.8616666666667</v>
      </c>
    </row>
    <row r="185" spans="1:185">
      <c r="A185" s="410" t="s">
        <v>358</v>
      </c>
      <c r="B185" s="411" t="s">
        <v>319</v>
      </c>
      <c r="C185" s="422" t="s">
        <v>289</v>
      </c>
      <c r="D185" s="413">
        <v>0</v>
      </c>
      <c r="E185" s="414">
        <v>0</v>
      </c>
      <c r="F185" s="415">
        <v>0</v>
      </c>
      <c r="G185" s="416">
        <v>0</v>
      </c>
      <c r="H185" s="417">
        <v>1</v>
      </c>
      <c r="I185" s="418">
        <v>1112.0883333333334</v>
      </c>
      <c r="J185" s="419">
        <v>1</v>
      </c>
      <c r="K185" s="420">
        <v>1209.2566666666667</v>
      </c>
      <c r="L185" s="421">
        <v>1.25</v>
      </c>
      <c r="M185" s="437">
        <v>1710.6033333333335</v>
      </c>
    </row>
    <row r="186" spans="1:185" s="382" customFormat="1" ht="16" thickBot="1">
      <c r="A186" s="410" t="s">
        <v>358</v>
      </c>
      <c r="B186" s="411" t="s">
        <v>314</v>
      </c>
      <c r="C186" s="422" t="s">
        <v>289</v>
      </c>
      <c r="D186" s="413">
        <v>26.379000000000001</v>
      </c>
      <c r="E186" s="414">
        <v>1012.4667349027637</v>
      </c>
      <c r="F186" s="415">
        <v>25</v>
      </c>
      <c r="G186" s="416">
        <v>1047.7203333333332</v>
      </c>
      <c r="H186" s="417">
        <v>25.166666666666668</v>
      </c>
      <c r="I186" s="418">
        <v>1183.479966887417</v>
      </c>
      <c r="J186" s="419">
        <v>23.52225</v>
      </c>
      <c r="K186" s="420">
        <v>1400.4526565273306</v>
      </c>
      <c r="L186" s="421">
        <v>31.18416666666667</v>
      </c>
      <c r="M186" s="437">
        <v>2020.7384356377434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</row>
    <row r="187" spans="1:185" ht="16" thickTop="1">
      <c r="A187" s="410" t="s">
        <v>360</v>
      </c>
      <c r="B187" s="430" t="s">
        <v>361</v>
      </c>
      <c r="C187" s="412" t="s">
        <v>418</v>
      </c>
      <c r="D187" s="413">
        <v>1.8666666666666665</v>
      </c>
      <c r="E187" s="414">
        <v>1009.7486607142858</v>
      </c>
      <c r="F187" s="415">
        <v>1.2</v>
      </c>
      <c r="G187" s="416">
        <v>1110.5090277777776</v>
      </c>
      <c r="H187" s="417">
        <v>1.4000000000000001</v>
      </c>
      <c r="I187" s="418">
        <v>924.25178571428569</v>
      </c>
      <c r="J187" s="419">
        <v>0.93558333333333321</v>
      </c>
      <c r="K187" s="420">
        <v>952.66411329829896</v>
      </c>
      <c r="L187" s="421">
        <v>1</v>
      </c>
      <c r="M187" s="437">
        <v>1241.4058333333332</v>
      </c>
    </row>
    <row r="188" spans="1:185">
      <c r="A188" s="410" t="s">
        <v>360</v>
      </c>
      <c r="B188" s="411" t="s">
        <v>301</v>
      </c>
      <c r="C188" s="422" t="s">
        <v>287</v>
      </c>
      <c r="D188" s="413">
        <v>8.8525833333333335</v>
      </c>
      <c r="E188" s="414">
        <v>1950.942850956877</v>
      </c>
      <c r="F188" s="415">
        <v>7.9177500000000007</v>
      </c>
      <c r="G188" s="416">
        <v>2120.554871438645</v>
      </c>
      <c r="H188" s="417">
        <v>8.15</v>
      </c>
      <c r="I188" s="418">
        <v>2281.1514314928427</v>
      </c>
      <c r="J188" s="419">
        <v>8.8999999999999986</v>
      </c>
      <c r="K188" s="420">
        <v>2562.4545880149813</v>
      </c>
      <c r="L188" s="421">
        <v>14.245666666666665</v>
      </c>
      <c r="M188" s="437">
        <v>3088.6783700306532</v>
      </c>
    </row>
    <row r="189" spans="1:185">
      <c r="A189" s="410" t="s">
        <v>360</v>
      </c>
      <c r="B189" s="430" t="s">
        <v>329</v>
      </c>
      <c r="C189" s="431" t="s">
        <v>287</v>
      </c>
      <c r="D189" s="413">
        <v>0</v>
      </c>
      <c r="E189" s="414">
        <v>0</v>
      </c>
      <c r="F189" s="415">
        <v>0</v>
      </c>
      <c r="G189" s="416">
        <v>0</v>
      </c>
      <c r="H189" s="417">
        <v>0</v>
      </c>
      <c r="I189" s="418">
        <v>0</v>
      </c>
      <c r="J189" s="419">
        <v>0</v>
      </c>
      <c r="K189" s="420">
        <v>0</v>
      </c>
      <c r="L189" s="421">
        <v>1</v>
      </c>
      <c r="M189" s="437">
        <v>1891.0466666666669</v>
      </c>
    </row>
    <row r="190" spans="1:185">
      <c r="A190" s="410" t="s">
        <v>360</v>
      </c>
      <c r="B190" s="411" t="s">
        <v>305</v>
      </c>
      <c r="C190" s="422" t="s">
        <v>290</v>
      </c>
      <c r="D190" s="413">
        <v>3</v>
      </c>
      <c r="E190" s="414">
        <v>673.47361111111104</v>
      </c>
      <c r="F190" s="415">
        <v>3</v>
      </c>
      <c r="G190" s="416">
        <v>711.39</v>
      </c>
      <c r="H190" s="417">
        <v>2</v>
      </c>
      <c r="I190" s="418">
        <v>889.19333333333327</v>
      </c>
      <c r="J190" s="419">
        <v>3</v>
      </c>
      <c r="K190" s="420">
        <v>864.88472222222219</v>
      </c>
      <c r="L190" s="421">
        <v>3.0833333333333335</v>
      </c>
      <c r="M190" s="437">
        <v>1373.0454054054055</v>
      </c>
      <c r="N190" s="500"/>
    </row>
    <row r="191" spans="1:185">
      <c r="A191" s="410" t="s">
        <v>360</v>
      </c>
      <c r="B191" s="411" t="s">
        <v>315</v>
      </c>
      <c r="C191" s="422" t="s">
        <v>293</v>
      </c>
      <c r="D191" s="413">
        <v>2</v>
      </c>
      <c r="E191" s="414">
        <v>700.13625000000002</v>
      </c>
      <c r="F191" s="415">
        <v>2</v>
      </c>
      <c r="G191" s="416">
        <v>738.06374999999991</v>
      </c>
      <c r="H191" s="417">
        <v>2</v>
      </c>
      <c r="I191" s="418">
        <v>759.20125000000007</v>
      </c>
      <c r="J191" s="419">
        <v>2</v>
      </c>
      <c r="K191" s="420">
        <v>866.05333333333328</v>
      </c>
      <c r="L191" s="421">
        <v>2.8333333333333335</v>
      </c>
      <c r="M191" s="437">
        <v>1098.4567647058823</v>
      </c>
    </row>
    <row r="192" spans="1:185">
      <c r="A192" s="410" t="s">
        <v>360</v>
      </c>
      <c r="B192" s="411" t="s">
        <v>319</v>
      </c>
      <c r="C192" s="422" t="s">
        <v>289</v>
      </c>
      <c r="D192" s="413">
        <v>0</v>
      </c>
      <c r="E192" s="414">
        <v>0</v>
      </c>
      <c r="F192" s="415">
        <v>0</v>
      </c>
      <c r="G192" s="416">
        <v>0</v>
      </c>
      <c r="H192" s="417">
        <v>0.3145</v>
      </c>
      <c r="I192" s="418">
        <v>785.86380498145206</v>
      </c>
      <c r="J192" s="419">
        <v>1</v>
      </c>
      <c r="K192" s="420">
        <v>681.2208333333333</v>
      </c>
      <c r="L192" s="421">
        <v>2</v>
      </c>
      <c r="M192" s="437">
        <v>1489.7608333333335</v>
      </c>
    </row>
    <row r="193" spans="1:185">
      <c r="A193" s="410" t="s">
        <v>360</v>
      </c>
      <c r="B193" s="411" t="s">
        <v>314</v>
      </c>
      <c r="C193" s="422" t="s">
        <v>289</v>
      </c>
      <c r="D193" s="413">
        <v>12.25</v>
      </c>
      <c r="E193" s="414">
        <v>977.78292517006821</v>
      </c>
      <c r="F193" s="415">
        <v>13</v>
      </c>
      <c r="G193" s="416">
        <v>1014.3021794871796</v>
      </c>
      <c r="H193" s="417">
        <v>13</v>
      </c>
      <c r="I193" s="418">
        <v>1142.5631410256412</v>
      </c>
      <c r="J193" s="419">
        <v>13.045666666666667</v>
      </c>
      <c r="K193" s="420">
        <v>1270.1424483225594</v>
      </c>
      <c r="L193" s="421">
        <v>16.416666666666668</v>
      </c>
      <c r="M193" s="437">
        <v>1756.9375634517764</v>
      </c>
    </row>
    <row r="194" spans="1:185" s="382" customFormat="1" ht="16" thickBot="1">
      <c r="A194" s="410" t="s">
        <v>362</v>
      </c>
      <c r="B194" s="411" t="s">
        <v>342</v>
      </c>
      <c r="C194" s="412" t="s">
        <v>418</v>
      </c>
      <c r="D194" s="413">
        <v>30.566666666666666</v>
      </c>
      <c r="E194" s="414">
        <v>1348.1725463467831</v>
      </c>
      <c r="F194" s="415">
        <v>29.817166666666669</v>
      </c>
      <c r="G194" s="416">
        <v>1373.5634114576051</v>
      </c>
      <c r="H194" s="417">
        <v>30.295666666666666</v>
      </c>
      <c r="I194" s="418">
        <v>1485.7550034658423</v>
      </c>
      <c r="J194" s="419">
        <v>33.700833333333335</v>
      </c>
      <c r="K194" s="420">
        <v>1612.53502633466</v>
      </c>
      <c r="L194" s="421">
        <v>32.291833333333336</v>
      </c>
      <c r="M194" s="437">
        <v>1869.6847500141937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</row>
    <row r="195" spans="1:185" ht="16" thickTop="1">
      <c r="A195" s="410" t="s">
        <v>362</v>
      </c>
      <c r="B195" s="411" t="s">
        <v>301</v>
      </c>
      <c r="C195" s="422" t="s">
        <v>287</v>
      </c>
      <c r="D195" s="413">
        <v>19.737833333333334</v>
      </c>
      <c r="E195" s="414">
        <v>2726.3088653769832</v>
      </c>
      <c r="F195" s="415">
        <v>19.610083333333332</v>
      </c>
      <c r="G195" s="416">
        <v>2615.9196586789958</v>
      </c>
      <c r="H195" s="417">
        <v>20.214999999999996</v>
      </c>
      <c r="I195" s="418">
        <v>2973.7969741940806</v>
      </c>
      <c r="J195" s="419">
        <v>24.37725</v>
      </c>
      <c r="K195" s="420">
        <v>3049.2286523978987</v>
      </c>
      <c r="L195" s="421">
        <v>25.301666666666666</v>
      </c>
      <c r="M195" s="437">
        <v>3263.019794479942</v>
      </c>
    </row>
    <row r="196" spans="1:185">
      <c r="A196" s="410" t="s">
        <v>362</v>
      </c>
      <c r="B196" s="411" t="s">
        <v>303</v>
      </c>
      <c r="C196" s="422" t="s">
        <v>290</v>
      </c>
      <c r="D196" s="413">
        <v>2</v>
      </c>
      <c r="E196" s="414">
        <v>520.81916666666666</v>
      </c>
      <c r="F196" s="415">
        <v>2</v>
      </c>
      <c r="G196" s="416">
        <v>573.85583333333341</v>
      </c>
      <c r="H196" s="417">
        <v>2</v>
      </c>
      <c r="I196" s="418">
        <v>619.15333333333331</v>
      </c>
      <c r="J196" s="419">
        <v>2</v>
      </c>
      <c r="K196" s="420">
        <v>693.0575</v>
      </c>
      <c r="L196" s="421">
        <v>2</v>
      </c>
      <c r="M196" s="437">
        <v>757.09458333333339</v>
      </c>
      <c r="N196" s="500"/>
    </row>
    <row r="197" spans="1:185" s="382" customFormat="1" ht="16" thickBot="1">
      <c r="A197" s="410" t="s">
        <v>362</v>
      </c>
      <c r="B197" s="411" t="s">
        <v>305</v>
      </c>
      <c r="C197" s="422" t="s">
        <v>290</v>
      </c>
      <c r="D197" s="413">
        <v>0.25</v>
      </c>
      <c r="E197" s="414">
        <v>1593.1133333333335</v>
      </c>
      <c r="F197" s="415">
        <v>0</v>
      </c>
      <c r="G197" s="416">
        <v>0</v>
      </c>
      <c r="H197" s="417">
        <v>0</v>
      </c>
      <c r="I197" s="418">
        <v>0</v>
      </c>
      <c r="J197" s="419">
        <v>0</v>
      </c>
      <c r="K197" s="420">
        <v>0</v>
      </c>
      <c r="L197" s="421">
        <v>0</v>
      </c>
      <c r="M197" s="437">
        <v>0</v>
      </c>
      <c r="N197" s="500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</row>
    <row r="198" spans="1:185" ht="16" thickTop="1">
      <c r="A198" s="410" t="s">
        <v>362</v>
      </c>
      <c r="B198" s="411" t="s">
        <v>320</v>
      </c>
      <c r="C198" s="422" t="s">
        <v>290</v>
      </c>
      <c r="D198" s="413">
        <v>2.7250000000000001</v>
      </c>
      <c r="E198" s="414">
        <v>680.40489296636076</v>
      </c>
      <c r="F198" s="415">
        <v>3</v>
      </c>
      <c r="G198" s="416">
        <v>703.00083333333328</v>
      </c>
      <c r="H198" s="417">
        <v>0</v>
      </c>
      <c r="I198" s="418">
        <v>0</v>
      </c>
      <c r="J198" s="419">
        <v>0</v>
      </c>
      <c r="K198" s="420">
        <v>0</v>
      </c>
      <c r="L198" s="421">
        <v>0</v>
      </c>
      <c r="M198" s="437">
        <v>0</v>
      </c>
      <c r="N198" s="500"/>
    </row>
    <row r="199" spans="1:185">
      <c r="A199" s="410" t="s">
        <v>362</v>
      </c>
      <c r="B199" s="411" t="s">
        <v>315</v>
      </c>
      <c r="C199" s="422" t="s">
        <v>293</v>
      </c>
      <c r="D199" s="413">
        <v>2</v>
      </c>
      <c r="E199" s="414">
        <v>1206.4958333333334</v>
      </c>
      <c r="F199" s="415">
        <v>2</v>
      </c>
      <c r="G199" s="416">
        <v>1199.8841666666667</v>
      </c>
      <c r="H199" s="417">
        <v>2</v>
      </c>
      <c r="I199" s="418">
        <v>1264.085</v>
      </c>
      <c r="J199" s="419">
        <v>2</v>
      </c>
      <c r="K199" s="420">
        <v>1392.8604166666667</v>
      </c>
      <c r="L199" s="421">
        <v>2</v>
      </c>
      <c r="M199" s="437">
        <v>1430.2375</v>
      </c>
    </row>
    <row r="200" spans="1:185">
      <c r="A200" s="410" t="s">
        <v>362</v>
      </c>
      <c r="B200" s="411" t="s">
        <v>319</v>
      </c>
      <c r="C200" s="422" t="s">
        <v>289</v>
      </c>
      <c r="D200" s="413">
        <v>0</v>
      </c>
      <c r="E200" s="414">
        <v>0</v>
      </c>
      <c r="F200" s="415">
        <v>0</v>
      </c>
      <c r="G200" s="416">
        <v>0</v>
      </c>
      <c r="H200" s="417">
        <v>3</v>
      </c>
      <c r="I200" s="418">
        <v>822.97361111111115</v>
      </c>
      <c r="J200" s="419">
        <v>3</v>
      </c>
      <c r="K200" s="420">
        <v>954.29388888888889</v>
      </c>
      <c r="L200" s="421">
        <v>3</v>
      </c>
      <c r="M200" s="437">
        <v>981.76750000000015</v>
      </c>
    </row>
    <row r="201" spans="1:185">
      <c r="A201" s="410" t="s">
        <v>362</v>
      </c>
      <c r="B201" s="411" t="s">
        <v>314</v>
      </c>
      <c r="C201" s="422" t="s">
        <v>289</v>
      </c>
      <c r="D201" s="413">
        <v>4.786083333333333</v>
      </c>
      <c r="E201" s="414">
        <v>993.78580258736247</v>
      </c>
      <c r="F201" s="415">
        <v>3.2055833333333332</v>
      </c>
      <c r="G201" s="416">
        <v>1230.364208282424</v>
      </c>
      <c r="H201" s="417">
        <v>4.458333333333333</v>
      </c>
      <c r="I201" s="418">
        <v>1608.2214953271027</v>
      </c>
      <c r="J201" s="419">
        <v>5.25</v>
      </c>
      <c r="K201" s="420">
        <v>1648.7138095238095</v>
      </c>
      <c r="L201" s="421">
        <v>5</v>
      </c>
      <c r="M201" s="437">
        <v>1686.5623333333331</v>
      </c>
    </row>
    <row r="202" spans="1:185">
      <c r="A202" s="410" t="s">
        <v>363</v>
      </c>
      <c r="B202" s="411" t="s">
        <v>364</v>
      </c>
      <c r="C202" s="412" t="s">
        <v>292</v>
      </c>
      <c r="D202" s="413">
        <v>20</v>
      </c>
      <c r="E202" s="414">
        <v>1086.763083333333</v>
      </c>
      <c r="F202" s="415">
        <v>21</v>
      </c>
      <c r="G202" s="416">
        <v>1109.1442063492061</v>
      </c>
      <c r="H202" s="417">
        <v>20.416666666666668</v>
      </c>
      <c r="I202" s="418">
        <v>1247.1437959183672</v>
      </c>
      <c r="J202" s="419">
        <v>21</v>
      </c>
      <c r="K202" s="420">
        <v>1327.7045238095241</v>
      </c>
      <c r="L202" s="421">
        <v>21.5</v>
      </c>
      <c r="M202" s="437">
        <v>1557.0787209302325</v>
      </c>
    </row>
    <row r="203" spans="1:185">
      <c r="A203" s="410" t="s">
        <v>363</v>
      </c>
      <c r="B203" s="411" t="s">
        <v>301</v>
      </c>
      <c r="C203" s="422" t="s">
        <v>287</v>
      </c>
      <c r="D203" s="413">
        <v>1</v>
      </c>
      <c r="E203" s="414">
        <v>3792.3799999999997</v>
      </c>
      <c r="F203" s="415">
        <v>1</v>
      </c>
      <c r="G203" s="416">
        <v>3845.1133333333332</v>
      </c>
      <c r="H203" s="417">
        <v>1</v>
      </c>
      <c r="I203" s="418">
        <v>4200.3675000000003</v>
      </c>
      <c r="J203" s="419">
        <v>1</v>
      </c>
      <c r="K203" s="420">
        <v>4408.0775000000003</v>
      </c>
      <c r="L203" s="421">
        <v>1</v>
      </c>
      <c r="M203" s="437">
        <v>4792.1925000000001</v>
      </c>
    </row>
    <row r="204" spans="1:185">
      <c r="A204" s="410" t="s">
        <v>363</v>
      </c>
      <c r="B204" s="411" t="s">
        <v>315</v>
      </c>
      <c r="C204" s="422" t="s">
        <v>293</v>
      </c>
      <c r="D204" s="413">
        <v>1.6666666666666666E-2</v>
      </c>
      <c r="E204" s="414">
        <v>1144.7499999999998</v>
      </c>
      <c r="F204" s="415">
        <v>0</v>
      </c>
      <c r="G204" s="416">
        <v>0</v>
      </c>
      <c r="H204" s="417">
        <v>0</v>
      </c>
      <c r="I204" s="418">
        <v>0</v>
      </c>
      <c r="J204" s="419">
        <v>0</v>
      </c>
      <c r="K204" s="420">
        <v>0</v>
      </c>
      <c r="L204" s="421">
        <v>0</v>
      </c>
      <c r="M204" s="437">
        <v>0</v>
      </c>
    </row>
    <row r="205" spans="1:185">
      <c r="A205" s="410" t="s">
        <v>365</v>
      </c>
      <c r="B205" s="411" t="s">
        <v>366</v>
      </c>
      <c r="C205" s="422" t="s">
        <v>418</v>
      </c>
      <c r="D205" s="413">
        <v>1</v>
      </c>
      <c r="E205" s="414">
        <v>717.22416666666675</v>
      </c>
      <c r="F205" s="415">
        <v>1</v>
      </c>
      <c r="G205" s="416">
        <v>704.20166666666671</v>
      </c>
      <c r="H205" s="417">
        <v>1</v>
      </c>
      <c r="I205" s="418">
        <v>644.81583333333333</v>
      </c>
      <c r="J205" s="419">
        <v>0</v>
      </c>
      <c r="K205" s="420">
        <v>0</v>
      </c>
      <c r="L205" s="421">
        <v>0</v>
      </c>
      <c r="M205" s="437">
        <v>0</v>
      </c>
    </row>
    <row r="206" spans="1:185">
      <c r="A206" s="410" t="s">
        <v>365</v>
      </c>
      <c r="B206" s="411" t="s">
        <v>342</v>
      </c>
      <c r="C206" s="412" t="s">
        <v>418</v>
      </c>
      <c r="D206" s="413">
        <v>2</v>
      </c>
      <c r="E206" s="414">
        <v>860.73624999999993</v>
      </c>
      <c r="F206" s="415">
        <v>2</v>
      </c>
      <c r="G206" s="416">
        <v>895.7420833333332</v>
      </c>
      <c r="H206" s="417">
        <v>2</v>
      </c>
      <c r="I206" s="418">
        <v>955.79208333333338</v>
      </c>
      <c r="J206" s="419">
        <v>2</v>
      </c>
      <c r="K206" s="420">
        <v>951.39791666666667</v>
      </c>
      <c r="L206" s="421">
        <v>2</v>
      </c>
      <c r="M206" s="437">
        <v>1073.3783333333333</v>
      </c>
    </row>
    <row r="207" spans="1:185">
      <c r="A207" s="410" t="s">
        <v>365</v>
      </c>
      <c r="B207" s="411" t="s">
        <v>367</v>
      </c>
      <c r="C207" s="412" t="s">
        <v>418</v>
      </c>
      <c r="D207" s="413">
        <v>0</v>
      </c>
      <c r="E207" s="414">
        <v>0</v>
      </c>
      <c r="F207" s="415">
        <v>0</v>
      </c>
      <c r="G207" s="416">
        <v>0</v>
      </c>
      <c r="H207" s="417">
        <v>0</v>
      </c>
      <c r="I207" s="418">
        <v>0</v>
      </c>
      <c r="J207" s="419">
        <v>1.2930833333333334</v>
      </c>
      <c r="K207" s="420">
        <v>860.8255461751628</v>
      </c>
      <c r="L207" s="421">
        <v>0.66666666666666663</v>
      </c>
      <c r="M207" s="437">
        <v>915.57375000000002</v>
      </c>
    </row>
    <row r="208" spans="1:185">
      <c r="A208" s="410" t="s">
        <v>365</v>
      </c>
      <c r="B208" s="411" t="s">
        <v>368</v>
      </c>
      <c r="C208" s="422" t="s">
        <v>418</v>
      </c>
      <c r="D208" s="413">
        <v>2</v>
      </c>
      <c r="E208" s="414">
        <v>889.56666666666661</v>
      </c>
      <c r="F208" s="415">
        <v>2</v>
      </c>
      <c r="G208" s="416">
        <v>896.32041666666657</v>
      </c>
      <c r="H208" s="417">
        <v>2</v>
      </c>
      <c r="I208" s="418">
        <v>921.81208333333325</v>
      </c>
      <c r="J208" s="419">
        <v>2</v>
      </c>
      <c r="K208" s="420">
        <v>952.15124999999989</v>
      </c>
      <c r="L208" s="421">
        <v>1</v>
      </c>
      <c r="M208" s="437">
        <v>755.83500000000004</v>
      </c>
    </row>
    <row r="209" spans="1:185" s="382" customFormat="1" ht="16" thickBot="1">
      <c r="A209" s="410" t="s">
        <v>365</v>
      </c>
      <c r="B209" s="411" t="s">
        <v>301</v>
      </c>
      <c r="C209" s="422" t="s">
        <v>287</v>
      </c>
      <c r="D209" s="413">
        <v>0.19999999999999998</v>
      </c>
      <c r="E209" s="414">
        <v>11817.308333333334</v>
      </c>
      <c r="F209" s="415">
        <v>0.19999999999999998</v>
      </c>
      <c r="G209" s="416">
        <v>10742.379166666668</v>
      </c>
      <c r="H209" s="417">
        <v>0</v>
      </c>
      <c r="I209" s="418">
        <v>0</v>
      </c>
      <c r="J209" s="419">
        <v>0.16666666666666666</v>
      </c>
      <c r="K209" s="420">
        <v>1291.25</v>
      </c>
      <c r="L209" s="421">
        <v>0.76341666666666663</v>
      </c>
      <c r="M209" s="437">
        <v>1764.261543499618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</row>
    <row r="210" spans="1:185" ht="16" thickTop="1">
      <c r="A210" s="410" t="s">
        <v>365</v>
      </c>
      <c r="B210" s="411" t="s">
        <v>343</v>
      </c>
      <c r="C210" s="431" t="s">
        <v>287</v>
      </c>
      <c r="D210" s="413">
        <v>13.667166666666667</v>
      </c>
      <c r="E210" s="414">
        <v>2276.5507969220635</v>
      </c>
      <c r="F210" s="415">
        <v>11.794833333333335</v>
      </c>
      <c r="G210" s="416">
        <v>2103.715963204228</v>
      </c>
      <c r="H210" s="417">
        <v>16.328583333333334</v>
      </c>
      <c r="I210" s="418">
        <v>1650.9192469238499</v>
      </c>
      <c r="J210" s="419">
        <v>15.490833333333335</v>
      </c>
      <c r="K210" s="420">
        <v>1944.2238958523858</v>
      </c>
      <c r="L210" s="421">
        <v>11.666666666666666</v>
      </c>
      <c r="M210" s="437">
        <v>2580.955928571429</v>
      </c>
    </row>
    <row r="211" spans="1:185">
      <c r="A211" s="410" t="s">
        <v>365</v>
      </c>
      <c r="B211" s="411" t="s">
        <v>303</v>
      </c>
      <c r="C211" s="422" t="s">
        <v>290</v>
      </c>
      <c r="D211" s="413">
        <v>2</v>
      </c>
      <c r="E211" s="414">
        <v>1075.6941666666667</v>
      </c>
      <c r="F211" s="415">
        <v>2</v>
      </c>
      <c r="G211" s="416">
        <v>1240.3866666666665</v>
      </c>
      <c r="H211" s="417">
        <v>2</v>
      </c>
      <c r="I211" s="418">
        <v>1295.1166666666666</v>
      </c>
      <c r="J211" s="419">
        <v>2</v>
      </c>
      <c r="K211" s="420">
        <v>1452.7183333333332</v>
      </c>
      <c r="L211" s="421">
        <v>2</v>
      </c>
      <c r="M211" s="437">
        <v>877.63583333333327</v>
      </c>
      <c r="N211" s="500"/>
    </row>
    <row r="212" spans="1:185">
      <c r="A212" s="410" t="s">
        <v>365</v>
      </c>
      <c r="B212" s="411" t="s">
        <v>305</v>
      </c>
      <c r="C212" s="422" t="s">
        <v>290</v>
      </c>
      <c r="D212" s="413">
        <v>4</v>
      </c>
      <c r="E212" s="414">
        <v>703.61854166666672</v>
      </c>
      <c r="F212" s="415">
        <v>3.6666666666666665</v>
      </c>
      <c r="G212" s="416">
        <v>747.35886363636371</v>
      </c>
      <c r="H212" s="417">
        <v>3</v>
      </c>
      <c r="I212" s="418">
        <v>699.97861111111115</v>
      </c>
      <c r="J212" s="419">
        <v>4</v>
      </c>
      <c r="K212" s="420">
        <v>726.76187500000003</v>
      </c>
      <c r="L212" s="421">
        <v>1</v>
      </c>
      <c r="M212" s="437">
        <v>898.10583333333341</v>
      </c>
      <c r="N212" s="500"/>
    </row>
    <row r="213" spans="1:185">
      <c r="A213" s="410" t="s">
        <v>365</v>
      </c>
      <c r="B213" s="411" t="s">
        <v>320</v>
      </c>
      <c r="C213" s="422" t="s">
        <v>290</v>
      </c>
      <c r="D213" s="413">
        <v>0.48058333333333336</v>
      </c>
      <c r="E213" s="414">
        <v>596.63603259927174</v>
      </c>
      <c r="F213" s="415">
        <v>0</v>
      </c>
      <c r="G213" s="416">
        <v>0</v>
      </c>
      <c r="H213" s="417">
        <v>0</v>
      </c>
      <c r="I213" s="418">
        <v>0</v>
      </c>
      <c r="J213" s="419">
        <v>0</v>
      </c>
      <c r="K213" s="420">
        <v>0</v>
      </c>
      <c r="L213" s="421">
        <v>0</v>
      </c>
      <c r="M213" s="437">
        <v>0</v>
      </c>
      <c r="N213" s="500"/>
    </row>
    <row r="214" spans="1:185">
      <c r="A214" s="410" t="s">
        <v>365</v>
      </c>
      <c r="B214" s="411" t="s">
        <v>311</v>
      </c>
      <c r="C214" s="422" t="s">
        <v>293</v>
      </c>
      <c r="D214" s="413">
        <v>1</v>
      </c>
      <c r="E214" s="414">
        <v>697.05083333333334</v>
      </c>
      <c r="F214" s="415">
        <v>1</v>
      </c>
      <c r="G214" s="416">
        <v>782.13250000000005</v>
      </c>
      <c r="H214" s="417">
        <v>1.5671666666666668</v>
      </c>
      <c r="I214" s="418">
        <v>746.81750505157925</v>
      </c>
      <c r="J214" s="419">
        <v>1</v>
      </c>
      <c r="K214" s="420">
        <v>594.87083333333328</v>
      </c>
      <c r="L214" s="421">
        <v>0</v>
      </c>
      <c r="M214" s="437">
        <v>0</v>
      </c>
    </row>
    <row r="215" spans="1:185">
      <c r="A215" s="410" t="s">
        <v>365</v>
      </c>
      <c r="B215" s="411" t="s">
        <v>315</v>
      </c>
      <c r="C215" s="422" t="s">
        <v>293</v>
      </c>
      <c r="D215" s="413">
        <v>2</v>
      </c>
      <c r="E215" s="414">
        <v>830.10833333333323</v>
      </c>
      <c r="F215" s="415">
        <v>2</v>
      </c>
      <c r="G215" s="416">
        <v>860.65208333333339</v>
      </c>
      <c r="H215" s="417">
        <v>2</v>
      </c>
      <c r="I215" s="418">
        <v>680.3658333333334</v>
      </c>
      <c r="J215" s="419">
        <v>2</v>
      </c>
      <c r="K215" s="420">
        <v>899.30250000000012</v>
      </c>
      <c r="L215" s="421">
        <v>2.5067499999999998</v>
      </c>
      <c r="M215" s="437">
        <v>979.78358432232972</v>
      </c>
    </row>
    <row r="216" spans="1:185">
      <c r="A216" s="410" t="s">
        <v>365</v>
      </c>
      <c r="B216" s="411" t="s">
        <v>314</v>
      </c>
      <c r="C216" s="422" t="s">
        <v>289</v>
      </c>
      <c r="D216" s="413">
        <v>24.666666666666668</v>
      </c>
      <c r="E216" s="414">
        <v>1060.6009797297297</v>
      </c>
      <c r="F216" s="415">
        <v>24.502666666666666</v>
      </c>
      <c r="G216" s="416">
        <v>1030.3106464602495</v>
      </c>
      <c r="H216" s="417">
        <v>24.705583333333333</v>
      </c>
      <c r="I216" s="418">
        <v>1016.5795855862541</v>
      </c>
      <c r="J216" s="419">
        <v>22.462333333333333</v>
      </c>
      <c r="K216" s="420">
        <v>1099.6000341312122</v>
      </c>
      <c r="L216" s="421">
        <v>13.236000000000002</v>
      </c>
      <c r="M216" s="437">
        <v>1273.9065175783217</v>
      </c>
    </row>
    <row r="217" spans="1:185">
      <c r="A217" s="410" t="s">
        <v>370</v>
      </c>
      <c r="B217" s="411" t="s">
        <v>371</v>
      </c>
      <c r="C217" s="412" t="s">
        <v>288</v>
      </c>
      <c r="D217" s="413">
        <v>9.0499999999999989</v>
      </c>
      <c r="E217" s="414">
        <v>1731.6299263351746</v>
      </c>
      <c r="F217" s="415">
        <v>8.7722499999999997</v>
      </c>
      <c r="G217" s="416">
        <v>1779.6308434742132</v>
      </c>
      <c r="H217" s="417">
        <v>10.416</v>
      </c>
      <c r="I217" s="502">
        <v>2200</v>
      </c>
      <c r="J217" s="419">
        <v>10.330583333333333</v>
      </c>
      <c r="K217" s="420">
        <v>2342.2163156323859</v>
      </c>
      <c r="L217" s="421">
        <v>9.3333333333333339</v>
      </c>
      <c r="M217" s="437">
        <v>2407.9989285714282</v>
      </c>
    </row>
    <row r="218" spans="1:185">
      <c r="A218" s="410" t="s">
        <v>370</v>
      </c>
      <c r="B218" s="411" t="s">
        <v>372</v>
      </c>
      <c r="C218" s="412" t="s">
        <v>288</v>
      </c>
      <c r="D218" s="413">
        <v>13.85</v>
      </c>
      <c r="E218" s="414">
        <v>1000.7847172081831</v>
      </c>
      <c r="F218" s="415">
        <v>13.799999999999999</v>
      </c>
      <c r="G218" s="416">
        <v>1040.4743357487923</v>
      </c>
      <c r="H218" s="417">
        <v>14.516333333333336</v>
      </c>
      <c r="I218" s="502">
        <v>1100</v>
      </c>
      <c r="J218" s="419">
        <v>14.633333333333333</v>
      </c>
      <c r="K218" s="420">
        <v>1155.3886674259682</v>
      </c>
      <c r="L218" s="421">
        <v>14.762333333333332</v>
      </c>
      <c r="M218" s="437">
        <v>1269.6913315419877</v>
      </c>
    </row>
    <row r="219" spans="1:185" s="382" customFormat="1" ht="16" thickBot="1">
      <c r="A219" s="410" t="s">
        <v>370</v>
      </c>
      <c r="B219" s="411" t="s">
        <v>303</v>
      </c>
      <c r="C219" s="422" t="s">
        <v>290</v>
      </c>
      <c r="D219" s="413">
        <v>1</v>
      </c>
      <c r="E219" s="414">
        <v>643.55166666666662</v>
      </c>
      <c r="F219" s="415">
        <v>1</v>
      </c>
      <c r="G219" s="416">
        <v>653.74916666666661</v>
      </c>
      <c r="H219" s="417">
        <v>1.12775</v>
      </c>
      <c r="I219" s="502">
        <v>630</v>
      </c>
      <c r="J219" s="419">
        <v>1</v>
      </c>
      <c r="K219" s="420">
        <v>632.59916666666663</v>
      </c>
      <c r="L219" s="421">
        <v>1.6290000000000002</v>
      </c>
      <c r="M219" s="437">
        <v>731.18477593615717</v>
      </c>
      <c r="N219" s="500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</row>
    <row r="220" spans="1:185" ht="16" thickTop="1">
      <c r="A220" s="410" t="s">
        <v>370</v>
      </c>
      <c r="B220" s="411" t="s">
        <v>305</v>
      </c>
      <c r="C220" s="422" t="s">
        <v>290</v>
      </c>
      <c r="D220" s="413">
        <v>9.2944166666666668</v>
      </c>
      <c r="E220" s="414">
        <v>615.27045807070556</v>
      </c>
      <c r="F220" s="415">
        <v>9.2889166666666672</v>
      </c>
      <c r="G220" s="416">
        <v>621.52771672333506</v>
      </c>
      <c r="H220" s="417">
        <v>8.4623333333333335</v>
      </c>
      <c r="I220" s="502">
        <v>700</v>
      </c>
      <c r="J220" s="419">
        <v>9.8387499999999992</v>
      </c>
      <c r="K220" s="420">
        <v>763.1969677719901</v>
      </c>
      <c r="L220" s="421">
        <v>10</v>
      </c>
      <c r="M220" s="437">
        <v>879.85041666666655</v>
      </c>
      <c r="N220" s="500"/>
    </row>
    <row r="221" spans="1:185">
      <c r="A221" s="410" t="s">
        <v>370</v>
      </c>
      <c r="B221" s="411" t="s">
        <v>307</v>
      </c>
      <c r="C221" s="422" t="s">
        <v>293</v>
      </c>
      <c r="D221" s="413">
        <v>0</v>
      </c>
      <c r="E221" s="414">
        <v>0</v>
      </c>
      <c r="F221" s="415">
        <v>0.29441666666666666</v>
      </c>
      <c r="G221" s="416">
        <v>478.91593546560995</v>
      </c>
      <c r="H221" s="417">
        <v>1</v>
      </c>
      <c r="I221" s="502">
        <v>560</v>
      </c>
      <c r="J221" s="419">
        <v>1</v>
      </c>
      <c r="K221" s="420">
        <v>654.75666666666666</v>
      </c>
      <c r="L221" s="421">
        <v>1</v>
      </c>
      <c r="M221" s="437">
        <v>690.09416666666664</v>
      </c>
    </row>
    <row r="222" spans="1:185">
      <c r="A222" s="410" t="s">
        <v>370</v>
      </c>
      <c r="B222" s="411" t="s">
        <v>313</v>
      </c>
      <c r="C222" s="422" t="s">
        <v>293</v>
      </c>
      <c r="D222" s="413">
        <v>1</v>
      </c>
      <c r="E222" s="414">
        <v>511.92416666666668</v>
      </c>
      <c r="F222" s="415">
        <v>0</v>
      </c>
      <c r="G222" s="416">
        <v>0</v>
      </c>
      <c r="H222" s="417">
        <v>0</v>
      </c>
      <c r="I222" s="418">
        <v>0</v>
      </c>
      <c r="J222" s="419">
        <v>0</v>
      </c>
      <c r="K222" s="420">
        <v>0</v>
      </c>
      <c r="L222" s="421">
        <v>0</v>
      </c>
      <c r="M222" s="437">
        <v>0</v>
      </c>
    </row>
    <row r="223" spans="1:185">
      <c r="A223" s="410" t="s">
        <v>370</v>
      </c>
      <c r="B223" s="411" t="s">
        <v>315</v>
      </c>
      <c r="C223" s="422" t="s">
        <v>293</v>
      </c>
      <c r="D223" s="413">
        <v>1</v>
      </c>
      <c r="E223" s="414">
        <v>890.05833333333339</v>
      </c>
      <c r="F223" s="415">
        <v>1</v>
      </c>
      <c r="G223" s="416">
        <v>924.76583333333338</v>
      </c>
      <c r="H223" s="417">
        <v>1</v>
      </c>
      <c r="I223" s="502">
        <v>950</v>
      </c>
      <c r="J223" s="419">
        <v>1</v>
      </c>
      <c r="K223" s="420">
        <v>1033.19</v>
      </c>
      <c r="L223" s="421">
        <v>1</v>
      </c>
      <c r="M223" s="437">
        <v>1078.2716666666668</v>
      </c>
    </row>
    <row r="224" spans="1:185">
      <c r="A224" s="410" t="s">
        <v>374</v>
      </c>
      <c r="B224" s="411" t="s">
        <v>301</v>
      </c>
      <c r="C224" s="422" t="s">
        <v>287</v>
      </c>
      <c r="D224" s="413">
        <v>9.927999999999999</v>
      </c>
      <c r="E224" s="414">
        <v>3053.2884266720398</v>
      </c>
      <c r="F224" s="415">
        <v>9.8485833333333321</v>
      </c>
      <c r="G224" s="416">
        <v>2900.791822851003</v>
      </c>
      <c r="H224" s="417">
        <v>11.206916666666666</v>
      </c>
      <c r="I224" s="418">
        <v>2785.8457202769123</v>
      </c>
      <c r="J224" s="419">
        <v>12.58975</v>
      </c>
      <c r="K224" s="420">
        <v>2963.6526407063948</v>
      </c>
      <c r="L224" s="421">
        <v>10.551333333333332</v>
      </c>
      <c r="M224" s="437">
        <v>4084.3820686169211</v>
      </c>
    </row>
    <row r="225" spans="1:185">
      <c r="A225" s="410" t="s">
        <v>374</v>
      </c>
      <c r="B225" s="411" t="s">
        <v>303</v>
      </c>
      <c r="C225" s="422" t="s">
        <v>290</v>
      </c>
      <c r="D225" s="413">
        <v>1</v>
      </c>
      <c r="E225" s="414">
        <v>573.47249999999997</v>
      </c>
      <c r="F225" s="415">
        <v>1</v>
      </c>
      <c r="G225" s="416">
        <v>589.57749999999999</v>
      </c>
      <c r="H225" s="417">
        <v>1</v>
      </c>
      <c r="I225" s="418">
        <v>634.73249999999996</v>
      </c>
      <c r="J225" s="419">
        <v>1</v>
      </c>
      <c r="K225" s="420">
        <v>702.81916666666666</v>
      </c>
      <c r="L225" s="421">
        <v>1</v>
      </c>
      <c r="M225" s="437">
        <v>765.74583333333339</v>
      </c>
      <c r="N225" s="500"/>
    </row>
    <row r="226" spans="1:185" s="382" customFormat="1" ht="16" thickBot="1">
      <c r="A226" s="410" t="s">
        <v>374</v>
      </c>
      <c r="B226" s="411" t="s">
        <v>305</v>
      </c>
      <c r="C226" s="422" t="s">
        <v>290</v>
      </c>
      <c r="D226" s="413">
        <v>4</v>
      </c>
      <c r="E226" s="414">
        <v>628.20937500000002</v>
      </c>
      <c r="F226" s="415">
        <v>4</v>
      </c>
      <c r="G226" s="416">
        <v>631.64854166666669</v>
      </c>
      <c r="H226" s="417">
        <v>4</v>
      </c>
      <c r="I226" s="418">
        <v>775.94041666666647</v>
      </c>
      <c r="J226" s="419">
        <v>4</v>
      </c>
      <c r="K226" s="420">
        <v>767.21</v>
      </c>
      <c r="L226" s="421">
        <v>4</v>
      </c>
      <c r="M226" s="437">
        <v>1412.6672916666666</v>
      </c>
      <c r="N226" s="500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</row>
    <row r="227" spans="1:185" ht="16" thickTop="1">
      <c r="A227" s="410" t="s">
        <v>374</v>
      </c>
      <c r="B227" s="411" t="s">
        <v>315</v>
      </c>
      <c r="C227" s="422" t="s">
        <v>293</v>
      </c>
      <c r="D227" s="413">
        <v>1</v>
      </c>
      <c r="E227" s="414">
        <v>607.43083333333334</v>
      </c>
      <c r="F227" s="415">
        <v>1</v>
      </c>
      <c r="G227" s="416">
        <v>557.09</v>
      </c>
      <c r="H227" s="417">
        <v>1</v>
      </c>
      <c r="I227" s="418">
        <v>618.2883333333333</v>
      </c>
      <c r="J227" s="419">
        <v>1</v>
      </c>
      <c r="K227" s="420">
        <v>660.42750000000001</v>
      </c>
      <c r="L227" s="421">
        <v>1</v>
      </c>
      <c r="M227" s="437">
        <v>817.07416666666666</v>
      </c>
    </row>
    <row r="228" spans="1:185" s="382" customFormat="1" ht="16" thickBot="1">
      <c r="A228" s="410" t="s">
        <v>374</v>
      </c>
      <c r="B228" s="411" t="s">
        <v>319</v>
      </c>
      <c r="C228" s="422" t="s">
        <v>289</v>
      </c>
      <c r="D228" s="413">
        <v>0</v>
      </c>
      <c r="E228" s="414">
        <v>0</v>
      </c>
      <c r="F228" s="415">
        <v>0</v>
      </c>
      <c r="G228" s="416">
        <v>0</v>
      </c>
      <c r="H228" s="417">
        <v>0</v>
      </c>
      <c r="I228" s="418">
        <v>0</v>
      </c>
      <c r="J228" s="419">
        <v>0</v>
      </c>
      <c r="K228" s="420">
        <v>0</v>
      </c>
      <c r="L228" s="421">
        <v>0.28891666666666665</v>
      </c>
      <c r="M228" s="437">
        <v>1011.0556677242572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</row>
    <row r="229" spans="1:185" ht="16" thickTop="1">
      <c r="A229" s="410" t="s">
        <v>374</v>
      </c>
      <c r="B229" s="411" t="s">
        <v>314</v>
      </c>
      <c r="C229" s="422" t="s">
        <v>289</v>
      </c>
      <c r="D229" s="413">
        <v>35.75</v>
      </c>
      <c r="E229" s="414">
        <v>1108.8268997668999</v>
      </c>
      <c r="F229" s="415">
        <v>37.493000000000002</v>
      </c>
      <c r="G229" s="416">
        <v>1145.555170298456</v>
      </c>
      <c r="H229" s="417">
        <v>36.182833333333335</v>
      </c>
      <c r="I229" s="418">
        <v>1348.9728324205307</v>
      </c>
      <c r="J229" s="419">
        <v>36.462333333333333</v>
      </c>
      <c r="K229" s="420">
        <v>1444.6023750537083</v>
      </c>
      <c r="L229" s="421">
        <v>39.916666666666664</v>
      </c>
      <c r="M229" s="437">
        <v>1869.0511691022964</v>
      </c>
    </row>
    <row r="230" spans="1:185">
      <c r="A230" s="410" t="s">
        <v>375</v>
      </c>
      <c r="B230" s="411" t="s">
        <v>301</v>
      </c>
      <c r="C230" s="422" t="s">
        <v>287</v>
      </c>
      <c r="D230" s="413">
        <v>15.5</v>
      </c>
      <c r="E230" s="414">
        <v>2524.5439784946234</v>
      </c>
      <c r="F230" s="415">
        <v>16.65325</v>
      </c>
      <c r="G230" s="416">
        <v>2731.9459164627524</v>
      </c>
      <c r="H230" s="417">
        <v>17.741666666666664</v>
      </c>
      <c r="I230" s="418">
        <v>2923.2689995302962</v>
      </c>
      <c r="J230" s="419">
        <v>17.21233333333333</v>
      </c>
      <c r="K230" s="420">
        <v>3368.6278250091991</v>
      </c>
      <c r="L230" s="421">
        <v>18.587333333333333</v>
      </c>
      <c r="M230" s="437">
        <v>3739.2163570173234</v>
      </c>
    </row>
    <row r="231" spans="1:185">
      <c r="A231" s="410" t="s">
        <v>375</v>
      </c>
      <c r="B231" s="411" t="s">
        <v>303</v>
      </c>
      <c r="C231" s="422" t="s">
        <v>290</v>
      </c>
      <c r="D231" s="413">
        <v>1</v>
      </c>
      <c r="E231" s="414">
        <v>446.09333333333331</v>
      </c>
      <c r="F231" s="415">
        <v>0.41666666666666669</v>
      </c>
      <c r="G231" s="416">
        <v>1285.5920000000001</v>
      </c>
      <c r="H231" s="417">
        <v>0</v>
      </c>
      <c r="I231" s="418">
        <v>0</v>
      </c>
      <c r="J231" s="419">
        <v>0</v>
      </c>
      <c r="K231" s="420">
        <v>0</v>
      </c>
      <c r="L231" s="421">
        <v>8.3333333333333329E-2</v>
      </c>
      <c r="M231" s="437">
        <v>925.01</v>
      </c>
      <c r="N231" s="500"/>
    </row>
    <row r="232" spans="1:185">
      <c r="A232" s="410" t="s">
        <v>375</v>
      </c>
      <c r="B232" s="411" t="s">
        <v>305</v>
      </c>
      <c r="C232" s="422" t="s">
        <v>290</v>
      </c>
      <c r="D232" s="413">
        <v>5</v>
      </c>
      <c r="E232" s="414">
        <v>759.41200000000003</v>
      </c>
      <c r="F232" s="415">
        <v>5</v>
      </c>
      <c r="G232" s="416">
        <v>792.77933333333328</v>
      </c>
      <c r="H232" s="417">
        <v>5</v>
      </c>
      <c r="I232" s="418">
        <v>821.7643333333333</v>
      </c>
      <c r="J232" s="419">
        <v>5</v>
      </c>
      <c r="K232" s="420">
        <v>880.65666666666687</v>
      </c>
      <c r="L232" s="421">
        <v>4.7903333333333338</v>
      </c>
      <c r="M232" s="437">
        <v>886.3396771275485</v>
      </c>
      <c r="N232" s="500"/>
    </row>
    <row r="233" spans="1:185">
      <c r="A233" s="410" t="s">
        <v>375</v>
      </c>
      <c r="B233" s="411" t="s">
        <v>320</v>
      </c>
      <c r="C233" s="422" t="s">
        <v>290</v>
      </c>
      <c r="D233" s="413">
        <v>4.083333333333333</v>
      </c>
      <c r="E233" s="414">
        <v>738.69408163265314</v>
      </c>
      <c r="F233" s="415">
        <v>3.9166666666666665</v>
      </c>
      <c r="G233" s="416">
        <v>866.73531914893613</v>
      </c>
      <c r="H233" s="417">
        <v>0</v>
      </c>
      <c r="I233" s="418">
        <v>0</v>
      </c>
      <c r="J233" s="419">
        <v>0</v>
      </c>
      <c r="K233" s="420">
        <v>0</v>
      </c>
      <c r="L233" s="421">
        <v>0</v>
      </c>
      <c r="M233" s="437">
        <v>0</v>
      </c>
      <c r="N233" s="500"/>
    </row>
    <row r="234" spans="1:185" s="382" customFormat="1" ht="16" thickBot="1">
      <c r="A234" s="410" t="s">
        <v>375</v>
      </c>
      <c r="B234" s="411" t="s">
        <v>310</v>
      </c>
      <c r="C234" s="422" t="s">
        <v>293</v>
      </c>
      <c r="D234" s="413">
        <v>1</v>
      </c>
      <c r="E234" s="414">
        <v>732.34666666666669</v>
      </c>
      <c r="F234" s="415">
        <v>0</v>
      </c>
      <c r="G234" s="416">
        <v>0</v>
      </c>
      <c r="H234" s="417">
        <v>0</v>
      </c>
      <c r="I234" s="418">
        <v>0</v>
      </c>
      <c r="J234" s="419">
        <v>0</v>
      </c>
      <c r="K234" s="420">
        <v>0</v>
      </c>
      <c r="L234" s="421">
        <v>0</v>
      </c>
      <c r="M234" s="437">
        <v>0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</row>
    <row r="235" spans="1:185" ht="16" thickTop="1">
      <c r="A235" s="410" t="s">
        <v>375</v>
      </c>
      <c r="B235" s="411" t="s">
        <v>315</v>
      </c>
      <c r="C235" s="422" t="s">
        <v>293</v>
      </c>
      <c r="D235" s="413">
        <v>1.9583333333333333</v>
      </c>
      <c r="E235" s="414">
        <v>730.54297872340419</v>
      </c>
      <c r="F235" s="415">
        <v>2.2204166666666665</v>
      </c>
      <c r="G235" s="416">
        <v>735.44417339088011</v>
      </c>
      <c r="H235" s="417">
        <v>2</v>
      </c>
      <c r="I235" s="418">
        <v>762.64416666666659</v>
      </c>
      <c r="J235" s="419">
        <v>2</v>
      </c>
      <c r="K235" s="420">
        <v>876.72249999999997</v>
      </c>
      <c r="L235" s="421">
        <v>1.5725833333333334</v>
      </c>
      <c r="M235" s="437">
        <v>993.60977160722791</v>
      </c>
    </row>
    <row r="236" spans="1:185">
      <c r="A236" s="410" t="s">
        <v>375</v>
      </c>
      <c r="B236" s="411" t="s">
        <v>351</v>
      </c>
      <c r="C236" s="422" t="s">
        <v>289</v>
      </c>
      <c r="D236" s="413">
        <v>0</v>
      </c>
      <c r="E236" s="414">
        <v>0</v>
      </c>
      <c r="F236" s="415">
        <v>0.25</v>
      </c>
      <c r="G236" s="416">
        <v>760.96333333333325</v>
      </c>
      <c r="H236" s="417">
        <v>5</v>
      </c>
      <c r="I236" s="418">
        <v>1015.0316666666665</v>
      </c>
      <c r="J236" s="419">
        <v>5</v>
      </c>
      <c r="K236" s="420">
        <v>1091.2461666666668</v>
      </c>
      <c r="L236" s="421">
        <v>3</v>
      </c>
      <c r="M236" s="437">
        <v>1288.8333333333333</v>
      </c>
    </row>
    <row r="237" spans="1:185">
      <c r="A237" s="410" t="s">
        <v>375</v>
      </c>
      <c r="B237" s="411" t="s">
        <v>314</v>
      </c>
      <c r="C237" s="422" t="s">
        <v>289</v>
      </c>
      <c r="D237" s="413">
        <v>35.099750000000007</v>
      </c>
      <c r="E237" s="414">
        <v>1121.9407308219193</v>
      </c>
      <c r="F237" s="415">
        <v>34.20558333333333</v>
      </c>
      <c r="G237" s="416">
        <v>1176.7387634085078</v>
      </c>
      <c r="H237" s="417">
        <v>30.900499999999997</v>
      </c>
      <c r="I237" s="418">
        <v>1327.4264979531076</v>
      </c>
      <c r="J237" s="419">
        <v>33.905833333333334</v>
      </c>
      <c r="K237" s="420">
        <v>1395.8878511563889</v>
      </c>
      <c r="L237" s="421">
        <v>30.585999999999999</v>
      </c>
      <c r="M237" s="437">
        <v>1623.2431232154147</v>
      </c>
    </row>
    <row r="238" spans="1:185">
      <c r="A238" s="410" t="s">
        <v>376</v>
      </c>
      <c r="B238" s="411" t="s">
        <v>377</v>
      </c>
      <c r="C238" s="422" t="s">
        <v>418</v>
      </c>
      <c r="D238" s="413">
        <v>0</v>
      </c>
      <c r="E238" s="414">
        <v>0</v>
      </c>
      <c r="F238" s="415">
        <v>0.29441666666666666</v>
      </c>
      <c r="G238" s="416">
        <v>865.89300877441269</v>
      </c>
      <c r="H238" s="417">
        <v>1</v>
      </c>
      <c r="I238" s="418">
        <v>1021.7691666666666</v>
      </c>
      <c r="J238" s="419">
        <v>0.79999999999999993</v>
      </c>
      <c r="K238" s="420">
        <v>1204.5583333333334</v>
      </c>
      <c r="L238" s="421">
        <v>0</v>
      </c>
      <c r="M238" s="437">
        <v>0</v>
      </c>
    </row>
    <row r="239" spans="1:185">
      <c r="A239" s="410" t="s">
        <v>376</v>
      </c>
      <c r="B239" s="430" t="s">
        <v>378</v>
      </c>
      <c r="C239" s="422" t="s">
        <v>418</v>
      </c>
      <c r="D239" s="413">
        <v>0</v>
      </c>
      <c r="E239" s="414">
        <v>0</v>
      </c>
      <c r="F239" s="415">
        <v>0</v>
      </c>
      <c r="G239" s="416">
        <v>0</v>
      </c>
      <c r="H239" s="417">
        <v>0</v>
      </c>
      <c r="I239" s="418">
        <v>0</v>
      </c>
      <c r="J239" s="419">
        <v>0</v>
      </c>
      <c r="K239" s="420">
        <v>0</v>
      </c>
      <c r="L239" s="421">
        <v>4.9999999999999996E-2</v>
      </c>
      <c r="M239" s="437">
        <v>2104.166666666667</v>
      </c>
    </row>
    <row r="240" spans="1:185">
      <c r="A240" s="410" t="s">
        <v>376</v>
      </c>
      <c r="B240" s="430" t="s">
        <v>354</v>
      </c>
      <c r="C240" s="422" t="s">
        <v>418</v>
      </c>
      <c r="D240" s="413">
        <v>0</v>
      </c>
      <c r="E240" s="414">
        <v>0</v>
      </c>
      <c r="F240" s="415">
        <v>0</v>
      </c>
      <c r="G240" s="416">
        <v>0</v>
      </c>
      <c r="H240" s="417">
        <v>0</v>
      </c>
      <c r="I240" s="418">
        <v>0</v>
      </c>
      <c r="J240" s="419">
        <v>0</v>
      </c>
      <c r="K240" s="420">
        <v>0</v>
      </c>
      <c r="L240" s="421">
        <v>0.79999999999999993</v>
      </c>
      <c r="M240" s="437">
        <v>1388.1427083333333</v>
      </c>
    </row>
    <row r="241" spans="1:185">
      <c r="A241" s="410" t="s">
        <v>376</v>
      </c>
      <c r="B241" s="411" t="s">
        <v>380</v>
      </c>
      <c r="C241" s="422" t="s">
        <v>418</v>
      </c>
      <c r="D241" s="413">
        <v>0</v>
      </c>
      <c r="E241" s="414">
        <v>0</v>
      </c>
      <c r="F241" s="415">
        <v>0</v>
      </c>
      <c r="G241" s="416">
        <v>0</v>
      </c>
      <c r="H241" s="417">
        <v>0.76991666666666669</v>
      </c>
      <c r="I241" s="418">
        <v>1034.2223184327308</v>
      </c>
      <c r="J241" s="419">
        <v>1</v>
      </c>
      <c r="K241" s="420">
        <v>972.04083333333335</v>
      </c>
      <c r="L241" s="421">
        <v>0</v>
      </c>
      <c r="M241" s="437">
        <v>0</v>
      </c>
    </row>
    <row r="242" spans="1:185" s="382" customFormat="1" ht="16" thickBot="1">
      <c r="A242" s="410" t="s">
        <v>376</v>
      </c>
      <c r="B242" s="430" t="s">
        <v>379</v>
      </c>
      <c r="C242" s="432" t="s">
        <v>418</v>
      </c>
      <c r="D242" s="413">
        <v>0</v>
      </c>
      <c r="E242" s="414">
        <v>0</v>
      </c>
      <c r="F242" s="415">
        <v>0</v>
      </c>
      <c r="G242" s="416">
        <v>0</v>
      </c>
      <c r="H242" s="417">
        <v>0</v>
      </c>
      <c r="I242" s="418">
        <v>0</v>
      </c>
      <c r="J242" s="419">
        <v>0</v>
      </c>
      <c r="K242" s="420">
        <v>0</v>
      </c>
      <c r="L242" s="421">
        <v>0.55558333333333332</v>
      </c>
      <c r="M242" s="437">
        <v>734.40077996100194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</row>
    <row r="243" spans="1:185" ht="16" thickTop="1">
      <c r="A243" s="410" t="s">
        <v>376</v>
      </c>
      <c r="B243" s="411" t="s">
        <v>301</v>
      </c>
      <c r="C243" s="422" t="s">
        <v>287</v>
      </c>
      <c r="D243" s="413">
        <v>17.150166666666667</v>
      </c>
      <c r="E243" s="414">
        <v>2853.8032672180061</v>
      </c>
      <c r="F243" s="415">
        <v>15.979500000000002</v>
      </c>
      <c r="G243" s="416">
        <v>2968.786257392283</v>
      </c>
      <c r="H243" s="417">
        <v>19.836500000000001</v>
      </c>
      <c r="I243" s="418">
        <v>2824.6277065006425</v>
      </c>
      <c r="J243" s="419">
        <v>21.426916666666667</v>
      </c>
      <c r="K243" s="420">
        <v>2950.164357136468</v>
      </c>
      <c r="L243" s="421">
        <v>22.877916666666664</v>
      </c>
      <c r="M243" s="437">
        <v>3232.1474493234014</v>
      </c>
    </row>
    <row r="244" spans="1:185">
      <c r="A244" s="410" t="s">
        <v>376</v>
      </c>
      <c r="B244" s="411" t="s">
        <v>303</v>
      </c>
      <c r="C244" s="422" t="s">
        <v>290</v>
      </c>
      <c r="D244" s="413">
        <v>0</v>
      </c>
      <c r="E244" s="414">
        <v>0</v>
      </c>
      <c r="F244" s="415">
        <v>0</v>
      </c>
      <c r="G244" s="416">
        <v>0</v>
      </c>
      <c r="H244" s="417">
        <v>0</v>
      </c>
      <c r="I244" s="418">
        <v>0</v>
      </c>
      <c r="J244" s="419">
        <v>0</v>
      </c>
      <c r="K244" s="420">
        <v>0</v>
      </c>
      <c r="L244" s="421">
        <v>0.66666666666666663</v>
      </c>
      <c r="M244" s="437">
        <v>802.21124999999995</v>
      </c>
      <c r="N244" s="500"/>
    </row>
    <row r="245" spans="1:185">
      <c r="A245" s="410" t="s">
        <v>376</v>
      </c>
      <c r="B245" s="411" t="s">
        <v>305</v>
      </c>
      <c r="C245" s="422" t="s">
        <v>290</v>
      </c>
      <c r="D245" s="413">
        <v>7</v>
      </c>
      <c r="E245" s="414">
        <v>776.48416666666662</v>
      </c>
      <c r="F245" s="415">
        <v>7.583333333333333</v>
      </c>
      <c r="G245" s="416">
        <v>799.20406593406585</v>
      </c>
      <c r="H245" s="417">
        <v>8.6666666666666661</v>
      </c>
      <c r="I245" s="418">
        <v>896.31576923076921</v>
      </c>
      <c r="J245" s="419">
        <v>7.2607500000000007</v>
      </c>
      <c r="K245" s="420">
        <v>980.64754559331561</v>
      </c>
      <c r="L245" s="421">
        <v>6.583333333333333</v>
      </c>
      <c r="M245" s="437">
        <v>1206.4132911392405</v>
      </c>
      <c r="N245" s="500"/>
    </row>
    <row r="246" spans="1:185">
      <c r="A246" s="410" t="s">
        <v>376</v>
      </c>
      <c r="B246" s="411" t="s">
        <v>320</v>
      </c>
      <c r="C246" s="422" t="s">
        <v>290</v>
      </c>
      <c r="D246" s="413">
        <v>3</v>
      </c>
      <c r="E246" s="414">
        <v>992.78861111111109</v>
      </c>
      <c r="F246" s="415">
        <v>3</v>
      </c>
      <c r="G246" s="416">
        <v>1051.9369444444446</v>
      </c>
      <c r="H246" s="417">
        <v>0</v>
      </c>
      <c r="I246" s="418">
        <v>0</v>
      </c>
      <c r="J246" s="419">
        <v>0</v>
      </c>
      <c r="K246" s="420">
        <v>0</v>
      </c>
      <c r="L246" s="421">
        <v>2.4326666666666665</v>
      </c>
      <c r="M246" s="437">
        <v>1241.1684708139217</v>
      </c>
      <c r="N246" s="500"/>
    </row>
    <row r="247" spans="1:185">
      <c r="A247" s="410" t="s">
        <v>376</v>
      </c>
      <c r="B247" s="411" t="s">
        <v>315</v>
      </c>
      <c r="C247" s="422" t="s">
        <v>293</v>
      </c>
      <c r="D247" s="413">
        <v>2</v>
      </c>
      <c r="E247" s="414">
        <v>638.44916666666666</v>
      </c>
      <c r="F247" s="415">
        <v>2</v>
      </c>
      <c r="G247" s="416">
        <v>672.23374999999999</v>
      </c>
      <c r="H247" s="417">
        <v>1.9583333333333333</v>
      </c>
      <c r="I247" s="418">
        <v>733.12425531914892</v>
      </c>
      <c r="J247" s="419">
        <v>1.9112500000000001</v>
      </c>
      <c r="K247" s="420">
        <v>888.06583823850008</v>
      </c>
      <c r="L247" s="421">
        <v>2</v>
      </c>
      <c r="M247" s="437">
        <v>916.63458333333347</v>
      </c>
    </row>
    <row r="248" spans="1:185">
      <c r="A248" s="410" t="s">
        <v>376</v>
      </c>
      <c r="B248" s="411" t="s">
        <v>319</v>
      </c>
      <c r="C248" s="422" t="s">
        <v>289</v>
      </c>
      <c r="D248" s="413">
        <v>0</v>
      </c>
      <c r="E248" s="414">
        <v>0</v>
      </c>
      <c r="F248" s="415">
        <v>0</v>
      </c>
      <c r="G248" s="416">
        <v>0</v>
      </c>
      <c r="H248" s="417">
        <v>3.5</v>
      </c>
      <c r="I248" s="418">
        <v>1218.2147619047619</v>
      </c>
      <c r="J248" s="419">
        <v>6.5026666666666673</v>
      </c>
      <c r="K248" s="420">
        <v>1050.8250461349189</v>
      </c>
      <c r="L248" s="421">
        <v>7.3413333333333339</v>
      </c>
      <c r="M248" s="437">
        <v>1411.8947511805302</v>
      </c>
    </row>
    <row r="249" spans="1:185">
      <c r="A249" s="410" t="s">
        <v>376</v>
      </c>
      <c r="B249" s="411" t="s">
        <v>314</v>
      </c>
      <c r="C249" s="422" t="s">
        <v>289</v>
      </c>
      <c r="D249" s="413">
        <v>35.362916666666671</v>
      </c>
      <c r="E249" s="414">
        <v>1053.4019629791092</v>
      </c>
      <c r="F249" s="415">
        <v>38.123416666666664</v>
      </c>
      <c r="G249" s="416">
        <v>1065.0512043123099</v>
      </c>
      <c r="H249" s="417">
        <v>37.226166666666664</v>
      </c>
      <c r="I249" s="418">
        <v>1250.762165501865</v>
      </c>
      <c r="J249" s="419">
        <v>40.729249999999993</v>
      </c>
      <c r="K249" s="420">
        <v>1306.5255518658792</v>
      </c>
      <c r="L249" s="421">
        <v>40.413916666666665</v>
      </c>
      <c r="M249" s="437">
        <v>1580.5559141137437</v>
      </c>
    </row>
    <row r="250" spans="1:185">
      <c r="A250" s="410" t="s">
        <v>381</v>
      </c>
      <c r="B250" s="411" t="s">
        <v>324</v>
      </c>
      <c r="C250" s="422" t="s">
        <v>418</v>
      </c>
      <c r="D250" s="413">
        <v>0</v>
      </c>
      <c r="E250" s="414">
        <v>0</v>
      </c>
      <c r="F250" s="415">
        <v>0</v>
      </c>
      <c r="G250" s="416">
        <v>0</v>
      </c>
      <c r="H250" s="417">
        <v>0</v>
      </c>
      <c r="I250" s="418">
        <v>0</v>
      </c>
      <c r="J250" s="419">
        <v>0</v>
      </c>
      <c r="K250" s="420">
        <v>0</v>
      </c>
      <c r="L250" s="421">
        <v>1</v>
      </c>
      <c r="M250" s="437">
        <v>1373.3558333333333</v>
      </c>
    </row>
    <row r="251" spans="1:185">
      <c r="A251" s="410" t="s">
        <v>381</v>
      </c>
      <c r="B251" s="430" t="s">
        <v>353</v>
      </c>
      <c r="C251" s="422" t="s">
        <v>418</v>
      </c>
      <c r="D251" s="413">
        <v>0</v>
      </c>
      <c r="E251" s="414">
        <v>0</v>
      </c>
      <c r="F251" s="415">
        <v>0</v>
      </c>
      <c r="G251" s="416">
        <v>0</v>
      </c>
      <c r="H251" s="417">
        <v>0</v>
      </c>
      <c r="I251" s="418">
        <v>0</v>
      </c>
      <c r="J251" s="419">
        <v>0</v>
      </c>
      <c r="K251" s="420">
        <v>0</v>
      </c>
      <c r="L251" s="421">
        <v>0.91666666666666663</v>
      </c>
      <c r="M251" s="437">
        <v>1584.2409090909093</v>
      </c>
    </row>
    <row r="252" spans="1:185">
      <c r="A252" s="410" t="s">
        <v>381</v>
      </c>
      <c r="B252" s="430" t="s">
        <v>367</v>
      </c>
      <c r="C252" s="412" t="s">
        <v>418</v>
      </c>
      <c r="D252" s="413">
        <v>0</v>
      </c>
      <c r="E252" s="414">
        <v>0</v>
      </c>
      <c r="F252" s="415">
        <v>0</v>
      </c>
      <c r="G252" s="416">
        <v>0</v>
      </c>
      <c r="H252" s="417">
        <v>0</v>
      </c>
      <c r="I252" s="418">
        <v>0</v>
      </c>
      <c r="J252" s="419">
        <v>0</v>
      </c>
      <c r="K252" s="420">
        <v>0</v>
      </c>
      <c r="L252" s="421">
        <v>1.5833333333333333</v>
      </c>
      <c r="M252" s="437">
        <v>1422.9873684210527</v>
      </c>
    </row>
    <row r="253" spans="1:185">
      <c r="A253" s="410" t="s">
        <v>381</v>
      </c>
      <c r="B253" s="411" t="s">
        <v>301</v>
      </c>
      <c r="C253" s="422" t="s">
        <v>287</v>
      </c>
      <c r="D253" s="413">
        <v>13.127750000000001</v>
      </c>
      <c r="E253" s="414">
        <v>2729.5687252829557</v>
      </c>
      <c r="F253" s="415">
        <v>13.727166666666667</v>
      </c>
      <c r="G253" s="416">
        <v>2839.0105387127719</v>
      </c>
      <c r="H253" s="417">
        <v>12.787666666666667</v>
      </c>
      <c r="I253" s="418">
        <v>2930.0480932148162</v>
      </c>
      <c r="J253" s="419">
        <v>13.127750000000001</v>
      </c>
      <c r="K253" s="420">
        <v>3046.809684320111</v>
      </c>
      <c r="L253" s="421">
        <v>20.642833333333332</v>
      </c>
      <c r="M253" s="437">
        <v>3675.9141187014056</v>
      </c>
    </row>
    <row r="254" spans="1:185" s="382" customFormat="1" ht="16" thickBot="1">
      <c r="A254" s="410" t="s">
        <v>381</v>
      </c>
      <c r="B254" s="411" t="s">
        <v>303</v>
      </c>
      <c r="C254" s="422" t="s">
        <v>290</v>
      </c>
      <c r="D254" s="413">
        <v>0.58333333333333337</v>
      </c>
      <c r="E254" s="414">
        <v>346.0157142857143</v>
      </c>
      <c r="F254" s="415">
        <v>0</v>
      </c>
      <c r="G254" s="416">
        <v>0</v>
      </c>
      <c r="H254" s="417">
        <v>0</v>
      </c>
      <c r="I254" s="418">
        <v>0</v>
      </c>
      <c r="J254" s="419">
        <v>0</v>
      </c>
      <c r="K254" s="420">
        <v>0</v>
      </c>
      <c r="L254" s="421">
        <v>0.58333333333333337</v>
      </c>
      <c r="M254" s="437">
        <v>1371.55</v>
      </c>
      <c r="N254" s="500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</row>
    <row r="255" spans="1:185" ht="16" thickTop="1">
      <c r="A255" s="410" t="s">
        <v>381</v>
      </c>
      <c r="B255" s="411" t="s">
        <v>305</v>
      </c>
      <c r="C255" s="422" t="s">
        <v>290</v>
      </c>
      <c r="D255" s="413">
        <v>2</v>
      </c>
      <c r="E255" s="414">
        <v>837.3829166666668</v>
      </c>
      <c r="F255" s="415">
        <v>2.25</v>
      </c>
      <c r="G255" s="416">
        <v>781.30703703703705</v>
      </c>
      <c r="H255" s="417">
        <v>3</v>
      </c>
      <c r="I255" s="418">
        <v>754.7641666666666</v>
      </c>
      <c r="J255" s="419">
        <v>3.4139166666666667</v>
      </c>
      <c r="K255" s="420">
        <v>826.40417897332009</v>
      </c>
      <c r="L255" s="421">
        <v>5</v>
      </c>
      <c r="M255" s="437">
        <v>1683.8821666666665</v>
      </c>
      <c r="N255" s="500"/>
    </row>
    <row r="256" spans="1:185">
      <c r="A256" s="410" t="s">
        <v>381</v>
      </c>
      <c r="B256" s="411" t="s">
        <v>320</v>
      </c>
      <c r="C256" s="422" t="s">
        <v>290</v>
      </c>
      <c r="D256" s="413">
        <v>4</v>
      </c>
      <c r="E256" s="414">
        <v>850.31791666666675</v>
      </c>
      <c r="F256" s="415">
        <v>3.6478333333333333</v>
      </c>
      <c r="G256" s="416">
        <v>901.70717777676248</v>
      </c>
      <c r="H256" s="417">
        <v>0</v>
      </c>
      <c r="I256" s="418">
        <v>0</v>
      </c>
      <c r="J256" s="419">
        <v>0</v>
      </c>
      <c r="K256" s="420">
        <v>0</v>
      </c>
      <c r="L256" s="421">
        <v>0</v>
      </c>
      <c r="M256" s="437">
        <v>0</v>
      </c>
      <c r="N256" s="500"/>
    </row>
    <row r="257" spans="1:185">
      <c r="A257" s="410" t="s">
        <v>381</v>
      </c>
      <c r="B257" s="411" t="s">
        <v>315</v>
      </c>
      <c r="C257" s="422" t="s">
        <v>293</v>
      </c>
      <c r="D257" s="413">
        <v>1</v>
      </c>
      <c r="E257" s="414">
        <v>735.05666666666673</v>
      </c>
      <c r="F257" s="415">
        <v>1</v>
      </c>
      <c r="G257" s="416">
        <v>702.35500000000002</v>
      </c>
      <c r="H257" s="417">
        <v>1</v>
      </c>
      <c r="I257" s="418">
        <v>669.73249999999996</v>
      </c>
      <c r="J257" s="419">
        <v>1</v>
      </c>
      <c r="K257" s="420">
        <v>978.76916666666659</v>
      </c>
      <c r="L257" s="421">
        <v>1.7123333333333335</v>
      </c>
      <c r="M257" s="437">
        <v>1226.0210239439361</v>
      </c>
    </row>
    <row r="258" spans="1:185">
      <c r="A258" s="410" t="s">
        <v>381</v>
      </c>
      <c r="B258" s="411" t="s">
        <v>319</v>
      </c>
      <c r="C258" s="422" t="s">
        <v>289</v>
      </c>
      <c r="D258" s="413">
        <v>0</v>
      </c>
      <c r="E258" s="414">
        <v>0</v>
      </c>
      <c r="F258" s="415">
        <v>0</v>
      </c>
      <c r="G258" s="416">
        <v>0</v>
      </c>
      <c r="H258" s="417">
        <v>3.7416666666666667</v>
      </c>
      <c r="I258" s="418">
        <v>1039.5757238307351</v>
      </c>
      <c r="J258" s="419">
        <v>5.4623333333333335</v>
      </c>
      <c r="K258" s="420">
        <v>1238.9995118081404</v>
      </c>
      <c r="L258" s="421">
        <v>5</v>
      </c>
      <c r="M258" s="437">
        <v>2113.0676666666668</v>
      </c>
    </row>
    <row r="259" spans="1:185">
      <c r="A259" s="410" t="s">
        <v>381</v>
      </c>
      <c r="B259" s="411" t="s">
        <v>314</v>
      </c>
      <c r="C259" s="422" t="s">
        <v>289</v>
      </c>
      <c r="D259" s="413">
        <v>21</v>
      </c>
      <c r="E259" s="414">
        <v>1078.6956746031747</v>
      </c>
      <c r="F259" s="415">
        <v>20.666666666666668</v>
      </c>
      <c r="G259" s="416">
        <v>1051.6915322580642</v>
      </c>
      <c r="H259" s="417">
        <v>20.494583333333335</v>
      </c>
      <c r="I259" s="418">
        <v>1415.0046963628602</v>
      </c>
      <c r="J259" s="419">
        <v>20.375</v>
      </c>
      <c r="K259" s="420">
        <v>1481.9764008179964</v>
      </c>
      <c r="L259" s="421">
        <v>18.862916666666667</v>
      </c>
      <c r="M259" s="437">
        <v>1892.6749574782973</v>
      </c>
    </row>
    <row r="260" spans="1:185">
      <c r="A260" s="410" t="s">
        <v>382</v>
      </c>
      <c r="B260" s="411" t="s">
        <v>324</v>
      </c>
      <c r="C260" s="422" t="s">
        <v>418</v>
      </c>
      <c r="D260" s="413">
        <v>0</v>
      </c>
      <c r="E260" s="414">
        <v>0</v>
      </c>
      <c r="F260" s="415">
        <v>0</v>
      </c>
      <c r="G260" s="416">
        <v>0</v>
      </c>
      <c r="H260" s="417">
        <v>0</v>
      </c>
      <c r="I260" s="418">
        <v>0</v>
      </c>
      <c r="J260" s="419">
        <v>0</v>
      </c>
      <c r="K260" s="420">
        <v>0</v>
      </c>
      <c r="L260" s="421">
        <v>3</v>
      </c>
      <c r="M260" s="437">
        <v>1692.5825</v>
      </c>
    </row>
    <row r="261" spans="1:185">
      <c r="A261" s="410" t="s">
        <v>382</v>
      </c>
      <c r="B261" s="411" t="s">
        <v>325</v>
      </c>
      <c r="C261" s="422" t="s">
        <v>418</v>
      </c>
      <c r="D261" s="413">
        <v>0</v>
      </c>
      <c r="E261" s="414">
        <v>0</v>
      </c>
      <c r="F261" s="415">
        <v>0</v>
      </c>
      <c r="G261" s="416">
        <v>0</v>
      </c>
      <c r="H261" s="417">
        <v>0</v>
      </c>
      <c r="I261" s="418">
        <v>0</v>
      </c>
      <c r="J261" s="419">
        <v>0</v>
      </c>
      <c r="K261" s="420">
        <v>0</v>
      </c>
      <c r="L261" s="421">
        <v>1.3790000000000002</v>
      </c>
      <c r="M261" s="437">
        <v>2101.0387962291516</v>
      </c>
    </row>
    <row r="262" spans="1:185">
      <c r="A262" s="410" t="s">
        <v>382</v>
      </c>
      <c r="B262" s="411" t="s">
        <v>301</v>
      </c>
      <c r="C262" s="422" t="s">
        <v>287</v>
      </c>
      <c r="D262" s="413">
        <v>27.935500000000001</v>
      </c>
      <c r="E262" s="414">
        <v>3118.811548030284</v>
      </c>
      <c r="F262" s="415">
        <v>26.788416666666674</v>
      </c>
      <c r="G262" s="416">
        <v>3252.2621406640301</v>
      </c>
      <c r="H262" s="417">
        <v>25.462249999999997</v>
      </c>
      <c r="I262" s="418">
        <v>3473.0701332364579</v>
      </c>
      <c r="J262" s="419">
        <v>26.158833333333334</v>
      </c>
      <c r="K262" s="420">
        <v>3709.467452039783</v>
      </c>
      <c r="L262" s="421">
        <v>33.079916666666669</v>
      </c>
      <c r="M262" s="437">
        <v>5047.2624124909635</v>
      </c>
    </row>
    <row r="263" spans="1:185">
      <c r="A263" s="410" t="s">
        <v>382</v>
      </c>
      <c r="B263" s="411" t="s">
        <v>303</v>
      </c>
      <c r="C263" s="422" t="s">
        <v>290</v>
      </c>
      <c r="D263" s="413">
        <v>1</v>
      </c>
      <c r="E263" s="414">
        <v>186.34166666666667</v>
      </c>
      <c r="F263" s="415">
        <v>1</v>
      </c>
      <c r="G263" s="416">
        <v>478.79416666666663</v>
      </c>
      <c r="H263" s="417">
        <v>1</v>
      </c>
      <c r="I263" s="418">
        <v>607.62916666666672</v>
      </c>
      <c r="J263" s="419">
        <v>1</v>
      </c>
      <c r="K263" s="420">
        <v>809.01333333333332</v>
      </c>
      <c r="L263" s="421">
        <v>1</v>
      </c>
      <c r="M263" s="437">
        <v>1727.9141666666667</v>
      </c>
      <c r="N263" s="500"/>
    </row>
    <row r="264" spans="1:185" s="382" customFormat="1" ht="16" thickBot="1">
      <c r="A264" s="410" t="s">
        <v>382</v>
      </c>
      <c r="B264" s="411" t="s">
        <v>305</v>
      </c>
      <c r="C264" s="422" t="s">
        <v>290</v>
      </c>
      <c r="D264" s="413">
        <v>3.9472499999999999</v>
      </c>
      <c r="E264" s="414">
        <v>688.63174784132411</v>
      </c>
      <c r="F264" s="415">
        <v>2</v>
      </c>
      <c r="G264" s="416">
        <v>739.74416666666673</v>
      </c>
      <c r="H264" s="417">
        <v>2</v>
      </c>
      <c r="I264" s="418">
        <v>913.8549999999999</v>
      </c>
      <c r="J264" s="419">
        <v>2</v>
      </c>
      <c r="K264" s="420">
        <v>1040.8279166666669</v>
      </c>
      <c r="L264" s="421">
        <v>2.2123333333333335</v>
      </c>
      <c r="M264" s="437">
        <v>1945.9465873135453</v>
      </c>
      <c r="N264" s="500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</row>
    <row r="265" spans="1:185" ht="16" thickTop="1">
      <c r="A265" s="410" t="s">
        <v>382</v>
      </c>
      <c r="B265" s="411" t="s">
        <v>320</v>
      </c>
      <c r="C265" s="422" t="s">
        <v>290</v>
      </c>
      <c r="D265" s="413">
        <v>3</v>
      </c>
      <c r="E265" s="414">
        <v>1022.3622222222223</v>
      </c>
      <c r="F265" s="415">
        <v>4.875</v>
      </c>
      <c r="G265" s="416">
        <v>1065.1415384615384</v>
      </c>
      <c r="H265" s="417">
        <v>0</v>
      </c>
      <c r="I265" s="418">
        <v>0</v>
      </c>
      <c r="J265" s="419">
        <v>0</v>
      </c>
      <c r="K265" s="420">
        <v>0</v>
      </c>
      <c r="L265" s="421">
        <v>0</v>
      </c>
      <c r="M265" s="437">
        <v>0</v>
      </c>
      <c r="N265" s="500"/>
    </row>
    <row r="266" spans="1:185">
      <c r="A266" s="410" t="s">
        <v>382</v>
      </c>
      <c r="B266" s="411" t="s">
        <v>315</v>
      </c>
      <c r="C266" s="422" t="s">
        <v>293</v>
      </c>
      <c r="D266" s="413">
        <v>2</v>
      </c>
      <c r="E266" s="414">
        <v>897.02208333333328</v>
      </c>
      <c r="F266" s="415">
        <v>2</v>
      </c>
      <c r="G266" s="416">
        <v>926.42958333333343</v>
      </c>
      <c r="H266" s="417">
        <v>2</v>
      </c>
      <c r="I266" s="418">
        <v>992.19541666666657</v>
      </c>
      <c r="J266" s="419">
        <v>2</v>
      </c>
      <c r="K266" s="420">
        <v>1094.8799999999999</v>
      </c>
      <c r="L266" s="421">
        <v>2</v>
      </c>
      <c r="M266" s="437">
        <v>1776.60375</v>
      </c>
    </row>
    <row r="267" spans="1:185">
      <c r="A267" s="410" t="s">
        <v>382</v>
      </c>
      <c r="B267" s="411" t="s">
        <v>319</v>
      </c>
      <c r="C267" s="422" t="s">
        <v>289</v>
      </c>
      <c r="D267" s="413">
        <v>0</v>
      </c>
      <c r="E267" s="414">
        <v>0</v>
      </c>
      <c r="F267" s="415">
        <v>0</v>
      </c>
      <c r="G267" s="416">
        <v>0</v>
      </c>
      <c r="H267" s="417">
        <v>4.583333333333333</v>
      </c>
      <c r="I267" s="418">
        <v>1185.6594545454545</v>
      </c>
      <c r="J267" s="419">
        <v>5.5</v>
      </c>
      <c r="K267" s="420">
        <v>1396.2215151515154</v>
      </c>
      <c r="L267" s="421">
        <v>8.1666666666666661</v>
      </c>
      <c r="M267" s="437">
        <v>2290.1821428571429</v>
      </c>
    </row>
    <row r="268" spans="1:185">
      <c r="A268" s="410" t="s">
        <v>382</v>
      </c>
      <c r="B268" s="411" t="s">
        <v>314</v>
      </c>
      <c r="C268" s="422" t="s">
        <v>289</v>
      </c>
      <c r="D268" s="413">
        <v>55.913916666666658</v>
      </c>
      <c r="E268" s="414">
        <v>1190.6359776263214</v>
      </c>
      <c r="F268" s="415">
        <v>54.145333333333326</v>
      </c>
      <c r="G268" s="416">
        <v>1224.8905415055779</v>
      </c>
      <c r="H268" s="417">
        <v>55.488916666666661</v>
      </c>
      <c r="I268" s="418">
        <v>1342.8299495244542</v>
      </c>
      <c r="J268" s="419">
        <v>53.553166666666662</v>
      </c>
      <c r="K268" s="420">
        <v>1523.4285243013956</v>
      </c>
      <c r="L268" s="421">
        <v>59.092000000000006</v>
      </c>
      <c r="M268" s="437">
        <v>2439.3143882984723</v>
      </c>
    </row>
    <row r="269" spans="1:185">
      <c r="A269" s="410" t="s">
        <v>387</v>
      </c>
      <c r="B269" s="411" t="s">
        <v>301</v>
      </c>
      <c r="C269" s="422" t="s">
        <v>287</v>
      </c>
      <c r="D269" s="413">
        <v>11.15</v>
      </c>
      <c r="E269" s="414">
        <v>2510.7588191330342</v>
      </c>
      <c r="F269" s="415">
        <v>10.950000000000001</v>
      </c>
      <c r="G269" s="416">
        <v>2591.7523592085236</v>
      </c>
      <c r="H269" s="417">
        <v>11.822833333333334</v>
      </c>
      <c r="I269" s="418">
        <v>2618.9967858804293</v>
      </c>
      <c r="J269" s="419">
        <v>12.094416666666667</v>
      </c>
      <c r="K269" s="420">
        <v>2503.3478946896985</v>
      </c>
      <c r="L269" s="421">
        <v>10.924999999999999</v>
      </c>
      <c r="M269" s="437">
        <v>2914.7530892448517</v>
      </c>
    </row>
    <row r="270" spans="1:185">
      <c r="A270" s="410" t="s">
        <v>387</v>
      </c>
      <c r="B270" s="411" t="s">
        <v>303</v>
      </c>
      <c r="C270" s="422" t="s">
        <v>290</v>
      </c>
      <c r="D270" s="413">
        <v>1</v>
      </c>
      <c r="E270" s="414">
        <v>452.38583333333332</v>
      </c>
      <c r="F270" s="415">
        <v>1</v>
      </c>
      <c r="G270" s="416">
        <v>475.03416666666664</v>
      </c>
      <c r="H270" s="417">
        <v>0.52149999999999996</v>
      </c>
      <c r="I270" s="418">
        <v>765.63119207414502</v>
      </c>
      <c r="J270" s="419">
        <v>0</v>
      </c>
      <c r="K270" s="420">
        <v>0</v>
      </c>
      <c r="L270" s="421">
        <v>0</v>
      </c>
      <c r="M270" s="437">
        <v>0</v>
      </c>
      <c r="N270" s="500"/>
    </row>
    <row r="271" spans="1:185">
      <c r="A271" s="410" t="s">
        <v>387</v>
      </c>
      <c r="B271" s="411" t="s">
        <v>305</v>
      </c>
      <c r="C271" s="422" t="s">
        <v>290</v>
      </c>
      <c r="D271" s="413">
        <v>1.9166666666666667</v>
      </c>
      <c r="E271" s="414">
        <v>548.54086956521746</v>
      </c>
      <c r="F271" s="415">
        <v>1</v>
      </c>
      <c r="G271" s="416">
        <v>551.72</v>
      </c>
      <c r="H271" s="417">
        <v>0.23924999999999999</v>
      </c>
      <c r="I271" s="418">
        <v>603.16962730755836</v>
      </c>
      <c r="J271" s="419">
        <v>0.83333333333333337</v>
      </c>
      <c r="K271" s="420">
        <v>557.85</v>
      </c>
      <c r="L271" s="421">
        <v>0.16666666666666666</v>
      </c>
      <c r="M271" s="437">
        <v>167.68</v>
      </c>
      <c r="N271" s="500"/>
    </row>
    <row r="272" spans="1:185">
      <c r="A272" s="410" t="s">
        <v>387</v>
      </c>
      <c r="B272" s="411" t="s">
        <v>320</v>
      </c>
      <c r="C272" s="422" t="s">
        <v>290</v>
      </c>
      <c r="D272" s="413">
        <v>1</v>
      </c>
      <c r="E272" s="414">
        <v>758.22833333333335</v>
      </c>
      <c r="F272" s="415">
        <v>1.3333333333333333</v>
      </c>
      <c r="G272" s="416">
        <v>669.72062499999993</v>
      </c>
      <c r="H272" s="417">
        <v>0</v>
      </c>
      <c r="I272" s="418">
        <v>0</v>
      </c>
      <c r="J272" s="419">
        <v>0</v>
      </c>
      <c r="K272" s="420">
        <v>0</v>
      </c>
      <c r="L272" s="421">
        <v>0</v>
      </c>
      <c r="M272" s="437">
        <v>0</v>
      </c>
      <c r="N272" s="500"/>
    </row>
    <row r="273" spans="1:185" s="382" customFormat="1" ht="16" thickBot="1">
      <c r="A273" s="410" t="s">
        <v>387</v>
      </c>
      <c r="B273" s="411" t="s">
        <v>315</v>
      </c>
      <c r="C273" s="422" t="s">
        <v>293</v>
      </c>
      <c r="D273" s="413">
        <v>2</v>
      </c>
      <c r="E273" s="414">
        <v>653.4</v>
      </c>
      <c r="F273" s="415">
        <v>2</v>
      </c>
      <c r="G273" s="416">
        <v>508.31500000000005</v>
      </c>
      <c r="H273" s="417">
        <v>2</v>
      </c>
      <c r="I273" s="418">
        <v>708.25458333333336</v>
      </c>
      <c r="J273" s="419">
        <v>2</v>
      </c>
      <c r="K273" s="420">
        <v>838.8729166666667</v>
      </c>
      <c r="L273" s="421">
        <v>2</v>
      </c>
      <c r="M273" s="437">
        <v>952.66208333333327</v>
      </c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</row>
    <row r="274" spans="1:185" ht="16" thickTop="1">
      <c r="A274" s="410" t="s">
        <v>387</v>
      </c>
      <c r="B274" s="411" t="s">
        <v>319</v>
      </c>
      <c r="C274" s="422" t="s">
        <v>289</v>
      </c>
      <c r="D274" s="413"/>
      <c r="E274" s="414"/>
      <c r="F274" s="415">
        <v>0.25</v>
      </c>
      <c r="G274" s="416">
        <v>840.58333333333337</v>
      </c>
      <c r="H274" s="417">
        <v>1.875</v>
      </c>
      <c r="I274" s="418">
        <v>992.59022222222222</v>
      </c>
      <c r="J274" s="419">
        <v>2.6666666666666665</v>
      </c>
      <c r="K274" s="420">
        <v>893.5128125</v>
      </c>
      <c r="L274" s="421">
        <v>4.0222499999999997</v>
      </c>
      <c r="M274" s="437">
        <v>937.09325211842452</v>
      </c>
    </row>
    <row r="275" spans="1:185">
      <c r="A275" s="410" t="s">
        <v>387</v>
      </c>
      <c r="B275" s="411" t="s">
        <v>314</v>
      </c>
      <c r="C275" s="422" t="s">
        <v>289</v>
      </c>
      <c r="D275" s="413">
        <v>15</v>
      </c>
      <c r="E275" s="414">
        <v>908.31522222222213</v>
      </c>
      <c r="F275" s="415">
        <v>15</v>
      </c>
      <c r="G275" s="416">
        <v>992.03233333333333</v>
      </c>
      <c r="H275" s="417">
        <v>14.75</v>
      </c>
      <c r="I275" s="418">
        <v>1095.8772316384179</v>
      </c>
      <c r="J275" s="419">
        <v>11.934583333333334</v>
      </c>
      <c r="K275" s="420">
        <v>1232.2672904374542</v>
      </c>
      <c r="L275" s="421">
        <v>18.013416666666668</v>
      </c>
      <c r="M275" s="437">
        <v>1415.4107355165825</v>
      </c>
    </row>
    <row r="276" spans="1:185">
      <c r="A276" s="410" t="s">
        <v>388</v>
      </c>
      <c r="B276" s="411" t="s">
        <v>301</v>
      </c>
      <c r="C276" s="422" t="s">
        <v>287</v>
      </c>
      <c r="D276" s="413">
        <v>10.875</v>
      </c>
      <c r="E276" s="414">
        <v>2785.336704980843</v>
      </c>
      <c r="F276" s="415">
        <v>11.411083333333336</v>
      </c>
      <c r="G276" s="416">
        <v>2805.6654714349347</v>
      </c>
      <c r="H276" s="417">
        <v>10.711083333333333</v>
      </c>
      <c r="I276" s="418">
        <v>2923.1903091034987</v>
      </c>
      <c r="J276" s="419">
        <v>11.783333333333333</v>
      </c>
      <c r="K276" s="420">
        <v>2878.1721357850074</v>
      </c>
      <c r="L276" s="421">
        <v>8.8166666666666664</v>
      </c>
      <c r="M276" s="437">
        <v>3107.8928166351611</v>
      </c>
    </row>
    <row r="277" spans="1:185">
      <c r="A277" s="410" t="s">
        <v>388</v>
      </c>
      <c r="B277" s="411" t="s">
        <v>305</v>
      </c>
      <c r="C277" s="422" t="s">
        <v>290</v>
      </c>
      <c r="D277" s="413">
        <v>2</v>
      </c>
      <c r="E277" s="414">
        <v>724.03458333333344</v>
      </c>
      <c r="F277" s="415">
        <v>2</v>
      </c>
      <c r="G277" s="416">
        <v>806.21625000000006</v>
      </c>
      <c r="H277" s="417">
        <v>2</v>
      </c>
      <c r="I277" s="418">
        <v>899.72500000000002</v>
      </c>
      <c r="J277" s="419">
        <v>2</v>
      </c>
      <c r="K277" s="420">
        <v>977.64499999999998</v>
      </c>
      <c r="L277" s="421">
        <v>1</v>
      </c>
      <c r="M277" s="437">
        <v>1019.7391666666667</v>
      </c>
      <c r="N277" s="500"/>
    </row>
    <row r="278" spans="1:185">
      <c r="A278" s="410" t="s">
        <v>388</v>
      </c>
      <c r="B278" s="411" t="s">
        <v>320</v>
      </c>
      <c r="C278" s="422" t="s">
        <v>290</v>
      </c>
      <c r="D278" s="413">
        <v>1</v>
      </c>
      <c r="E278" s="414">
        <v>682.31083333333333</v>
      </c>
      <c r="F278" s="415">
        <v>1</v>
      </c>
      <c r="G278" s="416">
        <v>708.09833333333336</v>
      </c>
      <c r="H278" s="417">
        <v>0</v>
      </c>
      <c r="I278" s="418">
        <v>0</v>
      </c>
      <c r="J278" s="419">
        <v>0</v>
      </c>
      <c r="K278" s="420">
        <v>0</v>
      </c>
      <c r="L278" s="421">
        <v>0</v>
      </c>
      <c r="M278" s="437">
        <v>0</v>
      </c>
      <c r="N278" s="500"/>
    </row>
    <row r="279" spans="1:185" s="382" customFormat="1" ht="16" thickBot="1">
      <c r="A279" s="410" t="s">
        <v>388</v>
      </c>
      <c r="B279" s="411" t="s">
        <v>311</v>
      </c>
      <c r="C279" s="422" t="s">
        <v>293</v>
      </c>
      <c r="D279" s="413">
        <v>1</v>
      </c>
      <c r="E279" s="414">
        <v>582.75</v>
      </c>
      <c r="F279" s="415">
        <v>1</v>
      </c>
      <c r="G279" s="416">
        <v>562.17166666666674</v>
      </c>
      <c r="H279" s="417">
        <v>1</v>
      </c>
      <c r="I279" s="418">
        <v>604.45916666666665</v>
      </c>
      <c r="J279" s="419">
        <v>1</v>
      </c>
      <c r="K279" s="420">
        <v>695.37249999999995</v>
      </c>
      <c r="L279" s="421">
        <v>1</v>
      </c>
      <c r="M279" s="437">
        <v>746.37666666666667</v>
      </c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</row>
    <row r="280" spans="1:185" ht="16" thickTop="1">
      <c r="A280" s="410" t="s">
        <v>388</v>
      </c>
      <c r="B280" s="411" t="s">
        <v>315</v>
      </c>
      <c r="C280" s="422" t="s">
        <v>293</v>
      </c>
      <c r="D280" s="413">
        <v>1</v>
      </c>
      <c r="E280" s="414">
        <v>622.5625</v>
      </c>
      <c r="F280" s="415">
        <v>1.0322500000000001</v>
      </c>
      <c r="G280" s="416">
        <v>662.15871478162592</v>
      </c>
      <c r="H280" s="417">
        <v>1.4085833333333333</v>
      </c>
      <c r="I280" s="418">
        <v>748.0429509554516</v>
      </c>
      <c r="J280" s="419">
        <v>1</v>
      </c>
      <c r="K280" s="420">
        <v>831.02333333333343</v>
      </c>
      <c r="L280" s="421">
        <v>1</v>
      </c>
      <c r="M280" s="437">
        <v>920.54250000000002</v>
      </c>
    </row>
    <row r="281" spans="1:185">
      <c r="A281" s="410" t="s">
        <v>388</v>
      </c>
      <c r="B281" s="411" t="s">
        <v>319</v>
      </c>
      <c r="C281" s="422" t="s">
        <v>289</v>
      </c>
      <c r="D281" s="413">
        <v>0</v>
      </c>
      <c r="E281" s="414">
        <v>0</v>
      </c>
      <c r="F281" s="415">
        <v>0</v>
      </c>
      <c r="G281" s="416">
        <v>0</v>
      </c>
      <c r="H281" s="417">
        <v>1</v>
      </c>
      <c r="I281" s="418">
        <v>817.1491666666667</v>
      </c>
      <c r="J281" s="419">
        <v>1</v>
      </c>
      <c r="K281" s="420">
        <v>914.52666666666664</v>
      </c>
      <c r="L281" s="421">
        <v>0.21233333333333335</v>
      </c>
      <c r="M281" s="437">
        <v>1028.677394034537</v>
      </c>
    </row>
    <row r="282" spans="1:185">
      <c r="A282" s="410" t="s">
        <v>388</v>
      </c>
      <c r="B282" s="411" t="s">
        <v>314</v>
      </c>
      <c r="C282" s="422" t="s">
        <v>289</v>
      </c>
      <c r="D282" s="413">
        <v>17</v>
      </c>
      <c r="E282" s="414">
        <v>946.09941176470602</v>
      </c>
      <c r="F282" s="415">
        <v>17</v>
      </c>
      <c r="G282" s="416">
        <v>991.75965686274515</v>
      </c>
      <c r="H282" s="417">
        <v>16.45975</v>
      </c>
      <c r="I282" s="418">
        <v>1158.0418900651591</v>
      </c>
      <c r="J282" s="419">
        <v>17.879000000000001</v>
      </c>
      <c r="K282" s="420">
        <v>1189.7525961556389</v>
      </c>
      <c r="L282" s="421">
        <v>10.794416666666669</v>
      </c>
      <c r="M282" s="437">
        <v>1250.5433364470828</v>
      </c>
    </row>
    <row r="283" spans="1:185">
      <c r="A283" s="410" t="s">
        <v>383</v>
      </c>
      <c r="B283" s="411" t="s">
        <v>384</v>
      </c>
      <c r="C283" s="412" t="s">
        <v>292</v>
      </c>
      <c r="D283" s="413">
        <v>1</v>
      </c>
      <c r="E283" s="414">
        <v>788.79333333333341</v>
      </c>
      <c r="F283" s="415">
        <v>1</v>
      </c>
      <c r="G283" s="416">
        <v>420.13916666666665</v>
      </c>
      <c r="H283" s="417">
        <v>1</v>
      </c>
      <c r="I283" s="502">
        <v>500</v>
      </c>
      <c r="J283" s="419">
        <v>1</v>
      </c>
      <c r="K283" s="420">
        <v>743.01166666666666</v>
      </c>
      <c r="L283" s="421">
        <v>1</v>
      </c>
      <c r="M283" s="437">
        <v>1089.5608333333332</v>
      </c>
    </row>
    <row r="284" spans="1:185">
      <c r="A284" s="410" t="s">
        <v>383</v>
      </c>
      <c r="B284" s="411" t="s">
        <v>303</v>
      </c>
      <c r="C284" s="422" t="s">
        <v>290</v>
      </c>
      <c r="D284" s="413">
        <v>3</v>
      </c>
      <c r="E284" s="414">
        <v>737.92472222222227</v>
      </c>
      <c r="F284" s="415">
        <v>3</v>
      </c>
      <c r="G284" s="416">
        <v>882.81083333333345</v>
      </c>
      <c r="H284" s="417">
        <v>2</v>
      </c>
      <c r="I284" s="502">
        <v>900</v>
      </c>
      <c r="J284" s="419">
        <v>2</v>
      </c>
      <c r="K284" s="420">
        <v>1063.9195833333333</v>
      </c>
      <c r="L284" s="421">
        <v>2</v>
      </c>
      <c r="M284" s="437">
        <v>1174.5979166666666</v>
      </c>
      <c r="N284" s="500"/>
    </row>
    <row r="285" spans="1:185">
      <c r="A285" s="410" t="s">
        <v>383</v>
      </c>
      <c r="B285" s="411" t="s">
        <v>305</v>
      </c>
      <c r="C285" s="422" t="s">
        <v>290</v>
      </c>
      <c r="D285" s="413">
        <v>9</v>
      </c>
      <c r="E285" s="414">
        <v>597.96046296296288</v>
      </c>
      <c r="F285" s="415">
        <v>8</v>
      </c>
      <c r="G285" s="416">
        <v>654.30364583333335</v>
      </c>
      <c r="H285" s="417">
        <v>9</v>
      </c>
      <c r="I285" s="502">
        <v>700</v>
      </c>
      <c r="J285" s="419">
        <v>8.9166666666666661</v>
      </c>
      <c r="K285" s="420">
        <v>772.34878504672906</v>
      </c>
      <c r="L285" s="421">
        <v>8.25</v>
      </c>
      <c r="M285" s="437">
        <v>899.13949494949497</v>
      </c>
      <c r="N285" s="500"/>
    </row>
    <row r="286" spans="1:185" s="382" customFormat="1" ht="16" thickBot="1">
      <c r="A286" s="410" t="s">
        <v>383</v>
      </c>
      <c r="B286" s="411" t="s">
        <v>320</v>
      </c>
      <c r="C286" s="422" t="s">
        <v>290</v>
      </c>
      <c r="D286" s="413">
        <v>9.3027499999999996</v>
      </c>
      <c r="E286" s="414">
        <v>752.96175861976292</v>
      </c>
      <c r="F286" s="415">
        <v>8.6747499999999995</v>
      </c>
      <c r="G286" s="416">
        <v>811.81426938336358</v>
      </c>
      <c r="H286" s="417">
        <v>0</v>
      </c>
      <c r="I286" s="418">
        <v>0</v>
      </c>
      <c r="J286" s="419">
        <v>0</v>
      </c>
      <c r="K286" s="420">
        <v>0</v>
      </c>
      <c r="L286" s="421">
        <v>0</v>
      </c>
      <c r="M286" s="437">
        <v>0</v>
      </c>
      <c r="N286" s="500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</row>
    <row r="287" spans="1:185" ht="16" thickTop="1">
      <c r="A287" s="410" t="s">
        <v>383</v>
      </c>
      <c r="B287" s="411" t="s">
        <v>319</v>
      </c>
      <c r="C287" s="422" t="s">
        <v>289</v>
      </c>
      <c r="D287" s="413"/>
      <c r="E287" s="414"/>
      <c r="F287" s="415"/>
      <c r="G287" s="416"/>
      <c r="H287" s="417">
        <v>8</v>
      </c>
      <c r="I287" s="502">
        <v>900</v>
      </c>
      <c r="J287" s="419">
        <v>7.666666666666667</v>
      </c>
      <c r="K287" s="420">
        <v>1105.2230434782607</v>
      </c>
      <c r="L287" s="421">
        <v>7</v>
      </c>
      <c r="M287" s="437">
        <v>1437.0709523809521</v>
      </c>
    </row>
    <row r="288" spans="1:185">
      <c r="A288" s="410" t="s">
        <v>383</v>
      </c>
      <c r="B288" s="411" t="s">
        <v>314</v>
      </c>
      <c r="C288" s="422" t="s">
        <v>289</v>
      </c>
      <c r="D288" s="413">
        <v>5</v>
      </c>
      <c r="E288" s="414">
        <v>1060.8278333333333</v>
      </c>
      <c r="F288" s="415">
        <v>5</v>
      </c>
      <c r="G288" s="416">
        <v>1055.039</v>
      </c>
      <c r="H288" s="417">
        <v>5</v>
      </c>
      <c r="I288" s="502">
        <v>1100</v>
      </c>
      <c r="J288" s="419">
        <v>5</v>
      </c>
      <c r="K288" s="420">
        <v>1265.3216666666667</v>
      </c>
      <c r="L288" s="421">
        <v>5</v>
      </c>
      <c r="M288" s="437">
        <v>1378.9961666666668</v>
      </c>
    </row>
    <row r="289" spans="1:185">
      <c r="A289" s="410" t="s">
        <v>385</v>
      </c>
      <c r="B289" s="411" t="s">
        <v>386</v>
      </c>
      <c r="C289" s="422" t="s">
        <v>418</v>
      </c>
      <c r="D289" s="413">
        <v>0.371</v>
      </c>
      <c r="E289" s="414">
        <v>1809.0498652291105</v>
      </c>
      <c r="F289" s="415">
        <v>0</v>
      </c>
      <c r="G289" s="416">
        <v>0</v>
      </c>
      <c r="H289" s="417">
        <v>0</v>
      </c>
      <c r="I289" s="418"/>
      <c r="J289" s="419">
        <v>0</v>
      </c>
      <c r="K289" s="420">
        <v>0</v>
      </c>
      <c r="L289" s="421">
        <v>0</v>
      </c>
      <c r="M289" s="437">
        <v>0</v>
      </c>
    </row>
    <row r="290" spans="1:185">
      <c r="A290" s="410" t="s">
        <v>385</v>
      </c>
      <c r="B290" s="411" t="s">
        <v>316</v>
      </c>
      <c r="C290" s="412" t="s">
        <v>418</v>
      </c>
      <c r="D290" s="413">
        <v>1</v>
      </c>
      <c r="E290" s="414">
        <v>879.44</v>
      </c>
      <c r="F290" s="415">
        <v>1</v>
      </c>
      <c r="G290" s="416">
        <v>855.4475000000001</v>
      </c>
      <c r="H290" s="417">
        <v>1</v>
      </c>
      <c r="I290" s="418">
        <v>755.66250000000002</v>
      </c>
      <c r="J290" s="419">
        <v>1</v>
      </c>
      <c r="K290" s="420">
        <v>1173.6625000000001</v>
      </c>
      <c r="L290" s="421">
        <v>1</v>
      </c>
      <c r="M290" s="437">
        <v>1543.0200000000002</v>
      </c>
    </row>
    <row r="291" spans="1:185">
      <c r="A291" s="410" t="s">
        <v>385</v>
      </c>
      <c r="B291" s="411" t="s">
        <v>303</v>
      </c>
      <c r="C291" s="422" t="s">
        <v>290</v>
      </c>
      <c r="D291" s="413">
        <v>3</v>
      </c>
      <c r="E291" s="414">
        <v>608.6491666666667</v>
      </c>
      <c r="F291" s="415">
        <v>2</v>
      </c>
      <c r="G291" s="416">
        <v>627.30166666666673</v>
      </c>
      <c r="H291" s="417">
        <v>3</v>
      </c>
      <c r="I291" s="418">
        <v>690.35027777777782</v>
      </c>
      <c r="J291" s="419">
        <v>3</v>
      </c>
      <c r="K291" s="420">
        <v>803.19611111111112</v>
      </c>
      <c r="L291" s="421">
        <v>1</v>
      </c>
      <c r="M291" s="437">
        <v>779.4475000000001</v>
      </c>
      <c r="N291" s="500"/>
    </row>
    <row r="292" spans="1:185">
      <c r="A292" s="410" t="s">
        <v>385</v>
      </c>
      <c r="B292" s="411" t="s">
        <v>305</v>
      </c>
      <c r="C292" s="422" t="s">
        <v>290</v>
      </c>
      <c r="D292" s="413">
        <v>8</v>
      </c>
      <c r="E292" s="414">
        <v>680.62947916666678</v>
      </c>
      <c r="F292" s="415">
        <v>7</v>
      </c>
      <c r="G292" s="416">
        <v>645.86678571428581</v>
      </c>
      <c r="H292" s="417">
        <v>6.333333333333333</v>
      </c>
      <c r="I292" s="418">
        <v>767.93197368421033</v>
      </c>
      <c r="J292" s="419">
        <v>6</v>
      </c>
      <c r="K292" s="420">
        <v>800.36597222222213</v>
      </c>
      <c r="L292" s="421">
        <v>7.25</v>
      </c>
      <c r="M292" s="437">
        <v>851.12666666666667</v>
      </c>
      <c r="N292" s="500"/>
    </row>
    <row r="293" spans="1:185" s="382" customFormat="1" ht="16" thickBot="1">
      <c r="A293" s="410" t="s">
        <v>385</v>
      </c>
      <c r="B293" s="411" t="s">
        <v>320</v>
      </c>
      <c r="C293" s="422" t="s">
        <v>290</v>
      </c>
      <c r="D293" s="413">
        <v>7.958333333333333</v>
      </c>
      <c r="E293" s="414">
        <v>825.37445026178</v>
      </c>
      <c r="F293" s="415">
        <v>11.219416666666666</v>
      </c>
      <c r="G293" s="416">
        <v>845.96324823780219</v>
      </c>
      <c r="H293" s="417">
        <v>0</v>
      </c>
      <c r="I293" s="418">
        <v>0</v>
      </c>
      <c r="J293" s="419">
        <v>0</v>
      </c>
      <c r="K293" s="420">
        <v>0</v>
      </c>
      <c r="L293" s="421">
        <v>0</v>
      </c>
      <c r="M293" s="437">
        <v>0</v>
      </c>
      <c r="N293" s="500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</row>
    <row r="294" spans="1:185" ht="16" thickTop="1">
      <c r="A294" s="410" t="s">
        <v>385</v>
      </c>
      <c r="B294" s="411" t="s">
        <v>319</v>
      </c>
      <c r="C294" s="422" t="s">
        <v>289</v>
      </c>
      <c r="D294" s="413">
        <v>0</v>
      </c>
      <c r="E294" s="414">
        <v>0</v>
      </c>
      <c r="F294" s="415">
        <v>0</v>
      </c>
      <c r="G294" s="416">
        <v>0</v>
      </c>
      <c r="H294" s="417">
        <v>11</v>
      </c>
      <c r="I294" s="418">
        <v>901.53477272727287</v>
      </c>
      <c r="J294" s="419">
        <v>10.817166666666665</v>
      </c>
      <c r="K294" s="420">
        <v>1033.9258585889713</v>
      </c>
      <c r="L294" s="421">
        <v>12</v>
      </c>
      <c r="M294" s="437">
        <v>1113.5630555555556</v>
      </c>
    </row>
    <row r="295" spans="1:185">
      <c r="A295" s="410" t="s">
        <v>385</v>
      </c>
      <c r="B295" s="411" t="s">
        <v>314</v>
      </c>
      <c r="C295" s="422" t="s">
        <v>289</v>
      </c>
      <c r="D295" s="413">
        <v>6</v>
      </c>
      <c r="E295" s="414">
        <v>1025.1044444444444</v>
      </c>
      <c r="F295" s="415">
        <v>6</v>
      </c>
      <c r="G295" s="416">
        <v>1091.7744444444445</v>
      </c>
      <c r="H295" s="417">
        <v>6</v>
      </c>
      <c r="I295" s="418">
        <v>1211.1066666666668</v>
      </c>
      <c r="J295" s="419">
        <v>6</v>
      </c>
      <c r="K295" s="420">
        <v>1258.1831944444443</v>
      </c>
      <c r="L295" s="421">
        <v>6</v>
      </c>
      <c r="M295" s="437">
        <v>1420.9948611111113</v>
      </c>
    </row>
    <row r="296" spans="1:185">
      <c r="A296" s="410" t="s">
        <v>389</v>
      </c>
      <c r="B296" s="430" t="s">
        <v>390</v>
      </c>
      <c r="C296" s="432" t="s">
        <v>292</v>
      </c>
      <c r="D296" s="413"/>
      <c r="E296" s="414"/>
      <c r="F296" s="415"/>
      <c r="G296" s="416"/>
      <c r="H296" s="417"/>
      <c r="I296" s="418"/>
      <c r="J296" s="419"/>
      <c r="K296" s="420"/>
      <c r="L296" s="421">
        <v>1</v>
      </c>
      <c r="M296" s="437">
        <v>2459.9749999999999</v>
      </c>
    </row>
    <row r="297" spans="1:185">
      <c r="A297" s="410" t="s">
        <v>389</v>
      </c>
      <c r="B297" s="411" t="s">
        <v>391</v>
      </c>
      <c r="C297" s="432" t="s">
        <v>292</v>
      </c>
      <c r="D297" s="413">
        <v>1.75</v>
      </c>
      <c r="E297" s="414">
        <v>1452.1180952380953</v>
      </c>
      <c r="F297" s="415">
        <v>2</v>
      </c>
      <c r="G297" s="416">
        <v>1435.2704166666665</v>
      </c>
      <c r="H297" s="417">
        <v>2</v>
      </c>
      <c r="I297" s="418">
        <v>1484.8920833333334</v>
      </c>
      <c r="J297" s="419">
        <v>2</v>
      </c>
      <c r="K297" s="420">
        <v>1939.6991666666665</v>
      </c>
      <c r="L297" s="421">
        <v>1</v>
      </c>
      <c r="M297" s="437">
        <v>1924.4741666666666</v>
      </c>
    </row>
    <row r="298" spans="1:185">
      <c r="A298" s="410" t="s">
        <v>389</v>
      </c>
      <c r="B298" s="411" t="s">
        <v>364</v>
      </c>
      <c r="C298" s="412" t="s">
        <v>292</v>
      </c>
      <c r="D298" s="413">
        <v>15.805916666666668</v>
      </c>
      <c r="E298" s="414">
        <v>950.17519810619444</v>
      </c>
      <c r="F298" s="415">
        <v>17.490083333333335</v>
      </c>
      <c r="G298" s="416">
        <v>937.57343447000926</v>
      </c>
      <c r="H298" s="417">
        <v>17.166666666666668</v>
      </c>
      <c r="I298" s="418">
        <v>1200.1949514563109</v>
      </c>
      <c r="J298" s="419">
        <v>16.925250000000002</v>
      </c>
      <c r="K298" s="420">
        <v>1306.1581562064569</v>
      </c>
      <c r="L298" s="421">
        <v>17</v>
      </c>
      <c r="M298" s="437">
        <v>1364.1947549019608</v>
      </c>
    </row>
    <row r="299" spans="1:185">
      <c r="A299" s="410" t="s">
        <v>389</v>
      </c>
      <c r="B299" s="411" t="s">
        <v>301</v>
      </c>
      <c r="C299" s="422" t="s">
        <v>287</v>
      </c>
      <c r="D299" s="413">
        <v>9.0139166666666668</v>
      </c>
      <c r="E299" s="414">
        <v>1952.8060314143868</v>
      </c>
      <c r="F299" s="415">
        <v>7.3833333333333337</v>
      </c>
      <c r="G299" s="416">
        <v>2032.4679458239279</v>
      </c>
      <c r="H299" s="417">
        <v>8.15</v>
      </c>
      <c r="I299" s="418">
        <v>2030.7415132924339</v>
      </c>
      <c r="J299" s="419">
        <v>6.6944166666666662</v>
      </c>
      <c r="K299" s="420">
        <v>2070.130705936539</v>
      </c>
      <c r="L299" s="421">
        <v>8.8289999999999988</v>
      </c>
      <c r="M299" s="437">
        <v>1968.6576433722205</v>
      </c>
    </row>
    <row r="300" spans="1:185" s="382" customFormat="1" ht="16" thickBot="1">
      <c r="A300" s="410" t="s">
        <v>389</v>
      </c>
      <c r="B300" s="411" t="s">
        <v>305</v>
      </c>
      <c r="C300" s="422" t="s">
        <v>290</v>
      </c>
      <c r="D300" s="413">
        <v>2</v>
      </c>
      <c r="E300" s="414">
        <v>591.29208333333338</v>
      </c>
      <c r="F300" s="415">
        <v>2</v>
      </c>
      <c r="G300" s="416">
        <v>623.64791666666667</v>
      </c>
      <c r="H300" s="417">
        <v>2</v>
      </c>
      <c r="I300" s="418">
        <v>772.66083333333336</v>
      </c>
      <c r="J300" s="419">
        <v>2</v>
      </c>
      <c r="K300" s="420">
        <v>847.15916666666669</v>
      </c>
      <c r="L300" s="421">
        <v>2</v>
      </c>
      <c r="M300" s="437">
        <v>993.20666666666659</v>
      </c>
      <c r="N300" s="5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</row>
    <row r="301" spans="1:185" ht="16" thickTop="1">
      <c r="A301" s="410" t="s">
        <v>389</v>
      </c>
      <c r="B301" s="411" t="s">
        <v>315</v>
      </c>
      <c r="C301" s="422" t="s">
        <v>293</v>
      </c>
      <c r="D301" s="413">
        <v>2.7444166666666665</v>
      </c>
      <c r="E301" s="414">
        <v>749.09513254182741</v>
      </c>
      <c r="F301" s="415">
        <v>2</v>
      </c>
      <c r="G301" s="416">
        <v>773.79333333333341</v>
      </c>
      <c r="H301" s="417">
        <v>2</v>
      </c>
      <c r="I301" s="418">
        <v>816.37041666666664</v>
      </c>
      <c r="J301" s="419">
        <v>2</v>
      </c>
      <c r="K301" s="420">
        <v>1004.0949999999999</v>
      </c>
      <c r="L301" s="421">
        <v>1.9166666666666667</v>
      </c>
      <c r="M301" s="437">
        <v>1024.4473913043478</v>
      </c>
    </row>
    <row r="302" spans="1:185">
      <c r="A302" s="410" t="s">
        <v>392</v>
      </c>
      <c r="B302" s="411" t="s">
        <v>349</v>
      </c>
      <c r="C302" s="422" t="s">
        <v>418</v>
      </c>
      <c r="D302" s="413">
        <v>28</v>
      </c>
      <c r="E302" s="414">
        <v>877.162380952381</v>
      </c>
      <c r="F302" s="415">
        <v>29.600833333333338</v>
      </c>
      <c r="G302" s="416">
        <v>905.72959657667298</v>
      </c>
      <c r="H302" s="417">
        <v>29.838749999999994</v>
      </c>
      <c r="I302" s="418">
        <v>1022.2450393085055</v>
      </c>
      <c r="J302" s="419">
        <v>30.672250000000002</v>
      </c>
      <c r="K302" s="420">
        <v>1085.2622212803651</v>
      </c>
      <c r="L302" s="421">
        <v>20.22325</v>
      </c>
      <c r="M302" s="437">
        <v>1150.6712570927027</v>
      </c>
    </row>
    <row r="303" spans="1:185">
      <c r="A303" s="410" t="s">
        <v>392</v>
      </c>
      <c r="B303" s="411" t="s">
        <v>325</v>
      </c>
      <c r="C303" s="422" t="s">
        <v>418</v>
      </c>
      <c r="D303" s="413">
        <v>2</v>
      </c>
      <c r="E303" s="414">
        <v>699.35666666666668</v>
      </c>
      <c r="F303" s="415">
        <v>2.6666666666666665</v>
      </c>
      <c r="G303" s="416">
        <v>701.010625</v>
      </c>
      <c r="H303" s="417">
        <v>3.1277500000000003</v>
      </c>
      <c r="I303" s="418">
        <v>808.74164068952655</v>
      </c>
      <c r="J303" s="419">
        <v>4.833333333333333</v>
      </c>
      <c r="K303" s="420">
        <v>938.45672413793113</v>
      </c>
      <c r="L303" s="421">
        <v>1.6843333333333332</v>
      </c>
      <c r="M303" s="437">
        <v>935.42499505244393</v>
      </c>
    </row>
    <row r="304" spans="1:185">
      <c r="A304" s="410" t="s">
        <v>392</v>
      </c>
      <c r="B304" s="411" t="s">
        <v>393</v>
      </c>
      <c r="C304" s="422" t="s">
        <v>418</v>
      </c>
      <c r="D304" s="413">
        <v>3</v>
      </c>
      <c r="E304" s="414">
        <v>523.51611111111117</v>
      </c>
      <c r="F304" s="415">
        <v>3</v>
      </c>
      <c r="G304" s="416">
        <v>656.46777777777777</v>
      </c>
      <c r="H304" s="417">
        <v>3</v>
      </c>
      <c r="I304" s="418">
        <v>736.9766666666668</v>
      </c>
      <c r="J304" s="419">
        <v>2.045666666666667</v>
      </c>
      <c r="K304" s="420">
        <v>1051.4428874042692</v>
      </c>
      <c r="L304" s="421">
        <v>2.2123333333333335</v>
      </c>
      <c r="M304" s="437">
        <v>963.05145397016713</v>
      </c>
    </row>
    <row r="305" spans="1:185">
      <c r="A305" s="410" t="s">
        <v>392</v>
      </c>
      <c r="B305" s="411" t="s">
        <v>301</v>
      </c>
      <c r="C305" s="422" t="s">
        <v>287</v>
      </c>
      <c r="D305" s="413">
        <v>8.4</v>
      </c>
      <c r="E305" s="414">
        <v>1923.5534722222224</v>
      </c>
      <c r="F305" s="415">
        <v>9.2083333333333339</v>
      </c>
      <c r="G305" s="416">
        <v>1895.8260633484163</v>
      </c>
      <c r="H305" s="417">
        <v>9.2054166666666664</v>
      </c>
      <c r="I305" s="418">
        <v>1821.4493278413979</v>
      </c>
      <c r="J305" s="419">
        <v>10.698416666666667</v>
      </c>
      <c r="K305" s="420">
        <v>1801.4523956037112</v>
      </c>
      <c r="L305" s="421">
        <v>5.1677499999999998</v>
      </c>
      <c r="M305" s="437">
        <v>1764.2468514666282</v>
      </c>
    </row>
    <row r="306" spans="1:185" s="382" customFormat="1" ht="16" thickBot="1">
      <c r="A306" s="410" t="s">
        <v>392</v>
      </c>
      <c r="B306" s="411" t="s">
        <v>305</v>
      </c>
      <c r="C306" s="422" t="s">
        <v>290</v>
      </c>
      <c r="D306" s="413">
        <v>3</v>
      </c>
      <c r="E306" s="414">
        <v>493.81083333333328</v>
      </c>
      <c r="F306" s="415">
        <v>2.0403333333333333</v>
      </c>
      <c r="G306" s="416">
        <v>689.6119915046562</v>
      </c>
      <c r="H306" s="417">
        <v>1.67225</v>
      </c>
      <c r="I306" s="418">
        <v>754.0663776349229</v>
      </c>
      <c r="J306" s="419">
        <v>1</v>
      </c>
      <c r="K306" s="420">
        <v>682.00083333333339</v>
      </c>
      <c r="L306" s="421">
        <v>0.41666666666666669</v>
      </c>
      <c r="M306" s="437">
        <v>614.61599999999999</v>
      </c>
      <c r="N306" s="500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</row>
    <row r="307" spans="1:185" ht="16" thickTop="1">
      <c r="A307" s="410" t="s">
        <v>392</v>
      </c>
      <c r="B307" s="411" t="s">
        <v>320</v>
      </c>
      <c r="C307" s="422" t="s">
        <v>290</v>
      </c>
      <c r="D307" s="413">
        <v>4</v>
      </c>
      <c r="E307" s="414">
        <v>784.69270833333337</v>
      </c>
      <c r="F307" s="415">
        <v>4.5</v>
      </c>
      <c r="G307" s="416">
        <v>794.81999999999994</v>
      </c>
      <c r="H307" s="417">
        <v>0</v>
      </c>
      <c r="I307" s="418">
        <v>0</v>
      </c>
      <c r="J307" s="419">
        <v>0</v>
      </c>
      <c r="K307" s="420">
        <v>0</v>
      </c>
      <c r="L307" s="421">
        <v>0.41666666666666669</v>
      </c>
      <c r="M307" s="437">
        <v>1232.2440000000001</v>
      </c>
      <c r="N307" s="500"/>
    </row>
    <row r="308" spans="1:185">
      <c r="A308" s="410" t="s">
        <v>392</v>
      </c>
      <c r="B308" s="411" t="s">
        <v>315</v>
      </c>
      <c r="C308" s="422" t="s">
        <v>293</v>
      </c>
      <c r="D308" s="413">
        <v>1</v>
      </c>
      <c r="E308" s="414">
        <v>851.98</v>
      </c>
      <c r="F308" s="415">
        <v>1</v>
      </c>
      <c r="G308" s="416">
        <v>821.13666666666666</v>
      </c>
      <c r="H308" s="417">
        <v>1</v>
      </c>
      <c r="I308" s="418">
        <v>856.20333333333338</v>
      </c>
      <c r="J308" s="419">
        <v>1</v>
      </c>
      <c r="K308" s="420">
        <v>933.52750000000003</v>
      </c>
      <c r="L308" s="421">
        <v>1.4623333333333335</v>
      </c>
      <c r="M308" s="437">
        <v>1025.3288124002736</v>
      </c>
    </row>
    <row r="309" spans="1:185">
      <c r="A309" s="410" t="s">
        <v>392</v>
      </c>
      <c r="B309" s="411" t="s">
        <v>319</v>
      </c>
      <c r="C309" s="422" t="s">
        <v>289</v>
      </c>
      <c r="D309" s="413">
        <v>0</v>
      </c>
      <c r="E309" s="414">
        <v>0</v>
      </c>
      <c r="F309" s="415">
        <v>0</v>
      </c>
      <c r="G309" s="416">
        <v>0</v>
      </c>
      <c r="H309" s="417">
        <v>5</v>
      </c>
      <c r="I309" s="418">
        <v>890.22366666666665</v>
      </c>
      <c r="J309" s="419">
        <v>5</v>
      </c>
      <c r="K309" s="420">
        <v>994.99433333333332</v>
      </c>
      <c r="L309" s="421">
        <v>0</v>
      </c>
      <c r="M309" s="437">
        <v>0</v>
      </c>
    </row>
    <row r="310" spans="1:185">
      <c r="A310" s="410" t="s">
        <v>392</v>
      </c>
      <c r="B310" s="411" t="s">
        <v>314</v>
      </c>
      <c r="C310" s="422" t="s">
        <v>289</v>
      </c>
      <c r="D310" s="413">
        <v>13.833333333333334</v>
      </c>
      <c r="E310" s="414">
        <v>972.33813253012033</v>
      </c>
      <c r="F310" s="415">
        <v>14</v>
      </c>
      <c r="G310" s="416">
        <v>1014.6625595238094</v>
      </c>
      <c r="H310" s="417">
        <v>13.916666666666666</v>
      </c>
      <c r="I310" s="418">
        <v>1163.1850299401196</v>
      </c>
      <c r="J310" s="419">
        <v>12.35275</v>
      </c>
      <c r="K310" s="420">
        <v>1249.247266128325</v>
      </c>
      <c r="L310" s="421">
        <v>5</v>
      </c>
      <c r="M310" s="437">
        <v>1209.1719999999998</v>
      </c>
    </row>
    <row r="311" spans="1:185">
      <c r="A311" s="410" t="s">
        <v>394</v>
      </c>
      <c r="B311" s="411" t="s">
        <v>371</v>
      </c>
      <c r="C311" s="412" t="s">
        <v>288</v>
      </c>
      <c r="D311" s="413">
        <v>1</v>
      </c>
      <c r="E311" s="414">
        <v>1904.1016666666667</v>
      </c>
      <c r="F311" s="415">
        <v>1</v>
      </c>
      <c r="G311" s="416">
        <v>2032.3933333333334</v>
      </c>
      <c r="H311" s="417">
        <v>1</v>
      </c>
      <c r="I311" s="418">
        <v>2111.2249999999999</v>
      </c>
      <c r="J311" s="419">
        <v>1</v>
      </c>
      <c r="K311" s="420">
        <v>1791.7208333333335</v>
      </c>
      <c r="L311" s="421">
        <v>1</v>
      </c>
      <c r="M311" s="437">
        <v>2014.9258333333335</v>
      </c>
    </row>
    <row r="312" spans="1:185">
      <c r="A312" s="410" t="s">
        <v>394</v>
      </c>
      <c r="B312" s="411" t="s">
        <v>396</v>
      </c>
      <c r="C312" s="422" t="s">
        <v>418</v>
      </c>
      <c r="D312" s="413">
        <v>1.05</v>
      </c>
      <c r="E312" s="414">
        <v>1164.3492063492063</v>
      </c>
      <c r="F312" s="415">
        <v>0.96666666666666667</v>
      </c>
      <c r="G312" s="416">
        <v>1022.9784482758621</v>
      </c>
      <c r="H312" s="417">
        <v>0.3833333333333333</v>
      </c>
      <c r="I312" s="418">
        <v>982.81086956521756</v>
      </c>
      <c r="J312" s="419">
        <v>4.9999999999999996E-2</v>
      </c>
      <c r="K312" s="420">
        <v>1094.3500000000001</v>
      </c>
      <c r="L312" s="421">
        <v>0.10833333333333332</v>
      </c>
      <c r="M312" s="437">
        <v>1281.1230769230772</v>
      </c>
    </row>
    <row r="313" spans="1:185">
      <c r="A313" s="410" t="s">
        <v>394</v>
      </c>
      <c r="B313" s="411" t="s">
        <v>397</v>
      </c>
      <c r="C313" s="422" t="s">
        <v>418</v>
      </c>
      <c r="D313" s="413">
        <v>8.75</v>
      </c>
      <c r="E313" s="414">
        <v>2108.7592380952383</v>
      </c>
      <c r="F313" s="415">
        <v>8.5</v>
      </c>
      <c r="G313" s="416">
        <v>2188.3794117647062</v>
      </c>
      <c r="H313" s="417">
        <v>9</v>
      </c>
      <c r="I313" s="418">
        <v>2243.7708333333335</v>
      </c>
      <c r="J313" s="419">
        <v>8.5</v>
      </c>
      <c r="K313" s="420">
        <v>2361.6673529411764</v>
      </c>
      <c r="L313" s="421">
        <v>11.129</v>
      </c>
      <c r="M313" s="437">
        <v>2680.2374427172249</v>
      </c>
    </row>
    <row r="314" spans="1:185">
      <c r="A314" s="410" t="s">
        <v>394</v>
      </c>
      <c r="B314" s="411" t="s">
        <v>384</v>
      </c>
      <c r="C314" s="412" t="s">
        <v>292</v>
      </c>
      <c r="D314" s="413">
        <v>1</v>
      </c>
      <c r="E314" s="414">
        <v>1100.2749999999999</v>
      </c>
      <c r="F314" s="415">
        <v>1</v>
      </c>
      <c r="G314" s="416">
        <v>1156.5825</v>
      </c>
      <c r="H314" s="417">
        <v>1</v>
      </c>
      <c r="I314" s="418">
        <v>1268.9533333333334</v>
      </c>
      <c r="J314" s="419">
        <v>1</v>
      </c>
      <c r="K314" s="420">
        <v>1407.5916666666665</v>
      </c>
      <c r="L314" s="421">
        <v>1</v>
      </c>
      <c r="M314" s="437">
        <v>1589.29</v>
      </c>
    </row>
    <row r="315" spans="1:185">
      <c r="A315" s="410" t="s">
        <v>394</v>
      </c>
      <c r="B315" s="411" t="s">
        <v>395</v>
      </c>
      <c r="C315" s="412" t="s">
        <v>292</v>
      </c>
      <c r="D315" s="413">
        <v>3.25</v>
      </c>
      <c r="E315" s="414">
        <v>942.97512820512804</v>
      </c>
      <c r="F315" s="415">
        <v>3.5</v>
      </c>
      <c r="G315" s="416">
        <v>1117.3359523809524</v>
      </c>
      <c r="H315" s="417">
        <v>4</v>
      </c>
      <c r="I315" s="418">
        <v>1097.2362500000002</v>
      </c>
      <c r="J315" s="419">
        <v>2.1235833333333334</v>
      </c>
      <c r="K315" s="420">
        <v>1287.3633402660596</v>
      </c>
      <c r="L315" s="421">
        <v>2</v>
      </c>
      <c r="M315" s="437">
        <v>1483.5579166666666</v>
      </c>
    </row>
    <row r="316" spans="1:185">
      <c r="A316" s="410" t="s">
        <v>394</v>
      </c>
      <c r="B316" s="411" t="s">
        <v>398</v>
      </c>
      <c r="C316" s="432" t="s">
        <v>292</v>
      </c>
      <c r="D316" s="413">
        <v>1</v>
      </c>
      <c r="E316" s="414">
        <v>1120.0016666666668</v>
      </c>
      <c r="F316" s="415">
        <v>0.45833333333333331</v>
      </c>
      <c r="G316" s="416">
        <v>1553.0818181818183</v>
      </c>
      <c r="H316" s="417">
        <v>0</v>
      </c>
      <c r="I316" s="418">
        <v>0</v>
      </c>
      <c r="J316" s="419">
        <v>0</v>
      </c>
      <c r="K316" s="420">
        <v>0</v>
      </c>
      <c r="L316" s="421">
        <v>0</v>
      </c>
      <c r="M316" s="437">
        <v>0</v>
      </c>
    </row>
    <row r="317" spans="1:185">
      <c r="A317" s="410" t="s">
        <v>394</v>
      </c>
      <c r="B317" s="411" t="s">
        <v>391</v>
      </c>
      <c r="C317" s="432" t="s">
        <v>292</v>
      </c>
      <c r="D317" s="413">
        <v>7.1532499999999999</v>
      </c>
      <c r="E317" s="414">
        <v>1347.7464788732395</v>
      </c>
      <c r="F317" s="415">
        <v>7.083333333333333</v>
      </c>
      <c r="G317" s="416">
        <v>1522.1317647058825</v>
      </c>
      <c r="H317" s="417">
        <v>7.416666666666667</v>
      </c>
      <c r="I317" s="418">
        <v>1527.1667415730337</v>
      </c>
      <c r="J317" s="419">
        <v>8.2755833333333335</v>
      </c>
      <c r="K317" s="420">
        <v>1708.1370900339352</v>
      </c>
      <c r="L317" s="421">
        <v>5</v>
      </c>
      <c r="M317" s="437">
        <v>1623.7868333333331</v>
      </c>
    </row>
    <row r="318" spans="1:185">
      <c r="A318" s="410" t="s">
        <v>394</v>
      </c>
      <c r="B318" s="411" t="s">
        <v>364</v>
      </c>
      <c r="C318" s="412" t="s">
        <v>292</v>
      </c>
      <c r="D318" s="413">
        <v>76.515166666666673</v>
      </c>
      <c r="E318" s="414">
        <v>1099.436723873916</v>
      </c>
      <c r="F318" s="415">
        <v>73.592833333333331</v>
      </c>
      <c r="G318" s="416">
        <v>1128.8393344460621</v>
      </c>
      <c r="H318" s="417">
        <v>70.123583333333329</v>
      </c>
      <c r="I318" s="418">
        <v>1273.8289424741795</v>
      </c>
      <c r="J318" s="419">
        <v>67.978999999999999</v>
      </c>
      <c r="K318" s="420">
        <v>1358.0792475127128</v>
      </c>
      <c r="L318" s="421">
        <v>66.145166666666668</v>
      </c>
      <c r="M318" s="437">
        <v>1537.2687976697723</v>
      </c>
    </row>
    <row r="319" spans="1:185">
      <c r="A319" s="410" t="s">
        <v>394</v>
      </c>
      <c r="B319" s="411" t="s">
        <v>301</v>
      </c>
      <c r="C319" s="422" t="s">
        <v>287</v>
      </c>
      <c r="D319" s="413">
        <v>8.0750000000000011</v>
      </c>
      <c r="E319" s="414">
        <v>2505.246646026832</v>
      </c>
      <c r="F319" s="415">
        <v>8.0750000000000011</v>
      </c>
      <c r="G319" s="416">
        <v>2594.3045407636741</v>
      </c>
      <c r="H319" s="417">
        <v>7.7527500000000016</v>
      </c>
      <c r="I319" s="418">
        <v>2694.0321176356765</v>
      </c>
      <c r="J319" s="419">
        <v>7.2916666666666679</v>
      </c>
      <c r="K319" s="420">
        <v>2793.5828571428565</v>
      </c>
      <c r="L319" s="421">
        <v>7.4750000000000005</v>
      </c>
      <c r="M319" s="437">
        <v>3124.9832775919731</v>
      </c>
    </row>
    <row r="320" spans="1:185">
      <c r="A320" s="410" t="s">
        <v>394</v>
      </c>
      <c r="B320" s="411" t="s">
        <v>305</v>
      </c>
      <c r="C320" s="422" t="s">
        <v>290</v>
      </c>
      <c r="D320" s="413">
        <v>7</v>
      </c>
      <c r="E320" s="414">
        <v>577.12369047619052</v>
      </c>
      <c r="F320" s="415">
        <v>7</v>
      </c>
      <c r="G320" s="416">
        <v>582.69071428571419</v>
      </c>
      <c r="H320" s="417">
        <v>7</v>
      </c>
      <c r="I320" s="418">
        <v>665.41880952380939</v>
      </c>
      <c r="J320" s="419">
        <v>6.583333333333333</v>
      </c>
      <c r="K320" s="420">
        <v>661.07037974683544</v>
      </c>
      <c r="L320" s="421">
        <v>6</v>
      </c>
      <c r="M320" s="437">
        <v>773.04777777777781</v>
      </c>
      <c r="N320" s="500"/>
    </row>
    <row r="321" spans="1:185">
      <c r="A321" s="410" t="s">
        <v>394</v>
      </c>
      <c r="B321" s="411" t="s">
        <v>320</v>
      </c>
      <c r="C321" s="422" t="s">
        <v>290</v>
      </c>
      <c r="D321" s="413">
        <v>3.4166666666666665</v>
      </c>
      <c r="E321" s="414">
        <v>743.2863414634146</v>
      </c>
      <c r="F321" s="415">
        <v>4</v>
      </c>
      <c r="G321" s="416">
        <v>769.15</v>
      </c>
      <c r="H321" s="417">
        <v>0</v>
      </c>
      <c r="I321" s="418">
        <v>0</v>
      </c>
      <c r="J321" s="419">
        <v>0</v>
      </c>
      <c r="K321" s="420">
        <v>0</v>
      </c>
      <c r="L321" s="421">
        <v>0</v>
      </c>
      <c r="M321" s="437">
        <v>0</v>
      </c>
      <c r="N321" s="500"/>
    </row>
    <row r="322" spans="1:185">
      <c r="A322" s="410" t="s">
        <v>394</v>
      </c>
      <c r="B322" s="411" t="s">
        <v>315</v>
      </c>
      <c r="C322" s="422" t="s">
        <v>293</v>
      </c>
      <c r="D322" s="413">
        <v>1</v>
      </c>
      <c r="E322" s="414">
        <v>789.03499999999997</v>
      </c>
      <c r="F322" s="415">
        <v>1</v>
      </c>
      <c r="G322" s="416">
        <v>749.55666666666673</v>
      </c>
      <c r="H322" s="417">
        <v>1</v>
      </c>
      <c r="I322" s="418">
        <v>813.19</v>
      </c>
      <c r="J322" s="419">
        <v>1</v>
      </c>
      <c r="K322" s="420">
        <v>913.82083333333333</v>
      </c>
      <c r="L322" s="421">
        <v>1</v>
      </c>
      <c r="M322" s="437">
        <v>1022.2941666666667</v>
      </c>
    </row>
    <row r="323" spans="1:185">
      <c r="A323" s="410" t="s">
        <v>394</v>
      </c>
      <c r="B323" s="411" t="s">
        <v>319</v>
      </c>
      <c r="C323" s="422" t="s">
        <v>289</v>
      </c>
      <c r="D323" s="413">
        <v>0</v>
      </c>
      <c r="E323" s="414">
        <v>0</v>
      </c>
      <c r="F323" s="415">
        <v>0</v>
      </c>
      <c r="G323" s="416">
        <v>0</v>
      </c>
      <c r="H323" s="417">
        <v>4</v>
      </c>
      <c r="I323" s="418">
        <v>853.1491666666667</v>
      </c>
      <c r="J323" s="419">
        <v>4.25</v>
      </c>
      <c r="K323" s="420">
        <v>746.12137254901961</v>
      </c>
      <c r="L323" s="421">
        <v>5</v>
      </c>
      <c r="M323" s="437">
        <v>919.97300000000007</v>
      </c>
    </row>
    <row r="324" spans="1:185">
      <c r="A324" s="410" t="s">
        <v>394</v>
      </c>
      <c r="B324" s="411" t="s">
        <v>314</v>
      </c>
      <c r="C324" s="422" t="s">
        <v>289</v>
      </c>
      <c r="D324" s="413">
        <v>7</v>
      </c>
      <c r="E324" s="414">
        <v>792.51797619047613</v>
      </c>
      <c r="F324" s="415">
        <v>6.666666666666667</v>
      </c>
      <c r="G324" s="416">
        <v>815.03637499999991</v>
      </c>
      <c r="H324" s="417">
        <v>7</v>
      </c>
      <c r="I324" s="418">
        <v>931.83142857142866</v>
      </c>
      <c r="J324" s="419">
        <v>7</v>
      </c>
      <c r="K324" s="420">
        <v>991.40404761904767</v>
      </c>
      <c r="L324" s="421">
        <v>7</v>
      </c>
      <c r="M324" s="437">
        <v>1059.3009523809524</v>
      </c>
    </row>
    <row r="325" spans="1:185">
      <c r="A325" s="410" t="s">
        <v>399</v>
      </c>
      <c r="B325" s="411" t="s">
        <v>301</v>
      </c>
      <c r="C325" s="422" t="s">
        <v>287</v>
      </c>
      <c r="D325" s="413">
        <v>10.157000000000002</v>
      </c>
      <c r="E325" s="414">
        <v>2327.1197203898787</v>
      </c>
      <c r="F325" s="415">
        <v>6.3472499999999998</v>
      </c>
      <c r="G325" s="416">
        <v>1803.7830031378417</v>
      </c>
      <c r="H325" s="417">
        <v>5.3</v>
      </c>
      <c r="I325" s="418">
        <v>1888.1627358490568</v>
      </c>
      <c r="J325" s="419">
        <v>5.95</v>
      </c>
      <c r="K325" s="420">
        <v>1944.7114845938377</v>
      </c>
      <c r="L325" s="421">
        <v>3.9083333333333332</v>
      </c>
      <c r="M325" s="437">
        <v>2424.0637526652454</v>
      </c>
    </row>
    <row r="326" spans="1:185" s="382" customFormat="1" ht="16" thickBot="1">
      <c r="A326" s="410" t="s">
        <v>399</v>
      </c>
      <c r="B326" s="411" t="s">
        <v>303</v>
      </c>
      <c r="C326" s="422" t="s">
        <v>290</v>
      </c>
      <c r="D326" s="413">
        <v>1</v>
      </c>
      <c r="E326" s="414">
        <v>612.16416666666669</v>
      </c>
      <c r="F326" s="415">
        <v>1</v>
      </c>
      <c r="G326" s="416">
        <v>623.45666666666659</v>
      </c>
      <c r="H326" s="417">
        <v>1</v>
      </c>
      <c r="I326" s="418">
        <v>657.40250000000003</v>
      </c>
      <c r="J326" s="419">
        <v>1</v>
      </c>
      <c r="K326" s="420">
        <v>766.32916666666677</v>
      </c>
      <c r="L326" s="421">
        <v>0</v>
      </c>
      <c r="M326" s="437">
        <v>0</v>
      </c>
      <c r="N326" s="500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</row>
    <row r="327" spans="1:185" ht="16" thickTop="1">
      <c r="A327" s="410" t="s">
        <v>399</v>
      </c>
      <c r="B327" s="411" t="s">
        <v>305</v>
      </c>
      <c r="C327" s="422" t="s">
        <v>290</v>
      </c>
      <c r="D327" s="413">
        <v>3</v>
      </c>
      <c r="E327" s="414">
        <v>663.61138888888888</v>
      </c>
      <c r="F327" s="415">
        <v>3</v>
      </c>
      <c r="G327" s="416">
        <v>687.95999999999992</v>
      </c>
      <c r="H327" s="417">
        <v>2.8889166666666668</v>
      </c>
      <c r="I327" s="418">
        <v>700.97758675397347</v>
      </c>
      <c r="J327" s="419">
        <v>2</v>
      </c>
      <c r="K327" s="420">
        <v>698.07208333333335</v>
      </c>
      <c r="L327" s="421">
        <v>0.33333333333333331</v>
      </c>
      <c r="M327" s="437">
        <v>1293.1500000000001</v>
      </c>
      <c r="N327" s="500"/>
    </row>
    <row r="328" spans="1:185">
      <c r="A328" s="410" t="s">
        <v>399</v>
      </c>
      <c r="B328" s="411" t="s">
        <v>320</v>
      </c>
      <c r="C328" s="422" t="s">
        <v>290</v>
      </c>
      <c r="D328" s="413">
        <v>2</v>
      </c>
      <c r="E328" s="414">
        <v>719.35500000000002</v>
      </c>
      <c r="F328" s="415">
        <v>2</v>
      </c>
      <c r="G328" s="416">
        <v>729.16874999999993</v>
      </c>
      <c r="H328" s="417">
        <v>0</v>
      </c>
      <c r="I328" s="418">
        <v>0</v>
      </c>
      <c r="J328" s="419">
        <v>0</v>
      </c>
      <c r="K328" s="420">
        <v>0</v>
      </c>
      <c r="L328" s="421">
        <v>0</v>
      </c>
      <c r="M328" s="437">
        <v>0</v>
      </c>
      <c r="N328" s="500"/>
    </row>
    <row r="329" spans="1:185">
      <c r="A329" s="410" t="s">
        <v>399</v>
      </c>
      <c r="B329" s="411" t="s">
        <v>311</v>
      </c>
      <c r="C329" s="422" t="s">
        <v>293</v>
      </c>
      <c r="D329" s="413">
        <v>1</v>
      </c>
      <c r="E329" s="414">
        <v>520.97333333333336</v>
      </c>
      <c r="F329" s="415">
        <v>1</v>
      </c>
      <c r="G329" s="416">
        <v>574.55416666666667</v>
      </c>
      <c r="H329" s="417">
        <v>1</v>
      </c>
      <c r="I329" s="418">
        <v>575.67166666666674</v>
      </c>
      <c r="J329" s="419">
        <v>1</v>
      </c>
      <c r="K329" s="420">
        <v>585.7741666666667</v>
      </c>
      <c r="L329" s="421">
        <v>1</v>
      </c>
      <c r="M329" s="437">
        <v>863.95749999999998</v>
      </c>
    </row>
    <row r="330" spans="1:185">
      <c r="A330" s="410" t="s">
        <v>399</v>
      </c>
      <c r="B330" s="411" t="s">
        <v>315</v>
      </c>
      <c r="C330" s="422" t="s">
        <v>293</v>
      </c>
      <c r="D330" s="413">
        <v>1</v>
      </c>
      <c r="E330" s="414">
        <v>855.64750000000004</v>
      </c>
      <c r="F330" s="415">
        <v>1</v>
      </c>
      <c r="G330" s="416">
        <v>865.44666666666672</v>
      </c>
      <c r="H330" s="417">
        <v>1</v>
      </c>
      <c r="I330" s="418">
        <v>938.8125</v>
      </c>
      <c r="J330" s="419">
        <v>1</v>
      </c>
      <c r="K330" s="420">
        <v>1052.7316666666668</v>
      </c>
      <c r="L330" s="421">
        <v>1</v>
      </c>
      <c r="M330" s="437">
        <v>1140.8225</v>
      </c>
    </row>
    <row r="331" spans="1:185">
      <c r="A331" s="410" t="s">
        <v>399</v>
      </c>
      <c r="B331" s="411" t="s">
        <v>319</v>
      </c>
      <c r="C331" s="422" t="s">
        <v>289</v>
      </c>
      <c r="D331" s="413">
        <v>0</v>
      </c>
      <c r="E331" s="414">
        <v>0</v>
      </c>
      <c r="F331" s="415">
        <v>0</v>
      </c>
      <c r="G331" s="416">
        <v>0</v>
      </c>
      <c r="H331" s="417">
        <v>2</v>
      </c>
      <c r="I331" s="418">
        <v>698.05041666666659</v>
      </c>
      <c r="J331" s="419">
        <v>1.6290000000000002</v>
      </c>
      <c r="K331" s="420">
        <v>1044.3523634131368</v>
      </c>
      <c r="L331" s="421">
        <v>0</v>
      </c>
      <c r="M331" s="437">
        <v>0</v>
      </c>
    </row>
    <row r="332" spans="1:185">
      <c r="A332" s="410" t="s">
        <v>399</v>
      </c>
      <c r="B332" s="411" t="s">
        <v>314</v>
      </c>
      <c r="C332" s="422" t="s">
        <v>289</v>
      </c>
      <c r="D332" s="413">
        <v>17</v>
      </c>
      <c r="E332" s="414">
        <v>1023.2009803921569</v>
      </c>
      <c r="F332" s="415">
        <v>16.416666666666668</v>
      </c>
      <c r="G332" s="416">
        <v>1069.038730964467</v>
      </c>
      <c r="H332" s="417">
        <v>15</v>
      </c>
      <c r="I332" s="418">
        <v>1119.1047777777776</v>
      </c>
      <c r="J332" s="419">
        <v>13.483833333333331</v>
      </c>
      <c r="K332" s="420">
        <v>1184.7912314747293</v>
      </c>
      <c r="L332" s="421">
        <v>7.333333333333333</v>
      </c>
      <c r="M332" s="437">
        <v>1135.7418181818182</v>
      </c>
    </row>
    <row r="333" spans="1:185">
      <c r="A333" s="410" t="s">
        <v>400</v>
      </c>
      <c r="B333" s="411" t="s">
        <v>342</v>
      </c>
      <c r="C333" s="412" t="s">
        <v>418</v>
      </c>
      <c r="D333" s="413">
        <v>29.106750000000002</v>
      </c>
      <c r="E333" s="414">
        <v>1327.3433138361377</v>
      </c>
      <c r="F333" s="415">
        <v>29.938083333333335</v>
      </c>
      <c r="G333" s="416">
        <v>1352.8110238631396</v>
      </c>
      <c r="H333" s="417">
        <v>29.546000000000003</v>
      </c>
      <c r="I333" s="418">
        <v>1571.0743134998531</v>
      </c>
      <c r="J333" s="419">
        <v>28.541250000000002</v>
      </c>
      <c r="K333" s="420">
        <v>1813.4834377144189</v>
      </c>
      <c r="L333" s="421">
        <v>25.990083333333331</v>
      </c>
      <c r="M333" s="437">
        <v>2315.3566905326074</v>
      </c>
    </row>
    <row r="334" spans="1:185" s="382" customFormat="1" ht="16" thickBot="1">
      <c r="A334" s="410" t="s">
        <v>400</v>
      </c>
      <c r="B334" s="411" t="s">
        <v>301</v>
      </c>
      <c r="C334" s="422" t="s">
        <v>287</v>
      </c>
      <c r="D334" s="413">
        <v>14.683333333333332</v>
      </c>
      <c r="E334" s="414">
        <v>2371.6061293984108</v>
      </c>
      <c r="F334" s="415">
        <v>15.309666666666667</v>
      </c>
      <c r="G334" s="416">
        <v>2362.5198676217642</v>
      </c>
      <c r="H334" s="417">
        <v>14.493333333333334</v>
      </c>
      <c r="I334" s="418">
        <v>2664.7523574057036</v>
      </c>
      <c r="J334" s="419">
        <v>17.283416666666668</v>
      </c>
      <c r="K334" s="420">
        <v>2759.8907430533127</v>
      </c>
      <c r="L334" s="421">
        <v>19.620166666666666</v>
      </c>
      <c r="M334" s="437">
        <v>3162.8410394067337</v>
      </c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</row>
    <row r="335" spans="1:185" ht="16" thickTop="1">
      <c r="A335" s="410" t="s">
        <v>400</v>
      </c>
      <c r="B335" s="411" t="s">
        <v>303</v>
      </c>
      <c r="C335" s="422" t="s">
        <v>290</v>
      </c>
      <c r="D335" s="413">
        <v>1</v>
      </c>
      <c r="E335" s="414">
        <v>547.1925</v>
      </c>
      <c r="F335" s="415">
        <v>1</v>
      </c>
      <c r="G335" s="416">
        <v>567.13666666666666</v>
      </c>
      <c r="H335" s="417">
        <v>1</v>
      </c>
      <c r="I335" s="418">
        <v>553.60416666666663</v>
      </c>
      <c r="J335" s="419">
        <v>1</v>
      </c>
      <c r="K335" s="420">
        <v>703.41750000000002</v>
      </c>
      <c r="L335" s="421">
        <v>1</v>
      </c>
      <c r="M335" s="437">
        <v>886.4083333333333</v>
      </c>
      <c r="N335" s="500"/>
    </row>
    <row r="336" spans="1:185">
      <c r="A336" s="410" t="s">
        <v>400</v>
      </c>
      <c r="B336" s="411" t="s">
        <v>305</v>
      </c>
      <c r="C336" s="422" t="s">
        <v>290</v>
      </c>
      <c r="D336" s="413">
        <v>1</v>
      </c>
      <c r="E336" s="414">
        <v>577.82749999999999</v>
      </c>
      <c r="F336" s="415">
        <v>1</v>
      </c>
      <c r="G336" s="416">
        <v>659.72166666666669</v>
      </c>
      <c r="H336" s="417">
        <v>1</v>
      </c>
      <c r="I336" s="418">
        <v>639.90333333333331</v>
      </c>
      <c r="J336" s="419">
        <v>1</v>
      </c>
      <c r="K336" s="420">
        <v>781.95666666666659</v>
      </c>
      <c r="L336" s="421">
        <v>1</v>
      </c>
      <c r="M336" s="437">
        <v>988.6774999999999</v>
      </c>
      <c r="N336" s="500"/>
    </row>
    <row r="337" spans="1:185">
      <c r="A337" s="410" t="s">
        <v>400</v>
      </c>
      <c r="B337" s="411" t="s">
        <v>320</v>
      </c>
      <c r="C337" s="422" t="s">
        <v>290</v>
      </c>
      <c r="D337" s="413">
        <v>2</v>
      </c>
      <c r="E337" s="414">
        <v>687.58083333333343</v>
      </c>
      <c r="F337" s="415">
        <v>2</v>
      </c>
      <c r="G337" s="416">
        <v>709.29333333333341</v>
      </c>
      <c r="H337" s="417">
        <v>0</v>
      </c>
      <c r="I337" s="418">
        <v>0</v>
      </c>
      <c r="J337" s="419">
        <v>0</v>
      </c>
      <c r="K337" s="420">
        <v>0</v>
      </c>
      <c r="L337" s="421">
        <v>0</v>
      </c>
      <c r="M337" s="437">
        <v>0</v>
      </c>
      <c r="N337" s="500"/>
    </row>
    <row r="338" spans="1:185">
      <c r="A338" s="410" t="s">
        <v>400</v>
      </c>
      <c r="B338" s="411" t="s">
        <v>315</v>
      </c>
      <c r="C338" s="422" t="s">
        <v>293</v>
      </c>
      <c r="D338" s="413">
        <v>2</v>
      </c>
      <c r="E338" s="414">
        <v>694.43291666666664</v>
      </c>
      <c r="F338" s="415">
        <v>2</v>
      </c>
      <c r="G338" s="416">
        <v>768.37833333333344</v>
      </c>
      <c r="H338" s="417">
        <v>2</v>
      </c>
      <c r="I338" s="418">
        <v>820.51291666666668</v>
      </c>
      <c r="J338" s="419">
        <v>2.2123333333333335</v>
      </c>
      <c r="K338" s="420">
        <v>906.52440861835157</v>
      </c>
      <c r="L338" s="421">
        <v>2.0922499999999999</v>
      </c>
      <c r="M338" s="437">
        <v>1009.1751304417095</v>
      </c>
    </row>
    <row r="339" spans="1:185">
      <c r="A339" s="410" t="s">
        <v>400</v>
      </c>
      <c r="B339" s="411" t="s">
        <v>319</v>
      </c>
      <c r="C339" s="422" t="s">
        <v>289</v>
      </c>
      <c r="D339" s="413">
        <v>0</v>
      </c>
      <c r="E339" s="414">
        <v>0</v>
      </c>
      <c r="F339" s="415">
        <v>0</v>
      </c>
      <c r="G339" s="416">
        <v>0</v>
      </c>
      <c r="H339" s="417">
        <v>2</v>
      </c>
      <c r="I339" s="418">
        <v>782.48833333333334</v>
      </c>
      <c r="J339" s="419">
        <v>1.6666666666666667</v>
      </c>
      <c r="K339" s="420">
        <v>927.90149999999994</v>
      </c>
      <c r="L339" s="421">
        <v>1</v>
      </c>
      <c r="M339" s="437">
        <v>1032.0366666666666</v>
      </c>
    </row>
    <row r="340" spans="1:185">
      <c r="A340" s="410" t="s">
        <v>400</v>
      </c>
      <c r="B340" s="411" t="s">
        <v>314</v>
      </c>
      <c r="C340" s="422" t="s">
        <v>289</v>
      </c>
      <c r="D340" s="413">
        <v>2</v>
      </c>
      <c r="E340" s="414">
        <v>815.70375000000001</v>
      </c>
      <c r="F340" s="415">
        <v>2</v>
      </c>
      <c r="G340" s="416">
        <v>449.91083333333336</v>
      </c>
      <c r="H340" s="417">
        <v>2</v>
      </c>
      <c r="I340" s="418">
        <v>407.42958333333331</v>
      </c>
      <c r="J340" s="419">
        <v>2</v>
      </c>
      <c r="K340" s="420">
        <v>976.36</v>
      </c>
      <c r="L340" s="421">
        <v>2</v>
      </c>
      <c r="M340" s="437">
        <v>1088.3641666666665</v>
      </c>
    </row>
    <row r="341" spans="1:185">
      <c r="A341" s="410" t="s">
        <v>401</v>
      </c>
      <c r="B341" s="411" t="s">
        <v>335</v>
      </c>
      <c r="C341" s="422" t="s">
        <v>418</v>
      </c>
      <c r="D341" s="413">
        <v>0</v>
      </c>
      <c r="E341" s="414">
        <v>0</v>
      </c>
      <c r="F341" s="415">
        <v>0</v>
      </c>
      <c r="G341" s="416">
        <v>0</v>
      </c>
      <c r="H341" s="417">
        <v>0.19999999999999998</v>
      </c>
      <c r="I341" s="418">
        <v>1001.5750000000002</v>
      </c>
      <c r="J341" s="419">
        <v>0.19999999999999998</v>
      </c>
      <c r="K341" s="420">
        <v>898.1</v>
      </c>
      <c r="L341" s="421">
        <v>6.6666666666666666E-2</v>
      </c>
      <c r="M341" s="437">
        <v>1207.8625</v>
      </c>
    </row>
    <row r="342" spans="1:185" s="382" customFormat="1" ht="16" thickBot="1">
      <c r="A342" s="410" t="s">
        <v>401</v>
      </c>
      <c r="B342" s="411" t="s">
        <v>402</v>
      </c>
      <c r="C342" s="422" t="s">
        <v>418</v>
      </c>
      <c r="D342" s="413">
        <v>1</v>
      </c>
      <c r="E342" s="414">
        <v>1083.915</v>
      </c>
      <c r="F342" s="415">
        <v>0.91666666666666663</v>
      </c>
      <c r="G342" s="416">
        <v>1112.4745454545455</v>
      </c>
      <c r="H342" s="417">
        <v>0</v>
      </c>
      <c r="I342" s="418">
        <v>0</v>
      </c>
      <c r="J342" s="419">
        <v>0</v>
      </c>
      <c r="K342" s="420">
        <v>0</v>
      </c>
      <c r="L342" s="421">
        <v>0</v>
      </c>
      <c r="M342" s="437">
        <v>0</v>
      </c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</row>
    <row r="343" spans="1:185" ht="16" thickTop="1">
      <c r="A343" s="410" t="s">
        <v>401</v>
      </c>
      <c r="B343" s="411" t="s">
        <v>338</v>
      </c>
      <c r="C343" s="422" t="s">
        <v>418</v>
      </c>
      <c r="D343" s="413">
        <v>0.19999999999999998</v>
      </c>
      <c r="E343" s="414">
        <v>935.67083333333346</v>
      </c>
      <c r="F343" s="415">
        <v>0.19999999999999998</v>
      </c>
      <c r="G343" s="416">
        <v>953.1583333333333</v>
      </c>
      <c r="H343" s="417">
        <v>0</v>
      </c>
      <c r="I343" s="418">
        <v>0</v>
      </c>
      <c r="J343" s="419">
        <v>0</v>
      </c>
      <c r="K343" s="420">
        <v>0</v>
      </c>
      <c r="L343" s="421">
        <v>0</v>
      </c>
      <c r="M343" s="437">
        <v>0</v>
      </c>
    </row>
    <row r="344" spans="1:185">
      <c r="A344" s="410" t="s">
        <v>401</v>
      </c>
      <c r="B344" s="411" t="s">
        <v>301</v>
      </c>
      <c r="C344" s="422" t="s">
        <v>287</v>
      </c>
      <c r="D344" s="413">
        <v>10.540833333333333</v>
      </c>
      <c r="E344" s="414">
        <v>3153.6639260020547</v>
      </c>
      <c r="F344" s="415">
        <v>10.387500000000001</v>
      </c>
      <c r="G344" s="416">
        <v>3121.54207781789</v>
      </c>
      <c r="H344" s="417">
        <v>12.310750000000001</v>
      </c>
      <c r="I344" s="418">
        <v>2917.2536874953457</v>
      </c>
      <c r="J344" s="419">
        <v>12.433333333333332</v>
      </c>
      <c r="K344" s="420">
        <v>3064.0819034852552</v>
      </c>
      <c r="L344" s="421">
        <v>10.683333333333332</v>
      </c>
      <c r="M344" s="437">
        <v>3581.4212948517943</v>
      </c>
    </row>
    <row r="345" spans="1:185">
      <c r="A345" s="410" t="s">
        <v>401</v>
      </c>
      <c r="B345" s="411" t="s">
        <v>305</v>
      </c>
      <c r="C345" s="422" t="s">
        <v>290</v>
      </c>
      <c r="D345" s="413">
        <v>0</v>
      </c>
      <c r="E345" s="414">
        <v>0</v>
      </c>
      <c r="F345" s="415">
        <v>0</v>
      </c>
      <c r="G345" s="416">
        <v>0</v>
      </c>
      <c r="H345" s="417">
        <v>0.879</v>
      </c>
      <c r="I345" s="418">
        <v>0</v>
      </c>
      <c r="J345" s="419">
        <v>2</v>
      </c>
      <c r="K345" s="420">
        <v>935.42374999999993</v>
      </c>
      <c r="L345" s="421">
        <v>1</v>
      </c>
      <c r="M345" s="437">
        <v>945.03583333333336</v>
      </c>
      <c r="N345" s="500"/>
    </row>
    <row r="346" spans="1:185">
      <c r="A346" s="410" t="s">
        <v>401</v>
      </c>
      <c r="B346" s="411" t="s">
        <v>320</v>
      </c>
      <c r="C346" s="422" t="s">
        <v>290</v>
      </c>
      <c r="D346" s="413">
        <v>5</v>
      </c>
      <c r="E346" s="414">
        <v>694.78983333333338</v>
      </c>
      <c r="F346" s="415">
        <v>5</v>
      </c>
      <c r="G346" s="416">
        <v>787.15550000000007</v>
      </c>
      <c r="H346" s="417">
        <v>0</v>
      </c>
      <c r="I346" s="418">
        <v>0</v>
      </c>
      <c r="J346" s="419">
        <v>0</v>
      </c>
      <c r="K346" s="420">
        <v>0</v>
      </c>
      <c r="L346" s="421">
        <v>0</v>
      </c>
      <c r="M346" s="437">
        <v>0</v>
      </c>
      <c r="N346" s="500"/>
    </row>
    <row r="347" spans="1:185">
      <c r="A347" s="410" t="s">
        <v>401</v>
      </c>
      <c r="B347" s="411" t="s">
        <v>315</v>
      </c>
      <c r="C347" s="422" t="s">
        <v>293</v>
      </c>
      <c r="D347" s="413">
        <v>2</v>
      </c>
      <c r="E347" s="414">
        <v>666.70416666666677</v>
      </c>
      <c r="F347" s="415">
        <v>2</v>
      </c>
      <c r="G347" s="416">
        <v>698.45000000000016</v>
      </c>
      <c r="H347" s="417">
        <v>2</v>
      </c>
      <c r="I347" s="418">
        <v>745.61666666666679</v>
      </c>
      <c r="J347" s="419">
        <v>2</v>
      </c>
      <c r="K347" s="420">
        <v>845.45416666666677</v>
      </c>
      <c r="L347" s="421">
        <v>2</v>
      </c>
      <c r="M347" s="437">
        <v>1057.1679166666665</v>
      </c>
    </row>
    <row r="348" spans="1:185">
      <c r="A348" s="410" t="s">
        <v>401</v>
      </c>
      <c r="B348" s="411" t="s">
        <v>319</v>
      </c>
      <c r="C348" s="422" t="s">
        <v>289</v>
      </c>
      <c r="D348" s="413">
        <v>0</v>
      </c>
      <c r="E348" s="414">
        <v>0</v>
      </c>
      <c r="F348" s="415">
        <v>0</v>
      </c>
      <c r="G348" s="416">
        <v>0</v>
      </c>
      <c r="H348" s="417">
        <v>4.25</v>
      </c>
      <c r="I348" s="418">
        <v>892.2264705882352</v>
      </c>
      <c r="J348" s="419">
        <v>3.9166666666666665</v>
      </c>
      <c r="K348" s="420">
        <v>1037.6031914893617</v>
      </c>
      <c r="L348" s="421">
        <v>4</v>
      </c>
      <c r="M348" s="437">
        <v>1101.2695833333335</v>
      </c>
    </row>
    <row r="349" spans="1:185">
      <c r="A349" s="410" t="s">
        <v>401</v>
      </c>
      <c r="B349" s="411" t="s">
        <v>314</v>
      </c>
      <c r="C349" s="422" t="s">
        <v>289</v>
      </c>
      <c r="D349" s="413">
        <v>24.206916666666668</v>
      </c>
      <c r="E349" s="414">
        <v>1016.6733337234881</v>
      </c>
      <c r="F349" s="415">
        <v>24</v>
      </c>
      <c r="G349" s="416">
        <v>1048.8880902777778</v>
      </c>
      <c r="H349" s="417">
        <v>23</v>
      </c>
      <c r="I349" s="418">
        <v>1221.3291304347824</v>
      </c>
      <c r="J349" s="419">
        <v>21.040333333333333</v>
      </c>
      <c r="K349" s="420">
        <v>1418.5220053547946</v>
      </c>
      <c r="L349" s="421">
        <v>19.5</v>
      </c>
      <c r="M349" s="437">
        <v>1532.0249999999999</v>
      </c>
    </row>
    <row r="350" spans="1:185">
      <c r="A350" s="410" t="s">
        <v>403</v>
      </c>
      <c r="B350" s="411" t="s">
        <v>301</v>
      </c>
      <c r="C350" s="422" t="s">
        <v>287</v>
      </c>
      <c r="D350" s="413">
        <v>1</v>
      </c>
      <c r="E350" s="414">
        <v>2238.3924999999999</v>
      </c>
      <c r="F350" s="415">
        <v>1</v>
      </c>
      <c r="G350" s="416">
        <v>2335.9708333333333</v>
      </c>
      <c r="H350" s="417">
        <v>1</v>
      </c>
      <c r="I350" s="418">
        <v>1942.4099999999999</v>
      </c>
      <c r="J350" s="419">
        <v>1</v>
      </c>
      <c r="K350" s="420">
        <v>2918.3483333333334</v>
      </c>
      <c r="L350" s="421">
        <v>0.5</v>
      </c>
      <c r="M350" s="437">
        <v>3130.3483333333334</v>
      </c>
    </row>
    <row r="351" spans="1:185" s="382" customFormat="1" ht="16" thickBot="1">
      <c r="A351" s="410" t="s">
        <v>403</v>
      </c>
      <c r="B351" s="411" t="s">
        <v>314</v>
      </c>
      <c r="C351" s="422" t="s">
        <v>289</v>
      </c>
      <c r="D351" s="413">
        <v>1</v>
      </c>
      <c r="E351" s="414">
        <v>652.49583333333328</v>
      </c>
      <c r="F351" s="415">
        <v>1</v>
      </c>
      <c r="G351" s="416">
        <v>694.3366666666667</v>
      </c>
      <c r="H351" s="417">
        <v>1</v>
      </c>
      <c r="I351" s="418">
        <v>899.86416666666673</v>
      </c>
      <c r="J351" s="419">
        <v>1</v>
      </c>
      <c r="K351" s="420">
        <v>962.31833333333327</v>
      </c>
      <c r="L351" s="421">
        <v>0.58333333333333337</v>
      </c>
      <c r="M351" s="437">
        <v>1028.1657142857143</v>
      </c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</row>
    <row r="352" spans="1:185" ht="16" thickTop="1">
      <c r="A352" s="410" t="s">
        <v>404</v>
      </c>
      <c r="B352" s="430" t="s">
        <v>406</v>
      </c>
      <c r="C352" s="432" t="s">
        <v>418</v>
      </c>
      <c r="D352" s="413">
        <v>0</v>
      </c>
      <c r="E352" s="414">
        <v>0</v>
      </c>
      <c r="F352" s="415">
        <v>0</v>
      </c>
      <c r="G352" s="416">
        <v>0</v>
      </c>
      <c r="H352" s="417">
        <v>0</v>
      </c>
      <c r="I352" s="418">
        <v>0</v>
      </c>
      <c r="J352" s="419">
        <v>0</v>
      </c>
      <c r="K352" s="420">
        <v>0</v>
      </c>
      <c r="L352" s="421">
        <v>1</v>
      </c>
      <c r="M352" s="437">
        <v>1113.6033333333332</v>
      </c>
    </row>
    <row r="353" spans="1:185" s="382" customFormat="1" ht="16" thickBot="1">
      <c r="A353" s="410" t="s">
        <v>404</v>
      </c>
      <c r="B353" s="411" t="s">
        <v>301</v>
      </c>
      <c r="C353" s="422" t="s">
        <v>287</v>
      </c>
      <c r="D353" s="413">
        <v>11.049999999999997</v>
      </c>
      <c r="E353" s="414">
        <v>3028.7144042232285</v>
      </c>
      <c r="F353" s="415">
        <v>11.589749999999997</v>
      </c>
      <c r="G353" s="416">
        <v>2750.86836788254</v>
      </c>
      <c r="H353" s="417">
        <v>11.799999999999997</v>
      </c>
      <c r="I353" s="418">
        <v>2950.563347457628</v>
      </c>
      <c r="J353" s="419">
        <v>10.206083333333334</v>
      </c>
      <c r="K353" s="420">
        <v>3374.1298898532737</v>
      </c>
      <c r="L353" s="421">
        <v>13.493666666666664</v>
      </c>
      <c r="M353" s="437">
        <v>3488.407030458734</v>
      </c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</row>
    <row r="354" spans="1:185" ht="16" thickTop="1">
      <c r="A354" s="410" t="s">
        <v>404</v>
      </c>
      <c r="B354" s="411" t="s">
        <v>303</v>
      </c>
      <c r="C354" s="422" t="s">
        <v>290</v>
      </c>
      <c r="D354" s="413">
        <v>1</v>
      </c>
      <c r="E354" s="414">
        <v>842.86166666666668</v>
      </c>
      <c r="F354" s="415">
        <v>1</v>
      </c>
      <c r="G354" s="416">
        <v>764.96249999999998</v>
      </c>
      <c r="H354" s="417">
        <v>0</v>
      </c>
      <c r="I354" s="418">
        <v>0</v>
      </c>
      <c r="J354" s="419">
        <v>0.12775</v>
      </c>
      <c r="K354" s="420">
        <v>1010.6001304631442</v>
      </c>
      <c r="L354" s="421">
        <v>2</v>
      </c>
      <c r="M354" s="437">
        <v>1068.4004166666666</v>
      </c>
      <c r="N354" s="500"/>
    </row>
    <row r="355" spans="1:185">
      <c r="A355" s="410" t="s">
        <v>404</v>
      </c>
      <c r="B355" s="411" t="s">
        <v>305</v>
      </c>
      <c r="C355" s="422" t="s">
        <v>290</v>
      </c>
      <c r="D355" s="413">
        <v>5.3790000000000004</v>
      </c>
      <c r="E355" s="414">
        <v>869.80262750201405</v>
      </c>
      <c r="F355" s="415">
        <v>6.416666666666667</v>
      </c>
      <c r="G355" s="416">
        <v>897.05402597402599</v>
      </c>
      <c r="H355" s="417">
        <v>6</v>
      </c>
      <c r="I355" s="418">
        <v>922.9375</v>
      </c>
      <c r="J355" s="419">
        <v>6.75</v>
      </c>
      <c r="K355" s="420">
        <v>1193.2549382716049</v>
      </c>
      <c r="L355" s="421">
        <v>8</v>
      </c>
      <c r="M355" s="437">
        <v>1178.422708333333</v>
      </c>
      <c r="N355" s="500"/>
    </row>
    <row r="356" spans="1:185">
      <c r="A356" s="410" t="s">
        <v>404</v>
      </c>
      <c r="B356" s="411" t="s">
        <v>320</v>
      </c>
      <c r="C356" s="422" t="s">
        <v>290</v>
      </c>
      <c r="D356" s="413">
        <v>9</v>
      </c>
      <c r="E356" s="414">
        <v>1147.746388888889</v>
      </c>
      <c r="F356" s="415">
        <v>8</v>
      </c>
      <c r="G356" s="416">
        <v>1189.7954166666666</v>
      </c>
      <c r="H356" s="417">
        <v>0</v>
      </c>
      <c r="I356" s="418">
        <v>0</v>
      </c>
      <c r="J356" s="419">
        <v>0</v>
      </c>
      <c r="K356" s="420">
        <v>0</v>
      </c>
      <c r="L356" s="421">
        <v>2.0779166666666664</v>
      </c>
      <c r="M356" s="437">
        <v>1415.6795668738721</v>
      </c>
      <c r="N356" s="500"/>
    </row>
    <row r="357" spans="1:185">
      <c r="A357" s="410" t="s">
        <v>404</v>
      </c>
      <c r="B357" s="411" t="s">
        <v>405</v>
      </c>
      <c r="C357" s="422" t="s">
        <v>290</v>
      </c>
      <c r="D357" s="413">
        <v>0</v>
      </c>
      <c r="E357" s="414">
        <v>0</v>
      </c>
      <c r="F357" s="415">
        <v>0</v>
      </c>
      <c r="G357" s="416">
        <v>0</v>
      </c>
      <c r="H357" s="417">
        <v>3.3072499999999998</v>
      </c>
      <c r="I357" s="418">
        <v>0</v>
      </c>
      <c r="J357" s="419">
        <v>7.833333333333333</v>
      </c>
      <c r="K357" s="420">
        <v>1340.071170212766</v>
      </c>
      <c r="L357" s="421">
        <v>10.220750000000001</v>
      </c>
      <c r="M357" s="437">
        <v>1792.2980211823985</v>
      </c>
      <c r="N357" s="500"/>
    </row>
    <row r="358" spans="1:185">
      <c r="A358" s="410" t="s">
        <v>404</v>
      </c>
      <c r="B358" s="411" t="s">
        <v>315</v>
      </c>
      <c r="C358" s="422" t="s">
        <v>293</v>
      </c>
      <c r="D358" s="413">
        <v>0.66666666666666663</v>
      </c>
      <c r="E358" s="414">
        <v>182.64250000000001</v>
      </c>
      <c r="F358" s="415">
        <v>0.19999999999999998</v>
      </c>
      <c r="G358" s="416">
        <v>650.61666666666667</v>
      </c>
      <c r="H358" s="417">
        <v>0.19999999999999998</v>
      </c>
      <c r="I358" s="418">
        <v>783.94166666666672</v>
      </c>
      <c r="J358" s="419">
        <v>0.19999999999999998</v>
      </c>
      <c r="K358" s="420">
        <v>861.70416666666677</v>
      </c>
      <c r="L358" s="421">
        <v>0.39999999999999997</v>
      </c>
      <c r="M358" s="437">
        <v>989.37083333333328</v>
      </c>
    </row>
    <row r="359" spans="1:185">
      <c r="A359" s="410" t="s">
        <v>404</v>
      </c>
      <c r="B359" s="411" t="s">
        <v>319</v>
      </c>
      <c r="C359" s="422" t="s">
        <v>289</v>
      </c>
      <c r="D359" s="413">
        <v>0</v>
      </c>
      <c r="E359" s="414">
        <v>0</v>
      </c>
      <c r="F359" s="415">
        <v>0.18816666666666668</v>
      </c>
      <c r="G359" s="416">
        <v>971.13374667847654</v>
      </c>
      <c r="H359" s="417">
        <v>9.4596666666666671</v>
      </c>
      <c r="I359" s="418">
        <v>1322.903907819162</v>
      </c>
      <c r="J359" s="419">
        <v>8.9166666666666661</v>
      </c>
      <c r="K359" s="420">
        <v>1554.0430841121495</v>
      </c>
      <c r="L359" s="421">
        <v>12.083333333333334</v>
      </c>
      <c r="M359" s="437">
        <v>1667.3019999999999</v>
      </c>
    </row>
    <row r="360" spans="1:185">
      <c r="A360" s="410" t="s">
        <v>404</v>
      </c>
      <c r="B360" s="411" t="s">
        <v>314</v>
      </c>
      <c r="C360" s="422" t="s">
        <v>289</v>
      </c>
      <c r="D360" s="413">
        <v>26.51391666666667</v>
      </c>
      <c r="E360" s="414">
        <v>1256.3450955001615</v>
      </c>
      <c r="F360" s="415">
        <v>26.614249999999998</v>
      </c>
      <c r="G360" s="416">
        <v>1219.256288141378</v>
      </c>
      <c r="H360" s="417">
        <v>26.034916666666664</v>
      </c>
      <c r="I360" s="418">
        <v>1481.6013110598269</v>
      </c>
      <c r="J360" s="419">
        <v>23.458333333333332</v>
      </c>
      <c r="K360" s="420">
        <v>1660.7271403197158</v>
      </c>
      <c r="L360" s="421">
        <v>28.438916666666668</v>
      </c>
      <c r="M360" s="437">
        <v>1745.5075937608974</v>
      </c>
    </row>
    <row r="361" spans="1:185">
      <c r="A361" s="433" t="s">
        <v>407</v>
      </c>
      <c r="B361" s="411" t="s">
        <v>301</v>
      </c>
      <c r="C361" s="422" t="s">
        <v>287</v>
      </c>
      <c r="D361" s="413">
        <v>3.1999999999999997</v>
      </c>
      <c r="E361" s="414">
        <v>3709.1192708333342</v>
      </c>
      <c r="F361" s="415">
        <v>4.1999999999999993</v>
      </c>
      <c r="G361" s="416">
        <v>4103.3478174603179</v>
      </c>
      <c r="H361" s="417">
        <v>4.2</v>
      </c>
      <c r="I361" s="418">
        <v>4098.0813492063489</v>
      </c>
      <c r="J361" s="419">
        <v>4.2</v>
      </c>
      <c r="K361" s="420">
        <v>4508.274206349206</v>
      </c>
      <c r="L361" s="421">
        <v>4.5789999999999997</v>
      </c>
      <c r="M361" s="437">
        <v>5163.4585426221165</v>
      </c>
    </row>
    <row r="362" spans="1:185" s="382" customFormat="1" ht="16" thickBot="1">
      <c r="A362" s="433" t="s">
        <v>407</v>
      </c>
      <c r="B362" s="411" t="s">
        <v>303</v>
      </c>
      <c r="C362" s="422" t="s">
        <v>290</v>
      </c>
      <c r="D362" s="413">
        <v>1</v>
      </c>
      <c r="E362" s="414">
        <v>727.65916666666669</v>
      </c>
      <c r="F362" s="415">
        <v>1</v>
      </c>
      <c r="G362" s="416">
        <v>792.16916666666668</v>
      </c>
      <c r="H362" s="417">
        <v>0</v>
      </c>
      <c r="I362" s="418">
        <v>0</v>
      </c>
      <c r="J362" s="419">
        <v>0</v>
      </c>
      <c r="K362" s="420">
        <v>0</v>
      </c>
      <c r="L362" s="421">
        <v>0</v>
      </c>
      <c r="M362" s="437">
        <v>0</v>
      </c>
      <c r="N362" s="500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</row>
    <row r="363" spans="1:185" ht="16" thickTop="1">
      <c r="A363" s="433" t="s">
        <v>407</v>
      </c>
      <c r="B363" s="411" t="s">
        <v>305</v>
      </c>
      <c r="C363" s="422" t="s">
        <v>290</v>
      </c>
      <c r="D363" s="413">
        <v>0</v>
      </c>
      <c r="E363" s="414">
        <v>0</v>
      </c>
      <c r="F363" s="415">
        <v>0</v>
      </c>
      <c r="G363" s="416">
        <v>0</v>
      </c>
      <c r="H363" s="417">
        <v>0</v>
      </c>
      <c r="I363" s="418">
        <v>0</v>
      </c>
      <c r="J363" s="419">
        <v>0</v>
      </c>
      <c r="K363" s="420">
        <v>0</v>
      </c>
      <c r="L363" s="421">
        <v>1</v>
      </c>
      <c r="M363" s="437">
        <v>1014.3641666666666</v>
      </c>
      <c r="N363" s="500"/>
    </row>
    <row r="364" spans="1:185">
      <c r="A364" s="433" t="s">
        <v>407</v>
      </c>
      <c r="B364" s="411" t="s">
        <v>320</v>
      </c>
      <c r="C364" s="422" t="s">
        <v>290</v>
      </c>
      <c r="D364" s="413">
        <v>2.25</v>
      </c>
      <c r="E364" s="414">
        <v>802.4103703703704</v>
      </c>
      <c r="F364" s="415">
        <v>2</v>
      </c>
      <c r="G364" s="416">
        <v>812.97375</v>
      </c>
      <c r="H364" s="417">
        <v>0</v>
      </c>
      <c r="I364" s="418">
        <v>0</v>
      </c>
      <c r="J364" s="419">
        <v>0</v>
      </c>
      <c r="K364" s="420">
        <v>0</v>
      </c>
      <c r="L364" s="421">
        <v>0.5</v>
      </c>
      <c r="M364" s="437">
        <v>1095.82</v>
      </c>
      <c r="N364" s="500"/>
    </row>
    <row r="365" spans="1:185">
      <c r="A365" s="433" t="s">
        <v>407</v>
      </c>
      <c r="B365" s="411" t="s">
        <v>315</v>
      </c>
      <c r="C365" s="422" t="s">
        <v>293</v>
      </c>
      <c r="D365" s="413">
        <v>1</v>
      </c>
      <c r="E365" s="414">
        <v>772.39166666666677</v>
      </c>
      <c r="F365" s="415">
        <v>1</v>
      </c>
      <c r="G365" s="416">
        <v>836.43083333333334</v>
      </c>
      <c r="H365" s="417">
        <v>1</v>
      </c>
      <c r="I365" s="418">
        <v>831.58749999999998</v>
      </c>
      <c r="J365" s="419">
        <v>1</v>
      </c>
      <c r="K365" s="420">
        <v>895.78083333333336</v>
      </c>
      <c r="L365" s="421">
        <v>1</v>
      </c>
      <c r="M365" s="437">
        <v>0</v>
      </c>
    </row>
    <row r="366" spans="1:185">
      <c r="A366" s="433" t="s">
        <v>407</v>
      </c>
      <c r="B366" s="411" t="s">
        <v>319</v>
      </c>
      <c r="C366" s="422" t="s">
        <v>289</v>
      </c>
      <c r="D366" s="413">
        <v>0</v>
      </c>
      <c r="E366" s="414">
        <v>0</v>
      </c>
      <c r="F366" s="415">
        <v>0</v>
      </c>
      <c r="G366" s="416">
        <v>0</v>
      </c>
      <c r="H366" s="417">
        <v>3</v>
      </c>
      <c r="I366" s="418">
        <v>1020.0636111111112</v>
      </c>
      <c r="J366" s="419">
        <v>3.6666666666666665</v>
      </c>
      <c r="K366" s="420">
        <v>1064.5265909090908</v>
      </c>
      <c r="L366" s="421">
        <v>2.4944166666666665</v>
      </c>
      <c r="M366" s="437">
        <v>1116.4767981826078</v>
      </c>
    </row>
    <row r="367" spans="1:185">
      <c r="A367" s="433" t="s">
        <v>407</v>
      </c>
      <c r="B367" s="411" t="s">
        <v>314</v>
      </c>
      <c r="C367" s="422" t="s">
        <v>289</v>
      </c>
      <c r="D367" s="413">
        <v>8</v>
      </c>
      <c r="E367" s="414">
        <v>1185.5577083333335</v>
      </c>
      <c r="F367" s="415">
        <v>9</v>
      </c>
      <c r="G367" s="416">
        <v>1210.038425925926</v>
      </c>
      <c r="H367" s="417">
        <v>9</v>
      </c>
      <c r="I367" s="418">
        <v>1358.3892592592592</v>
      </c>
      <c r="J367" s="419">
        <v>10.045666666666667</v>
      </c>
      <c r="K367" s="420">
        <v>1386.8459037064074</v>
      </c>
      <c r="L367" s="421">
        <v>9.5403333333333347</v>
      </c>
      <c r="M367" s="437">
        <v>1677.2930715209111</v>
      </c>
    </row>
    <row r="368" spans="1:185">
      <c r="A368" s="433" t="s">
        <v>408</v>
      </c>
      <c r="B368" s="411" t="s">
        <v>397</v>
      </c>
      <c r="C368" s="422" t="s">
        <v>418</v>
      </c>
      <c r="D368" s="413">
        <v>1</v>
      </c>
      <c r="E368" s="414">
        <v>2006.3133333333333</v>
      </c>
      <c r="F368" s="415">
        <v>1</v>
      </c>
      <c r="G368" s="416">
        <v>2432.1974999999998</v>
      </c>
      <c r="H368" s="417">
        <v>1</v>
      </c>
      <c r="I368" s="418">
        <v>2350.4766666666669</v>
      </c>
      <c r="J368" s="419">
        <v>1</v>
      </c>
      <c r="K368" s="420">
        <v>594.02750000000003</v>
      </c>
      <c r="L368" s="421">
        <v>8.3333333333333329E-2</v>
      </c>
      <c r="M368" s="437">
        <v>6650.94</v>
      </c>
    </row>
    <row r="369" spans="1:185" s="382" customFormat="1" ht="16" thickBot="1">
      <c r="A369" s="433" t="s">
        <v>408</v>
      </c>
      <c r="B369" s="411" t="s">
        <v>395</v>
      </c>
      <c r="C369" s="412" t="s">
        <v>292</v>
      </c>
      <c r="D369" s="413">
        <v>0</v>
      </c>
      <c r="E369" s="414">
        <v>0</v>
      </c>
      <c r="F369" s="415">
        <v>0</v>
      </c>
      <c r="G369" s="416">
        <v>0</v>
      </c>
      <c r="H369" s="417">
        <v>0</v>
      </c>
      <c r="I369" s="418">
        <v>0</v>
      </c>
      <c r="J369" s="419">
        <v>0.30833333333333335</v>
      </c>
      <c r="K369" s="420">
        <v>1782.1918918918921</v>
      </c>
      <c r="L369" s="421">
        <v>1.3</v>
      </c>
      <c r="M369" s="437">
        <v>2109.9512820512819</v>
      </c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</row>
    <row r="370" spans="1:185" ht="16" thickTop="1">
      <c r="A370" s="433" t="s">
        <v>408</v>
      </c>
      <c r="B370" s="411" t="s">
        <v>409</v>
      </c>
      <c r="C370" s="432" t="s">
        <v>292</v>
      </c>
      <c r="D370" s="413">
        <v>1</v>
      </c>
      <c r="E370" s="414">
        <v>2681.8166666666666</v>
      </c>
      <c r="F370" s="415">
        <v>1</v>
      </c>
      <c r="G370" s="416">
        <v>2754.7683333333334</v>
      </c>
      <c r="H370" s="417">
        <v>1</v>
      </c>
      <c r="I370" s="418">
        <v>2642.4025000000001</v>
      </c>
      <c r="J370" s="419">
        <v>1</v>
      </c>
      <c r="K370" s="420">
        <v>3135.9633333333331</v>
      </c>
      <c r="L370" s="421">
        <v>0.5</v>
      </c>
      <c r="M370" s="437">
        <v>5829.7449999999999</v>
      </c>
    </row>
    <row r="371" spans="1:185">
      <c r="A371" s="433" t="s">
        <v>408</v>
      </c>
      <c r="B371" s="411" t="s">
        <v>391</v>
      </c>
      <c r="C371" s="432" t="s">
        <v>292</v>
      </c>
      <c r="D371" s="413">
        <v>1</v>
      </c>
      <c r="E371" s="414">
        <v>1488.3374999999999</v>
      </c>
      <c r="F371" s="415">
        <v>1</v>
      </c>
      <c r="G371" s="416">
        <v>1449.6233333333332</v>
      </c>
      <c r="H371" s="417">
        <v>1.1666666666666667</v>
      </c>
      <c r="I371" s="418">
        <v>1554.8807142857145</v>
      </c>
      <c r="J371" s="419">
        <v>2</v>
      </c>
      <c r="K371" s="420">
        <v>1858.6716666666664</v>
      </c>
      <c r="L371" s="421">
        <v>2</v>
      </c>
      <c r="M371" s="437">
        <v>2400.0466666666666</v>
      </c>
    </row>
    <row r="372" spans="1:185">
      <c r="A372" s="433" t="s">
        <v>408</v>
      </c>
      <c r="B372" s="411" t="s">
        <v>364</v>
      </c>
      <c r="C372" s="412" t="s">
        <v>292</v>
      </c>
      <c r="D372" s="413">
        <v>15.333333333333334</v>
      </c>
      <c r="E372" s="414">
        <v>1116.7715217391303</v>
      </c>
      <c r="F372" s="415">
        <v>15</v>
      </c>
      <c r="G372" s="416">
        <v>1170.6585555555555</v>
      </c>
      <c r="H372" s="417">
        <v>15.333333333333334</v>
      </c>
      <c r="I372" s="418">
        <v>1239.0685326086957</v>
      </c>
      <c r="J372" s="419">
        <v>16.591666666666665</v>
      </c>
      <c r="K372" s="420">
        <v>1399.7465595178301</v>
      </c>
      <c r="L372" s="421">
        <v>19</v>
      </c>
      <c r="M372" s="437">
        <v>1600.3260087719302</v>
      </c>
    </row>
    <row r="373" spans="1:185">
      <c r="A373" s="433" t="s">
        <v>408</v>
      </c>
      <c r="B373" s="411" t="s">
        <v>301</v>
      </c>
      <c r="C373" s="422" t="s">
        <v>287</v>
      </c>
      <c r="D373" s="413">
        <v>2.4</v>
      </c>
      <c r="E373" s="414">
        <v>2621.1961805555552</v>
      </c>
      <c r="F373" s="415">
        <v>2.5</v>
      </c>
      <c r="G373" s="416">
        <v>2629.5349999999994</v>
      </c>
      <c r="H373" s="417">
        <v>2.8000000000000003</v>
      </c>
      <c r="I373" s="418">
        <v>2732.9532738095236</v>
      </c>
      <c r="J373" s="419">
        <v>2.8000000000000003</v>
      </c>
      <c r="K373" s="420">
        <v>3059.6747023809526</v>
      </c>
      <c r="L373" s="421">
        <v>3.0555833333333333</v>
      </c>
      <c r="M373" s="437">
        <v>2570.1988163743963</v>
      </c>
    </row>
    <row r="374" spans="1:185">
      <c r="A374" s="433" t="s">
        <v>408</v>
      </c>
      <c r="B374" s="411" t="s">
        <v>305</v>
      </c>
      <c r="C374" s="422" t="s">
        <v>290</v>
      </c>
      <c r="D374" s="413">
        <v>2</v>
      </c>
      <c r="E374" s="414">
        <v>619.28291666666667</v>
      </c>
      <c r="F374" s="415">
        <v>2.1666666666666665</v>
      </c>
      <c r="G374" s="416">
        <v>538.1061538461538</v>
      </c>
      <c r="H374" s="417">
        <v>2.3064166666666668</v>
      </c>
      <c r="I374" s="418">
        <v>650.97156483722961</v>
      </c>
      <c r="J374" s="419">
        <v>2</v>
      </c>
      <c r="K374" s="420">
        <v>769.69041666666669</v>
      </c>
      <c r="L374" s="421">
        <v>2</v>
      </c>
      <c r="M374" s="437">
        <v>931.49541666666664</v>
      </c>
      <c r="N374" s="500"/>
    </row>
    <row r="375" spans="1:185">
      <c r="A375" s="433" t="s">
        <v>408</v>
      </c>
      <c r="B375" s="411" t="s">
        <v>315</v>
      </c>
      <c r="C375" s="422" t="s">
        <v>293</v>
      </c>
      <c r="D375" s="413">
        <v>0</v>
      </c>
      <c r="E375" s="414">
        <v>0</v>
      </c>
      <c r="F375" s="415">
        <v>0</v>
      </c>
      <c r="G375" s="416">
        <v>0</v>
      </c>
      <c r="H375" s="417">
        <v>0</v>
      </c>
      <c r="I375" s="418">
        <v>0</v>
      </c>
      <c r="J375" s="419">
        <v>0</v>
      </c>
      <c r="K375" s="420">
        <v>0</v>
      </c>
      <c r="L375" s="421">
        <v>0.83333333333333337</v>
      </c>
      <c r="M375" s="437">
        <v>959.42000000000007</v>
      </c>
    </row>
    <row r="376" spans="1:185">
      <c r="A376" s="433" t="s">
        <v>408</v>
      </c>
      <c r="B376" s="411" t="s">
        <v>319</v>
      </c>
      <c r="C376" s="422" t="s">
        <v>289</v>
      </c>
      <c r="D376" s="413">
        <v>0</v>
      </c>
      <c r="E376" s="414">
        <v>0</v>
      </c>
      <c r="F376" s="415">
        <v>0</v>
      </c>
      <c r="G376" s="416">
        <v>0</v>
      </c>
      <c r="H376" s="417">
        <v>0</v>
      </c>
      <c r="I376" s="418">
        <v>0</v>
      </c>
      <c r="J376" s="419">
        <v>6.3916666666666663E-2</v>
      </c>
      <c r="K376" s="420">
        <v>893.22033898305085</v>
      </c>
      <c r="L376" s="421">
        <v>0</v>
      </c>
      <c r="M376" s="437">
        <v>0</v>
      </c>
    </row>
    <row r="377" spans="1:185">
      <c r="A377" s="433" t="s">
        <v>410</v>
      </c>
      <c r="B377" s="411" t="s">
        <v>301</v>
      </c>
      <c r="C377" s="422" t="s">
        <v>287</v>
      </c>
      <c r="D377" s="413">
        <v>8.7666666666666675</v>
      </c>
      <c r="E377" s="414">
        <v>2642.3142585551327</v>
      </c>
      <c r="F377" s="415">
        <v>10.674999999999999</v>
      </c>
      <c r="G377" s="416">
        <v>2425.4622950819667</v>
      </c>
      <c r="H377" s="417">
        <v>10.824999999999998</v>
      </c>
      <c r="I377" s="418">
        <v>2506.1428021555048</v>
      </c>
      <c r="J377" s="419">
        <v>10.335083333333333</v>
      </c>
      <c r="K377" s="420">
        <v>2809.109263753719</v>
      </c>
      <c r="L377" s="421">
        <v>10.65</v>
      </c>
      <c r="M377" s="437">
        <v>3222.721361502347</v>
      </c>
    </row>
    <row r="378" spans="1:185" s="382" customFormat="1" ht="16" thickBot="1">
      <c r="A378" s="433" t="s">
        <v>410</v>
      </c>
      <c r="B378" s="411" t="s">
        <v>305</v>
      </c>
      <c r="C378" s="422" t="s">
        <v>290</v>
      </c>
      <c r="D378" s="413">
        <v>6</v>
      </c>
      <c r="E378" s="414">
        <v>631.13749999999993</v>
      </c>
      <c r="F378" s="415">
        <v>6</v>
      </c>
      <c r="G378" s="416">
        <v>702.68138888888882</v>
      </c>
      <c r="H378" s="417">
        <v>6</v>
      </c>
      <c r="I378" s="418">
        <v>822.88833333333321</v>
      </c>
      <c r="J378" s="419">
        <v>6</v>
      </c>
      <c r="K378" s="420">
        <v>832.0286111111111</v>
      </c>
      <c r="L378" s="421">
        <v>6</v>
      </c>
      <c r="M378" s="437">
        <v>980.79236111111118</v>
      </c>
      <c r="N378" s="500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</row>
    <row r="379" spans="1:185" ht="16" thickTop="1">
      <c r="A379" s="433" t="s">
        <v>410</v>
      </c>
      <c r="B379" s="411" t="s">
        <v>320</v>
      </c>
      <c r="C379" s="422" t="s">
        <v>290</v>
      </c>
      <c r="D379" s="413">
        <v>1</v>
      </c>
      <c r="E379" s="414">
        <v>954.76083333333327</v>
      </c>
      <c r="F379" s="415">
        <v>1.9166666666666667</v>
      </c>
      <c r="G379" s="416">
        <v>932.18565217391301</v>
      </c>
      <c r="H379" s="417">
        <v>0</v>
      </c>
      <c r="I379" s="418">
        <v>0</v>
      </c>
      <c r="J379" s="419">
        <v>0</v>
      </c>
      <c r="K379" s="420">
        <v>0</v>
      </c>
      <c r="L379" s="421">
        <v>0</v>
      </c>
      <c r="M379" s="437">
        <v>0</v>
      </c>
      <c r="N379" s="500"/>
    </row>
    <row r="380" spans="1:185">
      <c r="A380" s="433" t="s">
        <v>410</v>
      </c>
      <c r="B380" s="411" t="s">
        <v>311</v>
      </c>
      <c r="C380" s="422" t="s">
        <v>293</v>
      </c>
      <c r="D380" s="413">
        <v>1</v>
      </c>
      <c r="E380" s="414">
        <v>497.94416666666666</v>
      </c>
      <c r="F380" s="415">
        <v>1</v>
      </c>
      <c r="G380" s="416">
        <v>548.72500000000002</v>
      </c>
      <c r="H380" s="417">
        <v>1</v>
      </c>
      <c r="I380" s="418">
        <v>596.80416666666667</v>
      </c>
      <c r="J380" s="419">
        <v>1</v>
      </c>
      <c r="K380" s="420">
        <v>666.56666666666672</v>
      </c>
      <c r="L380" s="421">
        <v>1</v>
      </c>
      <c r="M380" s="437">
        <v>654.27499999999998</v>
      </c>
    </row>
    <row r="381" spans="1:185">
      <c r="A381" s="433" t="s">
        <v>410</v>
      </c>
      <c r="B381" s="411" t="s">
        <v>315</v>
      </c>
      <c r="C381" s="422" t="s">
        <v>293</v>
      </c>
      <c r="D381" s="413">
        <v>2</v>
      </c>
      <c r="E381" s="414">
        <v>815.99041666666653</v>
      </c>
      <c r="F381" s="415">
        <v>2</v>
      </c>
      <c r="G381" s="416">
        <v>817.85458333333338</v>
      </c>
      <c r="H381" s="417">
        <v>2</v>
      </c>
      <c r="I381" s="418">
        <v>883.01125000000002</v>
      </c>
      <c r="J381" s="419">
        <v>2</v>
      </c>
      <c r="K381" s="420">
        <v>944.63166666666666</v>
      </c>
      <c r="L381" s="421">
        <v>2</v>
      </c>
      <c r="M381" s="437">
        <v>1052.9791666666667</v>
      </c>
    </row>
    <row r="382" spans="1:185">
      <c r="A382" s="433" t="s">
        <v>410</v>
      </c>
      <c r="B382" s="411" t="s">
        <v>319</v>
      </c>
      <c r="C382" s="422" t="s">
        <v>289</v>
      </c>
      <c r="D382" s="413">
        <v>0</v>
      </c>
      <c r="E382" s="414">
        <v>0</v>
      </c>
      <c r="F382" s="415">
        <v>0</v>
      </c>
      <c r="G382" s="416">
        <v>0</v>
      </c>
      <c r="H382" s="417">
        <v>2</v>
      </c>
      <c r="I382" s="418">
        <v>1010.8554166666667</v>
      </c>
      <c r="J382" s="419">
        <v>1.3790000000000002</v>
      </c>
      <c r="K382" s="420">
        <v>1127.1144549190235</v>
      </c>
      <c r="L382" s="421">
        <v>2</v>
      </c>
      <c r="M382" s="437">
        <v>1103.2420833333333</v>
      </c>
    </row>
    <row r="383" spans="1:185">
      <c r="A383" s="433" t="s">
        <v>410</v>
      </c>
      <c r="B383" s="411" t="s">
        <v>314</v>
      </c>
      <c r="C383" s="422" t="s">
        <v>289</v>
      </c>
      <c r="D383" s="413">
        <v>22.75</v>
      </c>
      <c r="E383" s="414">
        <v>963.4392307692309</v>
      </c>
      <c r="F383" s="415">
        <v>22.495999999999999</v>
      </c>
      <c r="G383" s="416">
        <v>1019.2346046704599</v>
      </c>
      <c r="H383" s="417">
        <v>22.919333333333338</v>
      </c>
      <c r="I383" s="418">
        <v>1153.7400011635009</v>
      </c>
      <c r="J383" s="419">
        <v>22.329916666666666</v>
      </c>
      <c r="K383" s="420">
        <v>1238.2372676416912</v>
      </c>
      <c r="L383" s="421">
        <v>22.727500000000003</v>
      </c>
      <c r="M383" s="437">
        <v>1474.1729182708175</v>
      </c>
    </row>
    <row r="384" spans="1:185">
      <c r="A384" s="433" t="s">
        <v>411</v>
      </c>
      <c r="B384" s="411" t="s">
        <v>325</v>
      </c>
      <c r="C384" s="422" t="s">
        <v>418</v>
      </c>
      <c r="D384" s="413">
        <v>0</v>
      </c>
      <c r="E384" s="414">
        <v>0</v>
      </c>
      <c r="F384" s="415">
        <v>0</v>
      </c>
      <c r="G384" s="416">
        <v>0</v>
      </c>
      <c r="H384" s="417">
        <v>0</v>
      </c>
      <c r="I384" s="418">
        <v>0</v>
      </c>
      <c r="J384" s="419">
        <v>0</v>
      </c>
      <c r="K384" s="420">
        <v>0</v>
      </c>
      <c r="L384" s="421">
        <v>2</v>
      </c>
      <c r="M384" s="437">
        <v>1103.54375</v>
      </c>
    </row>
    <row r="385" spans="1:185" s="382" customFormat="1" ht="16" thickBot="1">
      <c r="A385" s="433" t="s">
        <v>411</v>
      </c>
      <c r="B385" s="411" t="s">
        <v>301</v>
      </c>
      <c r="C385" s="422" t="s">
        <v>287</v>
      </c>
      <c r="D385" s="413">
        <v>9.9666666666666668</v>
      </c>
      <c r="E385" s="414">
        <v>2717.4475752508361</v>
      </c>
      <c r="F385" s="415">
        <v>10.819416666666667</v>
      </c>
      <c r="G385" s="416">
        <v>2465.6487179684673</v>
      </c>
      <c r="H385" s="417">
        <v>9.1194166666666678</v>
      </c>
      <c r="I385" s="418">
        <v>2560.3088647848458</v>
      </c>
      <c r="J385" s="419">
        <v>9.3639166666666664</v>
      </c>
      <c r="K385" s="420">
        <v>2738.2576735162456</v>
      </c>
      <c r="L385" s="421">
        <v>6.1000000000000005</v>
      </c>
      <c r="M385" s="437">
        <v>4043.6877049180325</v>
      </c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</row>
    <row r="386" spans="1:185" ht="16" thickTop="1">
      <c r="A386" s="433" t="s">
        <v>411</v>
      </c>
      <c r="B386" s="411" t="s">
        <v>303</v>
      </c>
      <c r="C386" s="422" t="s">
        <v>290</v>
      </c>
      <c r="D386" s="413">
        <v>2</v>
      </c>
      <c r="E386" s="414">
        <v>674.97291666666672</v>
      </c>
      <c r="F386" s="415">
        <v>2</v>
      </c>
      <c r="G386" s="416">
        <v>776.45708333333334</v>
      </c>
      <c r="H386" s="417">
        <v>2</v>
      </c>
      <c r="I386" s="418">
        <v>789.86041666666677</v>
      </c>
      <c r="J386" s="419">
        <v>2</v>
      </c>
      <c r="K386" s="420">
        <v>950.45624999999984</v>
      </c>
      <c r="L386" s="421">
        <v>0</v>
      </c>
      <c r="M386" s="437">
        <v>0</v>
      </c>
      <c r="N386" s="500"/>
    </row>
    <row r="387" spans="1:185">
      <c r="A387" s="433" t="s">
        <v>411</v>
      </c>
      <c r="B387" s="411" t="s">
        <v>305</v>
      </c>
      <c r="C387" s="422" t="s">
        <v>290</v>
      </c>
      <c r="D387" s="413">
        <v>4</v>
      </c>
      <c r="E387" s="414">
        <v>777.22145833333343</v>
      </c>
      <c r="F387" s="415">
        <v>3.75</v>
      </c>
      <c r="G387" s="416">
        <v>773.54377777777779</v>
      </c>
      <c r="H387" s="417">
        <v>3</v>
      </c>
      <c r="I387" s="418">
        <v>862.85944444444442</v>
      </c>
      <c r="J387" s="419">
        <v>3</v>
      </c>
      <c r="K387" s="420">
        <v>900.01444444444451</v>
      </c>
      <c r="L387" s="421">
        <v>3</v>
      </c>
      <c r="M387" s="437">
        <v>1599.0138888888889</v>
      </c>
      <c r="N387" s="500"/>
    </row>
    <row r="388" spans="1:185">
      <c r="A388" s="433" t="s">
        <v>411</v>
      </c>
      <c r="B388" s="411" t="s">
        <v>320</v>
      </c>
      <c r="C388" s="422" t="s">
        <v>290</v>
      </c>
      <c r="D388" s="413">
        <v>2</v>
      </c>
      <c r="E388" s="414">
        <v>886.35</v>
      </c>
      <c r="F388" s="415">
        <v>2</v>
      </c>
      <c r="G388" s="416">
        <v>905.39874999999995</v>
      </c>
      <c r="H388" s="417">
        <v>0</v>
      </c>
      <c r="I388" s="418">
        <v>0</v>
      </c>
      <c r="J388" s="419">
        <v>0</v>
      </c>
      <c r="K388" s="420">
        <v>0</v>
      </c>
      <c r="L388" s="421">
        <v>1.0305833333333334</v>
      </c>
      <c r="M388" s="437">
        <v>1539.721840381661</v>
      </c>
      <c r="N388" s="500"/>
    </row>
    <row r="389" spans="1:185">
      <c r="A389" s="433" t="s">
        <v>411</v>
      </c>
      <c r="B389" s="411" t="s">
        <v>311</v>
      </c>
      <c r="C389" s="422" t="s">
        <v>293</v>
      </c>
      <c r="D389" s="413">
        <v>1</v>
      </c>
      <c r="E389" s="414">
        <v>519.55833333333328</v>
      </c>
      <c r="F389" s="415">
        <v>1.4059166666666669</v>
      </c>
      <c r="G389" s="416">
        <v>339.8014344140833</v>
      </c>
      <c r="H389" s="417">
        <v>1.5026666666666666</v>
      </c>
      <c r="I389" s="418">
        <v>654.65727595385988</v>
      </c>
      <c r="J389" s="419">
        <v>1.4623333333333335</v>
      </c>
      <c r="K389" s="420">
        <v>770.41885115112837</v>
      </c>
      <c r="L389" s="421">
        <v>0.91666666666666663</v>
      </c>
      <c r="M389" s="437">
        <v>900.47727272727275</v>
      </c>
    </row>
    <row r="390" spans="1:185">
      <c r="A390" s="433" t="s">
        <v>411</v>
      </c>
      <c r="B390" s="411" t="s">
        <v>315</v>
      </c>
      <c r="C390" s="422" t="s">
        <v>293</v>
      </c>
      <c r="D390" s="413">
        <v>1</v>
      </c>
      <c r="E390" s="414">
        <v>1120.7008333333333</v>
      </c>
      <c r="F390" s="415">
        <v>1</v>
      </c>
      <c r="G390" s="416">
        <v>1148.085</v>
      </c>
      <c r="H390" s="417">
        <v>1</v>
      </c>
      <c r="I390" s="418">
        <v>1216.0991666666666</v>
      </c>
      <c r="J390" s="419">
        <v>1</v>
      </c>
      <c r="K390" s="420">
        <v>1305.5741666666665</v>
      </c>
      <c r="L390" s="421">
        <v>1.8333333333333333</v>
      </c>
      <c r="M390" s="437">
        <v>1320.9236363636364</v>
      </c>
    </row>
    <row r="391" spans="1:185">
      <c r="A391" s="433" t="s">
        <v>411</v>
      </c>
      <c r="B391" s="411" t="s">
        <v>327</v>
      </c>
      <c r="C391" s="422" t="s">
        <v>289</v>
      </c>
      <c r="D391" s="413">
        <v>0</v>
      </c>
      <c r="E391" s="414">
        <v>0</v>
      </c>
      <c r="F391" s="415">
        <v>0</v>
      </c>
      <c r="G391" s="416">
        <v>0</v>
      </c>
      <c r="H391" s="417">
        <v>0</v>
      </c>
      <c r="I391" s="418">
        <v>0</v>
      </c>
      <c r="J391" s="419">
        <v>0</v>
      </c>
      <c r="K391" s="420">
        <v>0</v>
      </c>
      <c r="L391" s="421">
        <v>1</v>
      </c>
      <c r="M391" s="437">
        <v>2953.5074999999997</v>
      </c>
    </row>
    <row r="392" spans="1:185">
      <c r="A392" s="433" t="s">
        <v>411</v>
      </c>
      <c r="B392" s="411" t="s">
        <v>319</v>
      </c>
      <c r="C392" s="422" t="s">
        <v>289</v>
      </c>
      <c r="D392" s="413">
        <v>0</v>
      </c>
      <c r="E392" s="414">
        <v>0</v>
      </c>
      <c r="F392" s="415">
        <v>5.3749999999999999E-2</v>
      </c>
      <c r="G392" s="416">
        <v>706.97674418604652</v>
      </c>
      <c r="H392" s="417">
        <v>3</v>
      </c>
      <c r="I392" s="418">
        <v>955.43805555555548</v>
      </c>
      <c r="J392" s="419">
        <v>3.362916666666667</v>
      </c>
      <c r="K392" s="420">
        <v>1112.6405649857513</v>
      </c>
      <c r="L392" s="421">
        <v>5</v>
      </c>
      <c r="M392" s="437">
        <v>1774.5215000000001</v>
      </c>
    </row>
    <row r="393" spans="1:185">
      <c r="A393" s="433" t="s">
        <v>411</v>
      </c>
      <c r="B393" s="411" t="s">
        <v>314</v>
      </c>
      <c r="C393" s="422" t="s">
        <v>289</v>
      </c>
      <c r="D393" s="413">
        <v>25.120999999999999</v>
      </c>
      <c r="E393" s="414">
        <v>1047.434782320237</v>
      </c>
      <c r="F393" s="415">
        <v>24.216750000000001</v>
      </c>
      <c r="G393" s="416">
        <v>1072.8163702120776</v>
      </c>
      <c r="H393" s="417">
        <v>23.706999999999997</v>
      </c>
      <c r="I393" s="418">
        <v>1253.3917548965846</v>
      </c>
      <c r="J393" s="419">
        <v>22.502750000000002</v>
      </c>
      <c r="K393" s="420">
        <v>1444.5123003484755</v>
      </c>
      <c r="L393" s="421">
        <v>18.461083333333335</v>
      </c>
      <c r="M393" s="437">
        <v>2109.191768269287</v>
      </c>
    </row>
    <row r="394" spans="1:185">
      <c r="A394" s="410" t="s">
        <v>412</v>
      </c>
      <c r="B394" s="430" t="s">
        <v>364</v>
      </c>
      <c r="C394" s="412" t="s">
        <v>292</v>
      </c>
      <c r="D394" s="413">
        <v>4</v>
      </c>
      <c r="E394" s="414">
        <v>1099.2960416666667</v>
      </c>
      <c r="F394" s="415">
        <v>4</v>
      </c>
      <c r="G394" s="416">
        <v>1127.6710416666667</v>
      </c>
      <c r="H394" s="417">
        <v>3</v>
      </c>
      <c r="I394" s="418">
        <v>1239.9122222222222</v>
      </c>
      <c r="J394" s="419">
        <v>3</v>
      </c>
      <c r="K394" s="420">
        <v>1321.8622222222223</v>
      </c>
      <c r="L394" s="421">
        <v>3</v>
      </c>
      <c r="M394" s="437">
        <v>1362.4013888888887</v>
      </c>
    </row>
    <row r="395" spans="1:185" s="382" customFormat="1" ht="16" thickBot="1">
      <c r="A395" s="410" t="s">
        <v>412</v>
      </c>
      <c r="B395" s="430" t="s">
        <v>301</v>
      </c>
      <c r="C395" s="422" t="s">
        <v>287</v>
      </c>
      <c r="D395" s="413">
        <v>0.6</v>
      </c>
      <c r="E395" s="414">
        <v>2476.3958333333335</v>
      </c>
      <c r="F395" s="415">
        <v>0.79999999999999993</v>
      </c>
      <c r="G395" s="416">
        <v>2544.2145833333334</v>
      </c>
      <c r="H395" s="417">
        <v>1.0999999999999999</v>
      </c>
      <c r="I395" s="418">
        <v>2315.147727272727</v>
      </c>
      <c r="J395" s="419">
        <v>2.1</v>
      </c>
      <c r="K395" s="420">
        <v>2744.2071428571426</v>
      </c>
      <c r="L395" s="421">
        <v>1.6188333333333331</v>
      </c>
      <c r="M395" s="437">
        <v>2907.1321939668487</v>
      </c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</row>
    <row r="396" spans="1:185" ht="16" thickTop="1">
      <c r="A396" s="410" t="s">
        <v>412</v>
      </c>
      <c r="B396" s="430" t="s">
        <v>305</v>
      </c>
      <c r="C396" s="422" t="s">
        <v>290</v>
      </c>
      <c r="D396" s="413">
        <v>2</v>
      </c>
      <c r="E396" s="414">
        <v>614.36374999999998</v>
      </c>
      <c r="F396" s="415">
        <v>2</v>
      </c>
      <c r="G396" s="416">
        <v>629.07749999999999</v>
      </c>
      <c r="H396" s="417">
        <v>2</v>
      </c>
      <c r="I396" s="418">
        <v>760.42374999999993</v>
      </c>
      <c r="J396" s="419">
        <v>2</v>
      </c>
      <c r="K396" s="420">
        <v>813.94875000000002</v>
      </c>
      <c r="L396" s="421">
        <v>2</v>
      </c>
      <c r="M396" s="437">
        <v>996.10416666666663</v>
      </c>
      <c r="N396" s="500"/>
    </row>
    <row r="397" spans="1:185">
      <c r="A397" s="410" t="s">
        <v>373</v>
      </c>
      <c r="B397" s="411" t="s">
        <v>371</v>
      </c>
      <c r="C397" s="412" t="s">
        <v>288</v>
      </c>
      <c r="D397" s="413">
        <v>0</v>
      </c>
      <c r="E397" s="414">
        <v>0</v>
      </c>
      <c r="F397" s="415">
        <v>0</v>
      </c>
      <c r="G397" s="416">
        <v>0</v>
      </c>
      <c r="H397" s="417">
        <v>0.54566666666666663</v>
      </c>
      <c r="I397" s="418">
        <v>1880.3619425778866</v>
      </c>
      <c r="J397" s="419">
        <v>3.75</v>
      </c>
      <c r="K397" s="420">
        <v>1910.7384444444444</v>
      </c>
      <c r="L397" s="421">
        <v>4</v>
      </c>
      <c r="M397" s="437">
        <v>2134.5233333333331</v>
      </c>
    </row>
    <row r="398" spans="1:185" s="382" customFormat="1" ht="16" thickBot="1">
      <c r="A398" s="410" t="s">
        <v>373</v>
      </c>
      <c r="B398" s="411" t="s">
        <v>372</v>
      </c>
      <c r="C398" s="412" t="s">
        <v>288</v>
      </c>
      <c r="D398" s="413">
        <v>0</v>
      </c>
      <c r="E398" s="414">
        <v>0</v>
      </c>
      <c r="F398" s="415">
        <v>0</v>
      </c>
      <c r="G398" s="416">
        <v>0</v>
      </c>
      <c r="H398" s="417">
        <v>0.88324999999999998</v>
      </c>
      <c r="I398" s="418">
        <v>1880.3619425778866</v>
      </c>
      <c r="J398" s="419">
        <v>3</v>
      </c>
      <c r="K398" s="420">
        <v>969.29611111111103</v>
      </c>
      <c r="L398" s="421">
        <v>3.6666666666666665</v>
      </c>
      <c r="M398" s="437">
        <v>1124.9222727272727</v>
      </c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</row>
    <row r="399" spans="1:185" ht="16" thickTop="1">
      <c r="A399" s="433" t="s">
        <v>413</v>
      </c>
      <c r="B399" s="411" t="s">
        <v>396</v>
      </c>
      <c r="C399" s="422" t="s">
        <v>418</v>
      </c>
      <c r="D399" s="413">
        <v>1.7999999999999998</v>
      </c>
      <c r="E399" s="414">
        <v>1742.7986111111111</v>
      </c>
      <c r="F399" s="415">
        <v>1.8499999999999999</v>
      </c>
      <c r="G399" s="416">
        <v>1965.2013513513511</v>
      </c>
      <c r="H399" s="417">
        <v>2</v>
      </c>
      <c r="I399" s="418">
        <v>1758.9633333333331</v>
      </c>
      <c r="J399" s="419">
        <v>2</v>
      </c>
      <c r="K399" s="420">
        <v>1848.4070833333333</v>
      </c>
      <c r="L399" s="421">
        <v>2</v>
      </c>
      <c r="M399" s="437">
        <v>1456.4708333333331</v>
      </c>
    </row>
    <row r="400" spans="1:185">
      <c r="A400" s="433" t="s">
        <v>413</v>
      </c>
      <c r="B400" s="411" t="s">
        <v>386</v>
      </c>
      <c r="C400" s="422" t="s">
        <v>418</v>
      </c>
      <c r="D400" s="413">
        <v>0.39999999999999997</v>
      </c>
      <c r="E400" s="414">
        <v>932.23541666666665</v>
      </c>
      <c r="F400" s="415">
        <v>0.39999999999999997</v>
      </c>
      <c r="G400" s="416">
        <v>956.55416666666667</v>
      </c>
      <c r="H400" s="417">
        <v>0.39999999999999997</v>
      </c>
      <c r="I400" s="418">
        <v>1087.9625000000001</v>
      </c>
      <c r="J400" s="419">
        <v>0.32500000000000001</v>
      </c>
      <c r="K400" s="420">
        <v>1097.3153846153846</v>
      </c>
      <c r="L400" s="421">
        <v>9.9999999999999992E-2</v>
      </c>
      <c r="M400" s="437">
        <v>1552.7250000000001</v>
      </c>
    </row>
    <row r="401" spans="1:14">
      <c r="A401" s="433" t="s">
        <v>413</v>
      </c>
      <c r="B401" s="411" t="s">
        <v>397</v>
      </c>
      <c r="C401" s="422" t="s">
        <v>418</v>
      </c>
      <c r="D401" s="413">
        <v>3</v>
      </c>
      <c r="E401" s="414">
        <v>1997.2886111111111</v>
      </c>
      <c r="F401" s="415">
        <v>2.5</v>
      </c>
      <c r="G401" s="416">
        <v>1767.1863333333336</v>
      </c>
      <c r="H401" s="417">
        <v>1.6666666666666667</v>
      </c>
      <c r="I401" s="418">
        <v>1602.1150000000002</v>
      </c>
      <c r="J401" s="419">
        <v>1</v>
      </c>
      <c r="K401" s="420">
        <v>2561.35</v>
      </c>
      <c r="L401" s="421">
        <v>1</v>
      </c>
      <c r="M401" s="437">
        <v>3342.9041666666667</v>
      </c>
    </row>
    <row r="402" spans="1:14">
      <c r="A402" s="433" t="s">
        <v>413</v>
      </c>
      <c r="B402" s="411" t="s">
        <v>384</v>
      </c>
      <c r="C402" s="412" t="s">
        <v>292</v>
      </c>
      <c r="D402" s="413">
        <v>2</v>
      </c>
      <c r="E402" s="414">
        <v>852.82500000000016</v>
      </c>
      <c r="F402" s="415">
        <v>1.925</v>
      </c>
      <c r="G402" s="416">
        <v>873.21991341991327</v>
      </c>
      <c r="H402" s="417">
        <v>1</v>
      </c>
      <c r="I402" s="418">
        <v>974.8075</v>
      </c>
      <c r="J402" s="419">
        <v>1</v>
      </c>
      <c r="K402" s="420">
        <v>1050.2275</v>
      </c>
      <c r="L402" s="421">
        <v>1</v>
      </c>
      <c r="M402" s="437">
        <v>1071.9233333333334</v>
      </c>
    </row>
    <row r="403" spans="1:14">
      <c r="A403" s="433" t="s">
        <v>413</v>
      </c>
      <c r="B403" s="411" t="s">
        <v>395</v>
      </c>
      <c r="C403" s="412" t="s">
        <v>292</v>
      </c>
      <c r="D403" s="413">
        <v>2.8000000000000003</v>
      </c>
      <c r="E403" s="414">
        <v>1003.7794642857142</v>
      </c>
      <c r="F403" s="415">
        <v>1.9555833333333332</v>
      </c>
      <c r="G403" s="416">
        <v>946.92078237525038</v>
      </c>
      <c r="H403" s="417">
        <v>3.0500000000000003</v>
      </c>
      <c r="I403" s="418">
        <v>931.99890710382522</v>
      </c>
      <c r="J403" s="419">
        <v>3.1333333333333333</v>
      </c>
      <c r="K403" s="420">
        <v>1172.9468085106382</v>
      </c>
      <c r="L403" s="421">
        <v>2.045666666666667</v>
      </c>
      <c r="M403" s="437">
        <v>1309.2541143881374</v>
      </c>
    </row>
    <row r="404" spans="1:14">
      <c r="A404" s="433" t="s">
        <v>413</v>
      </c>
      <c r="B404" s="430" t="s">
        <v>414</v>
      </c>
      <c r="C404" s="432" t="s">
        <v>292</v>
      </c>
      <c r="D404" s="413">
        <v>0</v>
      </c>
      <c r="E404" s="414">
        <v>0</v>
      </c>
      <c r="F404" s="415">
        <v>0</v>
      </c>
      <c r="G404" s="416">
        <v>0</v>
      </c>
      <c r="H404" s="417">
        <v>0</v>
      </c>
      <c r="I404" s="418">
        <v>0</v>
      </c>
      <c r="J404" s="419">
        <v>0</v>
      </c>
      <c r="K404" s="420">
        <v>0</v>
      </c>
      <c r="L404" s="421">
        <v>1</v>
      </c>
      <c r="M404" s="437">
        <v>1937.6908333333333</v>
      </c>
    </row>
    <row r="405" spans="1:14">
      <c r="A405" s="433" t="s">
        <v>413</v>
      </c>
      <c r="B405" s="411" t="s">
        <v>391</v>
      </c>
      <c r="C405" s="432" t="s">
        <v>292</v>
      </c>
      <c r="D405" s="413">
        <v>0</v>
      </c>
      <c r="E405" s="414">
        <v>0</v>
      </c>
      <c r="F405" s="415">
        <v>1.9300833333333334</v>
      </c>
      <c r="G405" s="416">
        <v>1260.5051595354257</v>
      </c>
      <c r="H405" s="417">
        <v>1</v>
      </c>
      <c r="I405" s="418">
        <v>1410.3675000000001</v>
      </c>
      <c r="J405" s="419">
        <v>1</v>
      </c>
      <c r="K405" s="420">
        <v>1489.08</v>
      </c>
      <c r="L405" s="421">
        <v>1</v>
      </c>
      <c r="M405" s="437">
        <v>1603.7591666666667</v>
      </c>
    </row>
    <row r="406" spans="1:14">
      <c r="A406" s="433" t="s">
        <v>413</v>
      </c>
      <c r="B406" s="411" t="s">
        <v>364</v>
      </c>
      <c r="C406" s="412" t="s">
        <v>292</v>
      </c>
      <c r="D406" s="413">
        <v>7</v>
      </c>
      <c r="E406" s="414">
        <v>842.05047619047605</v>
      </c>
      <c r="F406" s="415">
        <v>6.6209999999999996</v>
      </c>
      <c r="G406" s="416">
        <v>860.48381412676838</v>
      </c>
      <c r="H406" s="417">
        <v>5</v>
      </c>
      <c r="I406" s="418">
        <v>1040.3458333333333</v>
      </c>
      <c r="J406" s="419">
        <v>5.9865833333333329</v>
      </c>
      <c r="K406" s="420">
        <v>1133.5445927699438</v>
      </c>
      <c r="L406" s="421">
        <v>8</v>
      </c>
      <c r="M406" s="437">
        <v>1266.1346874999999</v>
      </c>
    </row>
    <row r="407" spans="1:14">
      <c r="A407" s="433" t="s">
        <v>413</v>
      </c>
      <c r="B407" s="411" t="s">
        <v>301</v>
      </c>
      <c r="C407" s="422" t="s">
        <v>287</v>
      </c>
      <c r="D407" s="413">
        <v>0.48</v>
      </c>
      <c r="E407" s="414">
        <v>2150.2690972222222</v>
      </c>
      <c r="F407" s="415">
        <v>0.48</v>
      </c>
      <c r="G407" s="416">
        <v>2164.3368055555557</v>
      </c>
      <c r="H407" s="417">
        <v>0.48</v>
      </c>
      <c r="I407" s="418">
        <v>2281.2951388888891</v>
      </c>
      <c r="J407" s="419">
        <v>0.60499999999999998</v>
      </c>
      <c r="K407" s="420">
        <v>2340.5881542699726</v>
      </c>
      <c r="L407" s="421">
        <v>0.98</v>
      </c>
      <c r="M407" s="437">
        <v>2526.0374149659865</v>
      </c>
    </row>
    <row r="408" spans="1:14">
      <c r="A408" s="433" t="s">
        <v>413</v>
      </c>
      <c r="B408" s="411" t="s">
        <v>303</v>
      </c>
      <c r="C408" s="422" t="s">
        <v>290</v>
      </c>
      <c r="D408" s="413">
        <v>0</v>
      </c>
      <c r="E408" s="414">
        <v>0</v>
      </c>
      <c r="F408" s="415">
        <v>0</v>
      </c>
      <c r="G408" s="416">
        <v>0</v>
      </c>
      <c r="H408" s="417">
        <v>0</v>
      </c>
      <c r="I408" s="418">
        <v>0</v>
      </c>
      <c r="J408" s="419">
        <v>0</v>
      </c>
      <c r="K408" s="420">
        <v>0</v>
      </c>
      <c r="L408" s="421">
        <v>4.5666666666666668E-2</v>
      </c>
      <c r="M408" s="437">
        <v>872.31751824817502</v>
      </c>
      <c r="N408" s="500"/>
    </row>
    <row r="409" spans="1:14">
      <c r="A409" s="433" t="s">
        <v>413</v>
      </c>
      <c r="B409" s="411" t="s">
        <v>305</v>
      </c>
      <c r="C409" s="422" t="s">
        <v>290</v>
      </c>
      <c r="D409" s="413">
        <v>1</v>
      </c>
      <c r="E409" s="414">
        <v>114.82583333333334</v>
      </c>
      <c r="F409" s="415">
        <v>1</v>
      </c>
      <c r="G409" s="416">
        <v>511.69749999999999</v>
      </c>
      <c r="H409" s="417">
        <v>1</v>
      </c>
      <c r="I409" s="418">
        <v>635.41666666666663</v>
      </c>
      <c r="J409" s="419">
        <v>1</v>
      </c>
      <c r="K409" s="420">
        <v>821.21999999999991</v>
      </c>
      <c r="L409" s="421">
        <v>1</v>
      </c>
      <c r="M409" s="437">
        <v>489.48916666666668</v>
      </c>
      <c r="N409" s="500"/>
    </row>
    <row r="410" spans="1:14">
      <c r="A410" s="433" t="s">
        <v>413</v>
      </c>
      <c r="B410" s="411" t="s">
        <v>320</v>
      </c>
      <c r="C410" s="422" t="s">
        <v>290</v>
      </c>
      <c r="D410" s="413">
        <v>0.79999999999999993</v>
      </c>
      <c r="E410" s="414">
        <v>723.27083333333337</v>
      </c>
      <c r="F410" s="415">
        <v>0.79999999999999993</v>
      </c>
      <c r="G410" s="416">
        <v>690.70520833333342</v>
      </c>
      <c r="H410" s="417">
        <v>0</v>
      </c>
      <c r="I410" s="418">
        <v>0</v>
      </c>
      <c r="J410" s="419">
        <v>0</v>
      </c>
      <c r="K410" s="420">
        <v>0</v>
      </c>
      <c r="L410" s="421">
        <v>0</v>
      </c>
      <c r="M410" s="437">
        <v>0</v>
      </c>
      <c r="N410" s="500"/>
    </row>
    <row r="411" spans="1:14">
      <c r="A411" s="433" t="s">
        <v>413</v>
      </c>
      <c r="B411" s="411" t="s">
        <v>315</v>
      </c>
      <c r="C411" s="422" t="s">
        <v>293</v>
      </c>
      <c r="D411" s="413">
        <v>0</v>
      </c>
      <c r="E411" s="414">
        <v>0</v>
      </c>
      <c r="F411" s="415">
        <v>0</v>
      </c>
      <c r="G411" s="416">
        <v>0</v>
      </c>
      <c r="H411" s="417">
        <v>9.9999999999999992E-2</v>
      </c>
      <c r="I411" s="418">
        <v>1003.8083333333333</v>
      </c>
      <c r="J411" s="419">
        <v>1.0328333333333333</v>
      </c>
      <c r="K411" s="420">
        <v>629.25044376311121</v>
      </c>
      <c r="L411" s="421">
        <v>1.0999999999999999</v>
      </c>
      <c r="M411" s="437">
        <v>1005.3613636363638</v>
      </c>
    </row>
    <row r="412" spans="1:14">
      <c r="A412" s="433" t="s">
        <v>413</v>
      </c>
      <c r="B412" s="411" t="s">
        <v>319</v>
      </c>
      <c r="C412" s="422" t="s">
        <v>289</v>
      </c>
      <c r="D412" s="413">
        <v>0</v>
      </c>
      <c r="E412" s="414">
        <v>0</v>
      </c>
      <c r="F412" s="415">
        <v>0</v>
      </c>
      <c r="G412" s="416">
        <v>0</v>
      </c>
      <c r="H412" s="417">
        <v>0.79999999999999993</v>
      </c>
      <c r="I412" s="418">
        <v>711.63958333333335</v>
      </c>
      <c r="J412" s="419">
        <v>0.79999999999999993</v>
      </c>
      <c r="K412" s="420">
        <v>876.06770833333337</v>
      </c>
      <c r="L412" s="421">
        <v>0.79999999999999993</v>
      </c>
      <c r="M412" s="437">
        <v>1047.5093750000001</v>
      </c>
    </row>
    <row r="413" spans="1:14">
      <c r="A413" s="442" t="s">
        <v>413</v>
      </c>
      <c r="B413" s="443" t="s">
        <v>314</v>
      </c>
      <c r="C413" s="444" t="s">
        <v>289</v>
      </c>
      <c r="D413" s="445">
        <v>3.0214999999999996</v>
      </c>
      <c r="E413" s="446">
        <v>787.52496000882581</v>
      </c>
      <c r="F413" s="447">
        <v>3</v>
      </c>
      <c r="G413" s="448">
        <v>805.28416666666658</v>
      </c>
      <c r="H413" s="449">
        <v>3</v>
      </c>
      <c r="I413" s="450">
        <v>856.5094444444444</v>
      </c>
      <c r="J413" s="451">
        <v>3.2123333333333335</v>
      </c>
      <c r="K413" s="452">
        <v>935.70950503268637</v>
      </c>
      <c r="L413" s="453">
        <v>2.545666666666667</v>
      </c>
      <c r="M413" s="454">
        <v>1205.817074767579</v>
      </c>
    </row>
    <row r="414" spans="1:14">
      <c r="A414"/>
      <c r="B414" s="455"/>
      <c r="C414" s="455"/>
      <c r="D414" s="441"/>
      <c r="E414" s="441"/>
      <c r="F414" s="441"/>
      <c r="G414" s="441"/>
      <c r="H414" s="441"/>
      <c r="I414" s="441"/>
      <c r="J414" s="441"/>
      <c r="K414" s="441"/>
      <c r="L414" s="441"/>
      <c r="M414" s="441"/>
    </row>
    <row r="415" spans="1:14">
      <c r="A415"/>
      <c r="B415" s="455"/>
      <c r="C415" s="455"/>
      <c r="D415" s="441"/>
      <c r="E415" s="441"/>
      <c r="F415" s="441"/>
      <c r="G415" s="441"/>
      <c r="H415" s="441"/>
      <c r="I415" s="441"/>
      <c r="J415" s="441"/>
      <c r="K415" s="441"/>
      <c r="L415" s="441"/>
      <c r="M415" s="441"/>
    </row>
    <row r="416" spans="1:14" ht="16">
      <c r="A416"/>
      <c r="B416" s="455" t="s">
        <v>296</v>
      </c>
      <c r="C416" s="455"/>
      <c r="D416" s="441" t="s">
        <v>296</v>
      </c>
      <c r="E416" s="441" t="s">
        <v>296</v>
      </c>
      <c r="F416" s="441" t="s">
        <v>296</v>
      </c>
      <c r="G416" s="441" t="s">
        <v>296</v>
      </c>
      <c r="H416" s="441" t="s">
        <v>296</v>
      </c>
      <c r="I416" s="441" t="s">
        <v>296</v>
      </c>
      <c r="J416" s="441" t="s">
        <v>296</v>
      </c>
      <c r="K416" s="441" t="s">
        <v>296</v>
      </c>
      <c r="L416" s="441" t="s">
        <v>296</v>
      </c>
      <c r="M416" s="441" t="s">
        <v>296</v>
      </c>
    </row>
    <row r="417" spans="2:13" customFormat="1" ht="16">
      <c r="B417" s="455" t="s">
        <v>296</v>
      </c>
      <c r="C417" s="455"/>
      <c r="D417" s="441" t="s">
        <v>296</v>
      </c>
      <c r="E417" s="441"/>
      <c r="F417" s="441"/>
      <c r="G417" s="441"/>
      <c r="H417" s="441"/>
      <c r="I417" s="441"/>
      <c r="J417" s="441"/>
      <c r="K417" s="441"/>
      <c r="L417" s="441"/>
      <c r="M417" s="441"/>
    </row>
    <row r="418" spans="2:13" customFormat="1">
      <c r="B418" s="455"/>
      <c r="C418" s="455"/>
      <c r="D418" s="441"/>
      <c r="E418" s="441"/>
      <c r="F418" s="441"/>
      <c r="G418" s="441"/>
      <c r="H418" s="441"/>
      <c r="I418" s="441"/>
      <c r="J418" s="441"/>
      <c r="K418" s="441"/>
      <c r="L418" s="441"/>
      <c r="M418" s="441"/>
    </row>
    <row r="419" spans="2:13" customFormat="1">
      <c r="B419" s="455"/>
      <c r="C419" s="455"/>
      <c r="D419" s="441"/>
      <c r="E419" s="441"/>
      <c r="F419" s="441"/>
      <c r="G419" s="441"/>
      <c r="H419" s="441"/>
      <c r="I419" s="441"/>
      <c r="J419" s="441"/>
      <c r="K419" s="441"/>
      <c r="L419" s="441"/>
      <c r="M419" s="441"/>
    </row>
    <row r="420" spans="2:13" customFormat="1">
      <c r="B420" s="455"/>
      <c r="C420" s="455"/>
      <c r="D420" s="441"/>
      <c r="E420" s="441"/>
      <c r="F420" s="441"/>
      <c r="G420" s="441"/>
      <c r="H420" s="441"/>
      <c r="I420" s="441"/>
      <c r="J420" s="441"/>
      <c r="K420" s="441"/>
      <c r="L420" s="441"/>
      <c r="M420" s="441"/>
    </row>
    <row r="421" spans="2:13" customFormat="1">
      <c r="B421" s="455"/>
      <c r="C421" s="455"/>
      <c r="D421" s="441"/>
      <c r="E421" s="441"/>
      <c r="F421" s="441"/>
      <c r="G421" s="441"/>
      <c r="H421" s="441"/>
      <c r="I421" s="441"/>
      <c r="J421" s="441"/>
      <c r="K421" s="441"/>
      <c r="L421" s="441"/>
      <c r="M421" s="441"/>
    </row>
    <row r="422" spans="2:13" customFormat="1">
      <c r="B422" s="455"/>
      <c r="C422" s="455"/>
      <c r="D422" s="441"/>
      <c r="E422" s="441"/>
      <c r="F422" s="441"/>
      <c r="G422" s="441"/>
      <c r="H422" s="441"/>
      <c r="I422" s="441"/>
      <c r="J422" s="441"/>
      <c r="K422" s="441"/>
      <c r="L422" s="441"/>
      <c r="M422" s="441"/>
    </row>
    <row r="423" spans="2:13" customFormat="1">
      <c r="B423" s="455"/>
      <c r="C423" s="455"/>
      <c r="D423" s="441"/>
      <c r="E423" s="441"/>
      <c r="F423" s="441"/>
      <c r="G423" s="441"/>
      <c r="H423" s="441"/>
      <c r="I423" s="441"/>
      <c r="J423" s="441"/>
      <c r="K423" s="441"/>
      <c r="L423" s="441"/>
      <c r="M423" s="441"/>
    </row>
    <row r="424" spans="2:13" customFormat="1">
      <c r="B424" s="455"/>
      <c r="C424" s="455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</row>
    <row r="425" spans="2:13" customFormat="1">
      <c r="B425" s="455"/>
      <c r="C425" s="455"/>
      <c r="D425" s="441"/>
      <c r="E425" s="441"/>
      <c r="F425" s="441"/>
      <c r="G425" s="441"/>
      <c r="H425" s="441"/>
      <c r="I425" s="441"/>
      <c r="J425" s="441"/>
      <c r="K425" s="441"/>
      <c r="L425" s="441"/>
      <c r="M425" s="441"/>
    </row>
    <row r="426" spans="2:13" customFormat="1">
      <c r="B426" s="455"/>
      <c r="C426" s="455"/>
      <c r="D426" s="441"/>
      <c r="E426" s="441"/>
      <c r="F426" s="441"/>
      <c r="G426" s="441"/>
      <c r="H426" s="441"/>
      <c r="I426" s="441"/>
      <c r="J426" s="441"/>
      <c r="K426" s="441"/>
      <c r="L426" s="441"/>
      <c r="M426" s="441"/>
    </row>
    <row r="427" spans="2:13" customFormat="1">
      <c r="B427" s="455"/>
      <c r="C427" s="455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</row>
    <row r="428" spans="2:13" customFormat="1">
      <c r="B428" s="455"/>
      <c r="C428" s="455"/>
      <c r="D428" s="441"/>
      <c r="E428" s="441"/>
      <c r="F428" s="441"/>
      <c r="G428" s="441"/>
      <c r="H428" s="441"/>
      <c r="I428" s="441"/>
      <c r="J428" s="441"/>
      <c r="K428" s="441"/>
      <c r="L428" s="441"/>
      <c r="M428" s="441"/>
    </row>
    <row r="429" spans="2:13" customFormat="1">
      <c r="B429" s="455"/>
      <c r="C429" s="455"/>
      <c r="D429" s="441"/>
      <c r="E429" s="441"/>
      <c r="F429" s="441"/>
      <c r="G429" s="441"/>
      <c r="H429" s="441"/>
      <c r="I429" s="441"/>
      <c r="J429" s="441"/>
      <c r="K429" s="441"/>
      <c r="L429" s="441"/>
      <c r="M429" s="441"/>
    </row>
    <row r="430" spans="2:13" customFormat="1">
      <c r="B430" s="455"/>
      <c r="C430" s="455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</row>
    <row r="431" spans="2:13" customFormat="1">
      <c r="B431" s="455"/>
      <c r="C431" s="455"/>
      <c r="D431" s="441"/>
      <c r="E431" s="441"/>
      <c r="F431" s="441"/>
      <c r="G431" s="441"/>
      <c r="H431" s="441"/>
      <c r="I431" s="441"/>
      <c r="J431" s="441"/>
      <c r="K431" s="441"/>
      <c r="L431" s="441"/>
      <c r="M431" s="441"/>
    </row>
    <row r="432" spans="2:13" customFormat="1">
      <c r="B432" s="455"/>
      <c r="C432" s="455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</row>
    <row r="433" spans="2:13" customFormat="1">
      <c r="B433" s="455"/>
      <c r="C433" s="455"/>
      <c r="D433" s="441"/>
      <c r="E433" s="441"/>
      <c r="F433" s="441"/>
      <c r="G433" s="441"/>
      <c r="H433" s="441"/>
      <c r="I433" s="441"/>
      <c r="J433" s="441"/>
      <c r="K433" s="441"/>
      <c r="L433" s="441"/>
      <c r="M433" s="441"/>
    </row>
    <row r="434" spans="2:13" customFormat="1">
      <c r="B434" s="455"/>
      <c r="C434" s="455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</row>
    <row r="435" spans="2:13" customFormat="1">
      <c r="B435" s="455"/>
      <c r="C435" s="455"/>
      <c r="D435" s="441"/>
      <c r="E435" s="441"/>
      <c r="F435" s="441"/>
      <c r="G435" s="441"/>
      <c r="H435" s="441"/>
      <c r="I435" s="441"/>
      <c r="J435" s="441"/>
      <c r="K435" s="441"/>
      <c r="L435" s="441"/>
      <c r="M435" s="441"/>
    </row>
    <row r="436" spans="2:13" customFormat="1">
      <c r="B436" s="455"/>
      <c r="C436" s="455"/>
      <c r="D436" s="441"/>
      <c r="E436" s="441"/>
      <c r="F436" s="441"/>
      <c r="G436" s="441"/>
      <c r="H436" s="441"/>
      <c r="I436" s="441"/>
      <c r="J436" s="441"/>
      <c r="K436" s="441"/>
      <c r="L436" s="441"/>
      <c r="M436" s="441"/>
    </row>
    <row r="437" spans="2:13" customFormat="1">
      <c r="B437" s="455"/>
      <c r="C437" s="455"/>
      <c r="D437" s="441"/>
      <c r="E437" s="441"/>
      <c r="F437" s="441"/>
      <c r="G437" s="441"/>
      <c r="H437" s="441"/>
      <c r="I437" s="441"/>
      <c r="J437" s="441"/>
      <c r="K437" s="441"/>
      <c r="L437" s="441"/>
      <c r="M437" s="441"/>
    </row>
    <row r="438" spans="2:13" customFormat="1">
      <c r="B438" s="455"/>
      <c r="C438" s="455"/>
      <c r="D438" s="441"/>
      <c r="E438" s="441"/>
      <c r="F438" s="441"/>
      <c r="G438" s="441"/>
      <c r="H438" s="441"/>
      <c r="I438" s="441"/>
      <c r="J438" s="441"/>
      <c r="K438" s="441"/>
      <c r="L438" s="441"/>
      <c r="M438" s="441"/>
    </row>
    <row r="439" spans="2:13" customFormat="1">
      <c r="B439" s="455"/>
      <c r="C439" s="455"/>
      <c r="D439" s="441"/>
      <c r="E439" s="441"/>
      <c r="F439" s="441"/>
      <c r="G439" s="441"/>
      <c r="H439" s="441"/>
      <c r="I439" s="441"/>
      <c r="J439" s="441"/>
      <c r="K439" s="441"/>
      <c r="L439" s="441"/>
      <c r="M439" s="441"/>
    </row>
    <row r="440" spans="2:13" customFormat="1">
      <c r="B440" s="455"/>
      <c r="C440" s="455"/>
      <c r="D440" s="441"/>
      <c r="E440" s="441"/>
      <c r="F440" s="441"/>
      <c r="G440" s="441"/>
      <c r="H440" s="441"/>
      <c r="I440" s="441"/>
      <c r="J440" s="441"/>
      <c r="K440" s="441"/>
      <c r="L440" s="441"/>
      <c r="M440" s="441"/>
    </row>
    <row r="441" spans="2:13" customFormat="1">
      <c r="B441" s="455"/>
      <c r="C441" s="455"/>
      <c r="D441" s="441"/>
      <c r="E441" s="441"/>
      <c r="F441" s="441"/>
      <c r="G441" s="441"/>
      <c r="H441" s="441"/>
      <c r="I441" s="441"/>
      <c r="J441" s="441"/>
      <c r="K441" s="441"/>
      <c r="L441" s="441"/>
      <c r="M441" s="441"/>
    </row>
    <row r="442" spans="2:13" customFormat="1">
      <c r="B442" s="455"/>
      <c r="C442" s="455"/>
      <c r="D442" s="441"/>
      <c r="E442" s="441"/>
      <c r="F442" s="441"/>
      <c r="G442" s="441"/>
      <c r="H442" s="441"/>
      <c r="I442" s="441"/>
      <c r="J442" s="441"/>
      <c r="K442" s="441"/>
      <c r="L442" s="441"/>
      <c r="M442" s="441"/>
    </row>
    <row r="443" spans="2:13" customFormat="1">
      <c r="B443" s="455"/>
      <c r="C443" s="455"/>
      <c r="D443" s="441"/>
      <c r="E443" s="441"/>
      <c r="F443" s="441"/>
      <c r="G443" s="441"/>
      <c r="H443" s="441"/>
      <c r="I443" s="441"/>
      <c r="J443" s="441"/>
      <c r="K443" s="441"/>
      <c r="L443" s="441"/>
      <c r="M443" s="441"/>
    </row>
    <row r="444" spans="2:13" customFormat="1">
      <c r="B444" s="455"/>
      <c r="C444" s="455"/>
      <c r="D444" s="441"/>
      <c r="E444" s="441"/>
      <c r="F444" s="441"/>
      <c r="G444" s="441"/>
      <c r="H444" s="441"/>
      <c r="I444" s="441"/>
      <c r="J444" s="441"/>
      <c r="K444" s="441"/>
      <c r="L444" s="441"/>
      <c r="M444" s="441"/>
    </row>
    <row r="445" spans="2:13" customFormat="1">
      <c r="B445" s="455"/>
      <c r="C445" s="455"/>
      <c r="D445" s="441"/>
      <c r="E445" s="441"/>
      <c r="F445" s="441"/>
      <c r="G445" s="441"/>
      <c r="H445" s="441"/>
      <c r="I445" s="441"/>
      <c r="J445" s="441"/>
      <c r="K445" s="441"/>
      <c r="L445" s="441"/>
      <c r="M445" s="441"/>
    </row>
    <row r="446" spans="2:13" customFormat="1">
      <c r="B446" s="455"/>
      <c r="C446" s="455"/>
      <c r="D446" s="441"/>
      <c r="E446" s="441"/>
      <c r="F446" s="441"/>
      <c r="G446" s="441"/>
      <c r="H446" s="441"/>
      <c r="I446" s="441"/>
      <c r="J446" s="441"/>
      <c r="K446" s="441"/>
      <c r="L446" s="441"/>
      <c r="M446" s="441"/>
    </row>
    <row r="447" spans="2:13" customFormat="1">
      <c r="B447" s="455"/>
      <c r="C447" s="455"/>
      <c r="D447" s="441"/>
      <c r="E447" s="441"/>
      <c r="F447" s="441"/>
      <c r="G447" s="441"/>
      <c r="H447" s="441"/>
      <c r="I447" s="441"/>
      <c r="J447" s="441"/>
      <c r="K447" s="441"/>
      <c r="L447" s="441"/>
      <c r="M447" s="441"/>
    </row>
    <row r="448" spans="2:13" customFormat="1">
      <c r="B448" s="455"/>
      <c r="C448" s="455"/>
      <c r="D448" s="441"/>
      <c r="E448" s="441"/>
      <c r="F448" s="441"/>
      <c r="G448" s="441"/>
      <c r="H448" s="441"/>
      <c r="I448" s="441"/>
      <c r="J448" s="441"/>
      <c r="K448" s="441"/>
      <c r="L448" s="441"/>
      <c r="M448" s="441"/>
    </row>
    <row r="449" spans="2:13" customFormat="1">
      <c r="B449" s="455"/>
      <c r="C449" s="455"/>
      <c r="D449" s="441"/>
      <c r="E449" s="441"/>
      <c r="F449" s="441"/>
      <c r="G449" s="441"/>
      <c r="H449" s="441"/>
      <c r="I449" s="441"/>
      <c r="J449" s="441"/>
      <c r="K449" s="441"/>
      <c r="L449" s="441"/>
      <c r="M449" s="441"/>
    </row>
    <row r="450" spans="2:13" customFormat="1">
      <c r="B450" s="455"/>
      <c r="C450" s="455"/>
      <c r="D450" s="441"/>
      <c r="E450" s="441"/>
      <c r="F450" s="441"/>
      <c r="G450" s="441"/>
      <c r="H450" s="441"/>
      <c r="I450" s="441"/>
      <c r="J450" s="441"/>
      <c r="K450" s="441"/>
      <c r="L450" s="441"/>
      <c r="M450" s="441"/>
    </row>
    <row r="451" spans="2:13" customFormat="1">
      <c r="B451" s="455"/>
      <c r="C451" s="455"/>
      <c r="D451" s="441"/>
      <c r="E451" s="441"/>
      <c r="F451" s="441"/>
      <c r="G451" s="441"/>
      <c r="H451" s="441"/>
      <c r="I451" s="441"/>
      <c r="J451" s="441"/>
      <c r="K451" s="441"/>
      <c r="L451" s="441"/>
      <c r="M451" s="441"/>
    </row>
    <row r="452" spans="2:13" customFormat="1">
      <c r="B452" s="455"/>
      <c r="C452" s="455"/>
      <c r="D452" s="441"/>
      <c r="E452" s="441"/>
      <c r="F452" s="441"/>
      <c r="G452" s="441"/>
      <c r="H452" s="441"/>
      <c r="I452" s="441"/>
      <c r="J452" s="441"/>
      <c r="K452" s="441"/>
      <c r="L452" s="441"/>
      <c r="M452" s="441"/>
    </row>
    <row r="453" spans="2:13" customFormat="1">
      <c r="B453" s="455"/>
      <c r="C453" s="455"/>
      <c r="D453" s="441"/>
      <c r="E453" s="441"/>
      <c r="F453" s="441"/>
      <c r="G453" s="441"/>
      <c r="H453" s="441"/>
      <c r="I453" s="441"/>
      <c r="J453" s="441"/>
      <c r="K453" s="441"/>
      <c r="L453" s="441"/>
      <c r="M453" s="441"/>
    </row>
    <row r="454" spans="2:13" customFormat="1">
      <c r="B454" s="455"/>
      <c r="C454" s="455"/>
      <c r="D454" s="441"/>
      <c r="E454" s="441"/>
      <c r="F454" s="441"/>
      <c r="G454" s="441"/>
      <c r="H454" s="441"/>
      <c r="I454" s="441"/>
      <c r="J454" s="441"/>
      <c r="K454" s="441"/>
      <c r="L454" s="441"/>
      <c r="M454" s="441"/>
    </row>
    <row r="455" spans="2:13" customFormat="1">
      <c r="B455" s="455"/>
      <c r="C455" s="455"/>
      <c r="D455" s="441"/>
      <c r="E455" s="441"/>
      <c r="F455" s="441"/>
      <c r="G455" s="441"/>
      <c r="H455" s="441"/>
      <c r="I455" s="441"/>
      <c r="J455" s="441"/>
      <c r="K455" s="441"/>
      <c r="L455" s="441"/>
      <c r="M455" s="441"/>
    </row>
    <row r="456" spans="2:13" customFormat="1">
      <c r="B456" s="455"/>
      <c r="C456" s="455"/>
      <c r="D456" s="441"/>
      <c r="E456" s="441"/>
      <c r="F456" s="441"/>
      <c r="G456" s="441"/>
      <c r="H456" s="441"/>
      <c r="I456" s="441"/>
      <c r="J456" s="441"/>
      <c r="K456" s="441"/>
      <c r="L456" s="441"/>
      <c r="M456" s="441"/>
    </row>
    <row r="457" spans="2:13" customFormat="1">
      <c r="B457" s="455"/>
      <c r="C457" s="455"/>
      <c r="D457" s="441"/>
      <c r="E457" s="441"/>
      <c r="F457" s="441"/>
      <c r="G457" s="441"/>
      <c r="H457" s="441"/>
      <c r="I457" s="441"/>
      <c r="J457" s="441"/>
      <c r="K457" s="441"/>
      <c r="L457" s="441"/>
      <c r="M457" s="441"/>
    </row>
    <row r="458" spans="2:13" customFormat="1">
      <c r="B458" s="455"/>
      <c r="C458" s="455"/>
      <c r="D458" s="441"/>
      <c r="E458" s="441"/>
      <c r="F458" s="441"/>
      <c r="G458" s="441"/>
      <c r="H458" s="441"/>
      <c r="I458" s="441"/>
      <c r="J458" s="441"/>
      <c r="K458" s="441"/>
      <c r="L458" s="441"/>
      <c r="M458" s="441"/>
    </row>
    <row r="459" spans="2:13" customFormat="1">
      <c r="B459" s="455"/>
      <c r="C459" s="455"/>
      <c r="D459" s="441"/>
      <c r="E459" s="441"/>
      <c r="F459" s="441"/>
      <c r="G459" s="441"/>
      <c r="H459" s="441"/>
      <c r="I459" s="441"/>
      <c r="J459" s="441"/>
      <c r="K459" s="441"/>
      <c r="L459" s="441"/>
      <c r="M459" s="441"/>
    </row>
    <row r="460" spans="2:13" customFormat="1">
      <c r="B460" s="455"/>
      <c r="C460" s="455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</row>
    <row r="461" spans="2:13" customFormat="1">
      <c r="B461" s="455"/>
      <c r="C461" s="455"/>
      <c r="D461" s="441"/>
      <c r="E461" s="441"/>
      <c r="F461" s="441"/>
      <c r="G461" s="441"/>
      <c r="H461" s="441"/>
      <c r="I461" s="441"/>
      <c r="J461" s="441"/>
      <c r="K461" s="441"/>
      <c r="L461" s="441"/>
      <c r="M461" s="441"/>
    </row>
    <row r="462" spans="2:13" customFormat="1">
      <c r="B462" s="455"/>
      <c r="C462" s="455"/>
      <c r="D462" s="441"/>
      <c r="E462" s="441"/>
      <c r="F462" s="441"/>
      <c r="G462" s="441"/>
      <c r="H462" s="441"/>
      <c r="I462" s="441"/>
      <c r="J462" s="441"/>
      <c r="K462" s="441"/>
      <c r="L462" s="441"/>
      <c r="M462" s="441"/>
    </row>
    <row r="463" spans="2:13" customFormat="1">
      <c r="B463" s="455"/>
      <c r="C463" s="455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</row>
    <row r="464" spans="2:13" customFormat="1">
      <c r="B464" s="455"/>
      <c r="C464" s="455"/>
      <c r="D464" s="441"/>
      <c r="E464" s="441"/>
      <c r="F464" s="441"/>
      <c r="G464" s="441"/>
      <c r="H464" s="441"/>
      <c r="I464" s="441"/>
      <c r="J464" s="441"/>
      <c r="K464" s="441"/>
      <c r="L464" s="441"/>
      <c r="M464" s="441"/>
    </row>
    <row r="465" spans="2:13" customFormat="1">
      <c r="B465" s="455"/>
      <c r="C465" s="455"/>
      <c r="D465" s="441"/>
      <c r="E465" s="441"/>
      <c r="F465" s="441"/>
      <c r="G465" s="441"/>
      <c r="H465" s="441"/>
      <c r="I465" s="441"/>
      <c r="J465" s="441"/>
      <c r="K465" s="441"/>
      <c r="L465" s="441"/>
      <c r="M465" s="441"/>
    </row>
    <row r="466" spans="2:13" customFormat="1">
      <c r="B466" s="455"/>
      <c r="C466" s="455"/>
      <c r="D466" s="441"/>
      <c r="E466" s="441"/>
      <c r="F466" s="441"/>
      <c r="G466" s="441"/>
      <c r="H466" s="441"/>
      <c r="I466" s="441"/>
      <c r="J466" s="441"/>
      <c r="K466" s="441"/>
      <c r="L466" s="441"/>
      <c r="M466" s="441"/>
    </row>
    <row r="467" spans="2:13" customFormat="1">
      <c r="B467" s="455"/>
      <c r="C467" s="455"/>
      <c r="D467" s="441"/>
      <c r="E467" s="441"/>
      <c r="F467" s="441"/>
      <c r="G467" s="441"/>
      <c r="H467" s="441"/>
      <c r="I467" s="441"/>
      <c r="J467" s="441"/>
      <c r="K467" s="441"/>
      <c r="L467" s="441"/>
      <c r="M467" s="441"/>
    </row>
    <row r="468" spans="2:13" customFormat="1">
      <c r="B468" s="455"/>
      <c r="C468" s="455"/>
      <c r="D468" s="441"/>
      <c r="E468" s="441"/>
      <c r="F468" s="441"/>
      <c r="G468" s="441"/>
      <c r="H468" s="441"/>
      <c r="I468" s="441"/>
      <c r="J468" s="441"/>
      <c r="K468" s="441"/>
      <c r="L468" s="441"/>
      <c r="M468" s="441"/>
    </row>
    <row r="469" spans="2:13" customFormat="1">
      <c r="B469" s="455"/>
      <c r="C469" s="455"/>
      <c r="D469" s="441"/>
      <c r="E469" s="441"/>
      <c r="F469" s="441"/>
      <c r="G469" s="441"/>
      <c r="H469" s="441"/>
      <c r="I469" s="441"/>
      <c r="J469" s="441"/>
      <c r="K469" s="441"/>
      <c r="L469" s="441"/>
      <c r="M469" s="441"/>
    </row>
    <row r="470" spans="2:13" customFormat="1">
      <c r="B470" s="455"/>
      <c r="C470" s="455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</row>
    <row r="471" spans="2:13" customFormat="1">
      <c r="B471" s="455"/>
      <c r="C471" s="455"/>
      <c r="D471" s="441"/>
      <c r="E471" s="441"/>
      <c r="F471" s="441"/>
      <c r="G471" s="441"/>
      <c r="H471" s="441"/>
      <c r="I471" s="441"/>
      <c r="J471" s="441"/>
      <c r="K471" s="441"/>
      <c r="L471" s="441"/>
      <c r="M471" s="441"/>
    </row>
    <row r="472" spans="2:13" customFormat="1">
      <c r="B472" s="455"/>
      <c r="C472" s="455"/>
      <c r="D472" s="441"/>
      <c r="E472" s="441"/>
      <c r="F472" s="441"/>
      <c r="G472" s="441"/>
      <c r="H472" s="441"/>
      <c r="I472" s="441"/>
      <c r="J472" s="441"/>
      <c r="K472" s="441"/>
      <c r="L472" s="441"/>
      <c r="M472" s="441"/>
    </row>
    <row r="473" spans="2:13" customFormat="1">
      <c r="B473" s="455"/>
      <c r="C473" s="455"/>
      <c r="D473" s="441"/>
      <c r="E473" s="441"/>
      <c r="F473" s="441"/>
      <c r="G473" s="441"/>
      <c r="H473" s="441"/>
      <c r="I473" s="441"/>
      <c r="J473" s="441"/>
      <c r="K473" s="441"/>
      <c r="L473" s="441"/>
      <c r="M473" s="441"/>
    </row>
    <row r="474" spans="2:13" customFormat="1">
      <c r="B474" s="455"/>
      <c r="C474" s="455"/>
      <c r="D474" s="441"/>
      <c r="E474" s="441"/>
      <c r="F474" s="441"/>
      <c r="G474" s="441"/>
      <c r="H474" s="441"/>
      <c r="I474" s="441"/>
      <c r="J474" s="441"/>
      <c r="K474" s="441"/>
      <c r="L474" s="441"/>
      <c r="M474" s="441"/>
    </row>
    <row r="475" spans="2:13" customFormat="1">
      <c r="B475" s="455"/>
      <c r="C475" s="455"/>
      <c r="D475" s="441"/>
      <c r="E475" s="441"/>
      <c r="F475" s="441"/>
      <c r="G475" s="441"/>
      <c r="H475" s="441"/>
      <c r="I475" s="441"/>
      <c r="J475" s="441"/>
      <c r="K475" s="441"/>
      <c r="L475" s="441"/>
      <c r="M475" s="441"/>
    </row>
    <row r="476" spans="2:13" customFormat="1">
      <c r="B476" s="455"/>
      <c r="C476" s="455"/>
      <c r="D476" s="441"/>
      <c r="E476" s="441"/>
      <c r="F476" s="441"/>
      <c r="G476" s="441"/>
      <c r="H476" s="441"/>
      <c r="I476" s="441"/>
      <c r="J476" s="441"/>
      <c r="K476" s="441"/>
      <c r="L476" s="441"/>
      <c r="M476" s="441"/>
    </row>
    <row r="477" spans="2:13" customFormat="1">
      <c r="B477" s="455"/>
      <c r="C477" s="455"/>
      <c r="D477" s="441"/>
      <c r="E477" s="441"/>
      <c r="F477" s="441"/>
      <c r="G477" s="441"/>
      <c r="H477" s="441"/>
      <c r="I477" s="441"/>
      <c r="J477" s="441"/>
      <c r="K477" s="441"/>
      <c r="L477" s="441"/>
      <c r="M477" s="441"/>
    </row>
    <row r="478" spans="2:13" customFormat="1">
      <c r="B478" s="455"/>
      <c r="C478" s="455"/>
      <c r="D478" s="441"/>
      <c r="E478" s="441"/>
      <c r="F478" s="441"/>
      <c r="G478" s="441"/>
      <c r="H478" s="441"/>
      <c r="I478" s="441"/>
      <c r="J478" s="441"/>
      <c r="K478" s="441"/>
      <c r="L478" s="441"/>
      <c r="M478" s="441"/>
    </row>
    <row r="479" spans="2:13" customFormat="1">
      <c r="B479" s="455"/>
      <c r="C479" s="455"/>
      <c r="D479" s="441"/>
      <c r="E479" s="441"/>
      <c r="F479" s="441"/>
      <c r="G479" s="441"/>
      <c r="H479" s="441"/>
      <c r="I479" s="441"/>
      <c r="J479" s="441"/>
      <c r="K479" s="441"/>
      <c r="L479" s="441"/>
      <c r="M479" s="441"/>
    </row>
    <row r="480" spans="2:13" customFormat="1">
      <c r="B480" s="455"/>
      <c r="C480" s="455"/>
      <c r="D480" s="441"/>
      <c r="E480" s="441"/>
      <c r="F480" s="441"/>
      <c r="G480" s="441"/>
      <c r="H480" s="441"/>
      <c r="I480" s="441"/>
      <c r="J480" s="441"/>
      <c r="K480" s="441"/>
      <c r="L480" s="441"/>
      <c r="M480" s="441"/>
    </row>
    <row r="481" spans="2:13" customFormat="1">
      <c r="B481" s="455"/>
      <c r="C481" s="455"/>
      <c r="D481" s="441"/>
      <c r="E481" s="441"/>
      <c r="F481" s="441"/>
      <c r="G481" s="441"/>
      <c r="H481" s="441"/>
      <c r="I481" s="441"/>
      <c r="J481" s="441"/>
      <c r="K481" s="441"/>
      <c r="L481" s="441"/>
      <c r="M481" s="441"/>
    </row>
    <row r="482" spans="2:13" customFormat="1">
      <c r="B482" s="455"/>
      <c r="C482" s="455"/>
      <c r="D482" s="441"/>
      <c r="E482" s="441"/>
      <c r="F482" s="441"/>
      <c r="G482" s="441"/>
      <c r="H482" s="441"/>
      <c r="I482" s="441"/>
      <c r="J482" s="441"/>
      <c r="K482" s="441"/>
      <c r="L482" s="441"/>
      <c r="M482" s="441"/>
    </row>
    <row r="483" spans="2:13" customFormat="1">
      <c r="B483" s="455"/>
      <c r="C483" s="455"/>
      <c r="D483" s="441"/>
      <c r="E483" s="441"/>
      <c r="F483" s="441"/>
      <c r="G483" s="441"/>
      <c r="H483" s="441"/>
      <c r="I483" s="441"/>
      <c r="J483" s="441"/>
      <c r="K483" s="441"/>
      <c r="L483" s="441"/>
      <c r="M483" s="441"/>
    </row>
    <row r="484" spans="2:13" customFormat="1">
      <c r="B484" s="455"/>
      <c r="C484" s="455"/>
      <c r="D484" s="441"/>
      <c r="E484" s="441"/>
      <c r="F484" s="441"/>
      <c r="G484" s="441"/>
      <c r="H484" s="441"/>
      <c r="I484" s="441"/>
      <c r="J484" s="441"/>
      <c r="K484" s="441"/>
      <c r="L484" s="441"/>
      <c r="M484" s="441"/>
    </row>
    <row r="485" spans="2:13" customFormat="1">
      <c r="B485" s="455"/>
      <c r="C485" s="455"/>
      <c r="D485" s="441"/>
      <c r="E485" s="441"/>
      <c r="F485" s="441"/>
      <c r="G485" s="441"/>
      <c r="H485" s="441"/>
      <c r="I485" s="441"/>
      <c r="J485" s="441"/>
      <c r="K485" s="441"/>
      <c r="L485" s="441"/>
      <c r="M485" s="441"/>
    </row>
    <row r="486" spans="2:13" customFormat="1">
      <c r="B486" s="455"/>
      <c r="C486" s="455"/>
      <c r="D486" s="441"/>
      <c r="E486" s="441"/>
      <c r="F486" s="441"/>
      <c r="G486" s="441"/>
      <c r="H486" s="441"/>
      <c r="I486" s="441"/>
      <c r="J486" s="441"/>
      <c r="K486" s="441"/>
      <c r="L486" s="441"/>
      <c r="M486" s="441"/>
    </row>
    <row r="487" spans="2:13" customFormat="1">
      <c r="B487" s="455"/>
      <c r="C487" s="455"/>
      <c r="D487" s="441"/>
      <c r="E487" s="441"/>
      <c r="F487" s="441"/>
      <c r="G487" s="441"/>
      <c r="H487" s="441"/>
      <c r="I487" s="441"/>
      <c r="J487" s="441"/>
      <c r="K487" s="441"/>
      <c r="L487" s="441"/>
      <c r="M487" s="441"/>
    </row>
    <row r="488" spans="2:13" customFormat="1">
      <c r="B488" s="455"/>
      <c r="C488" s="455"/>
      <c r="D488" s="441"/>
      <c r="E488" s="441"/>
      <c r="F488" s="441"/>
      <c r="G488" s="441"/>
      <c r="H488" s="441"/>
      <c r="I488" s="441"/>
      <c r="J488" s="441"/>
      <c r="K488" s="441"/>
      <c r="L488" s="441"/>
      <c r="M488" s="441"/>
    </row>
    <row r="489" spans="2:13" customFormat="1">
      <c r="B489" s="455"/>
      <c r="C489" s="455"/>
      <c r="D489" s="441"/>
      <c r="E489" s="441"/>
      <c r="F489" s="441"/>
      <c r="G489" s="441"/>
      <c r="H489" s="441"/>
      <c r="I489" s="441"/>
      <c r="J489" s="441"/>
      <c r="K489" s="441"/>
      <c r="L489" s="441"/>
      <c r="M489" s="441"/>
    </row>
    <row r="490" spans="2:13" customFormat="1">
      <c r="B490" s="455"/>
      <c r="C490" s="455"/>
      <c r="D490" s="441"/>
      <c r="E490" s="441"/>
      <c r="F490" s="441"/>
      <c r="G490" s="441"/>
      <c r="H490" s="441"/>
      <c r="I490" s="441"/>
      <c r="J490" s="441"/>
      <c r="K490" s="441"/>
      <c r="L490" s="441"/>
      <c r="M490" s="441"/>
    </row>
    <row r="491" spans="2:13" customFormat="1">
      <c r="B491" s="455"/>
      <c r="C491" s="455"/>
      <c r="D491" s="441"/>
      <c r="E491" s="441"/>
      <c r="F491" s="441"/>
      <c r="G491" s="441"/>
      <c r="H491" s="441"/>
      <c r="I491" s="441"/>
      <c r="J491" s="441"/>
      <c r="K491" s="441"/>
      <c r="L491" s="441"/>
      <c r="M491" s="441"/>
    </row>
    <row r="492" spans="2:13" customFormat="1">
      <c r="B492" s="455"/>
      <c r="C492" s="455"/>
      <c r="D492" s="441"/>
      <c r="E492" s="441"/>
      <c r="F492" s="441"/>
      <c r="G492" s="441"/>
      <c r="H492" s="441"/>
      <c r="I492" s="441"/>
      <c r="J492" s="441"/>
      <c r="K492" s="441"/>
      <c r="L492" s="441"/>
      <c r="M492" s="441"/>
    </row>
    <row r="493" spans="2:13" customFormat="1">
      <c r="B493" s="455"/>
      <c r="C493" s="455"/>
      <c r="D493" s="441"/>
      <c r="E493" s="441"/>
      <c r="F493" s="441"/>
      <c r="G493" s="441"/>
      <c r="H493" s="441"/>
      <c r="I493" s="441"/>
      <c r="J493" s="441"/>
      <c r="K493" s="441"/>
      <c r="L493" s="441"/>
      <c r="M493" s="441"/>
    </row>
    <row r="494" spans="2:13" customFormat="1">
      <c r="B494" s="455"/>
      <c r="C494" s="455"/>
      <c r="D494" s="441"/>
      <c r="E494" s="441"/>
      <c r="F494" s="441"/>
      <c r="G494" s="441"/>
      <c r="H494" s="441"/>
      <c r="I494" s="441"/>
      <c r="J494" s="441"/>
      <c r="K494" s="441"/>
      <c r="L494" s="441"/>
      <c r="M494" s="441"/>
    </row>
    <row r="495" spans="2:13" customFormat="1">
      <c r="B495" s="455"/>
      <c r="C495" s="455"/>
      <c r="D495" s="441"/>
      <c r="E495" s="441"/>
      <c r="F495" s="441"/>
      <c r="G495" s="441"/>
      <c r="H495" s="441"/>
      <c r="I495" s="441"/>
      <c r="J495" s="441"/>
      <c r="K495" s="441"/>
      <c r="L495" s="441"/>
      <c r="M495" s="441"/>
    </row>
    <row r="496" spans="2:13" customFormat="1">
      <c r="B496" s="455"/>
      <c r="C496" s="455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</row>
    <row r="497" spans="2:13" customFormat="1">
      <c r="B497" s="455"/>
      <c r="C497" s="455"/>
      <c r="D497" s="441"/>
      <c r="E497" s="441"/>
      <c r="F497" s="441"/>
      <c r="G497" s="441"/>
      <c r="H497" s="441"/>
      <c r="I497" s="441"/>
      <c r="J497" s="441"/>
      <c r="K497" s="441"/>
      <c r="L497" s="441"/>
      <c r="M497" s="441"/>
    </row>
    <row r="498" spans="2:13" customFormat="1">
      <c r="B498" s="455"/>
      <c r="C498" s="455"/>
      <c r="D498" s="441"/>
      <c r="E498" s="441"/>
      <c r="F498" s="441"/>
      <c r="G498" s="441"/>
      <c r="H498" s="441"/>
      <c r="I498" s="441"/>
      <c r="J498" s="441"/>
      <c r="K498" s="441"/>
      <c r="L498" s="441"/>
      <c r="M498" s="441"/>
    </row>
    <row r="499" spans="2:13" customFormat="1">
      <c r="B499" s="455"/>
      <c r="C499" s="455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</row>
    <row r="500" spans="2:13" customFormat="1">
      <c r="B500" s="455"/>
      <c r="C500" s="455"/>
      <c r="D500" s="441"/>
      <c r="E500" s="441"/>
      <c r="F500" s="441"/>
      <c r="G500" s="441"/>
      <c r="H500" s="441"/>
      <c r="I500" s="441"/>
      <c r="J500" s="441"/>
      <c r="K500" s="441"/>
      <c r="L500" s="441"/>
      <c r="M500" s="441"/>
    </row>
    <row r="501" spans="2:13" customFormat="1">
      <c r="B501" s="455"/>
      <c r="C501" s="455"/>
      <c r="D501" s="441"/>
      <c r="E501" s="441"/>
      <c r="F501" s="441"/>
      <c r="G501" s="441"/>
      <c r="H501" s="441"/>
      <c r="I501" s="441"/>
      <c r="J501" s="441"/>
      <c r="K501" s="441"/>
      <c r="L501" s="441"/>
      <c r="M501" s="441"/>
    </row>
    <row r="502" spans="2:13" customFormat="1">
      <c r="B502" s="455"/>
      <c r="C502" s="455"/>
      <c r="D502" s="441"/>
      <c r="E502" s="441"/>
      <c r="F502" s="441"/>
      <c r="G502" s="441"/>
      <c r="H502" s="441"/>
      <c r="I502" s="441"/>
      <c r="J502" s="441"/>
      <c r="K502" s="441"/>
      <c r="L502" s="441"/>
      <c r="M502" s="441"/>
    </row>
    <row r="503" spans="2:13" customFormat="1">
      <c r="B503" s="455"/>
      <c r="C503" s="455"/>
      <c r="D503" s="441"/>
      <c r="E503" s="441"/>
      <c r="F503" s="441"/>
      <c r="G503" s="441"/>
      <c r="H503" s="441"/>
      <c r="I503" s="441"/>
      <c r="J503" s="441"/>
      <c r="K503" s="441"/>
      <c r="L503" s="441"/>
      <c r="M503" s="441"/>
    </row>
    <row r="504" spans="2:13" customFormat="1">
      <c r="B504" s="455"/>
      <c r="C504" s="455"/>
      <c r="D504" s="441"/>
      <c r="E504" s="441"/>
      <c r="F504" s="441"/>
      <c r="G504" s="441"/>
      <c r="H504" s="441"/>
      <c r="I504" s="441"/>
      <c r="J504" s="441"/>
      <c r="K504" s="441"/>
      <c r="L504" s="441"/>
      <c r="M504" s="441"/>
    </row>
    <row r="505" spans="2:13" customFormat="1">
      <c r="B505" s="455"/>
      <c r="C505" s="455"/>
      <c r="D505" s="441"/>
      <c r="E505" s="441"/>
      <c r="F505" s="441"/>
      <c r="G505" s="441"/>
      <c r="H505" s="441"/>
      <c r="I505" s="441"/>
      <c r="J505" s="441"/>
      <c r="K505" s="441"/>
      <c r="L505" s="441"/>
      <c r="M505" s="441"/>
    </row>
    <row r="506" spans="2:13" customFormat="1">
      <c r="B506" s="455"/>
      <c r="C506" s="455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</row>
    <row r="507" spans="2:13" customFormat="1">
      <c r="B507" s="455"/>
      <c r="C507" s="455"/>
      <c r="D507" s="441"/>
      <c r="E507" s="441"/>
      <c r="F507" s="441"/>
      <c r="G507" s="441"/>
      <c r="H507" s="441"/>
      <c r="I507" s="441"/>
      <c r="J507" s="441"/>
      <c r="K507" s="441"/>
      <c r="L507" s="441"/>
      <c r="M507" s="441"/>
    </row>
    <row r="508" spans="2:13" customFormat="1">
      <c r="B508" s="455"/>
      <c r="C508" s="455"/>
      <c r="D508" s="441"/>
      <c r="E508" s="441"/>
      <c r="F508" s="441"/>
      <c r="G508" s="441"/>
      <c r="H508" s="441"/>
      <c r="I508" s="441"/>
      <c r="J508" s="441"/>
      <c r="K508" s="441"/>
      <c r="L508" s="441"/>
      <c r="M508" s="441"/>
    </row>
    <row r="509" spans="2:13" customFormat="1">
      <c r="B509" s="455"/>
      <c r="C509" s="455"/>
      <c r="D509" s="441"/>
      <c r="E509" s="441"/>
      <c r="F509" s="441"/>
      <c r="G509" s="441"/>
      <c r="H509" s="441"/>
      <c r="I509" s="441"/>
      <c r="J509" s="441"/>
      <c r="K509" s="441"/>
      <c r="L509" s="441"/>
      <c r="M509" s="441"/>
    </row>
    <row r="510" spans="2:13" customFormat="1">
      <c r="B510" s="455"/>
      <c r="C510" s="455"/>
      <c r="D510" s="441"/>
      <c r="E510" s="441"/>
      <c r="F510" s="441"/>
      <c r="G510" s="441"/>
      <c r="H510" s="441"/>
      <c r="I510" s="441"/>
      <c r="J510" s="441"/>
      <c r="K510" s="441"/>
      <c r="L510" s="441"/>
      <c r="M510" s="441"/>
    </row>
    <row r="511" spans="2:13" customFormat="1">
      <c r="B511" s="455"/>
      <c r="C511" s="455"/>
      <c r="D511" s="441"/>
      <c r="E511" s="441"/>
      <c r="F511" s="441"/>
      <c r="G511" s="441"/>
      <c r="H511" s="441"/>
      <c r="I511" s="441"/>
      <c r="J511" s="441"/>
      <c r="K511" s="441"/>
      <c r="L511" s="441"/>
      <c r="M511" s="441"/>
    </row>
    <row r="512" spans="2:13" customFormat="1">
      <c r="B512" s="455"/>
      <c r="C512" s="455"/>
      <c r="D512" s="441"/>
      <c r="E512" s="441"/>
      <c r="F512" s="441"/>
      <c r="G512" s="441"/>
      <c r="H512" s="441"/>
      <c r="I512" s="441"/>
      <c r="J512" s="441"/>
      <c r="K512" s="441"/>
      <c r="L512" s="441"/>
      <c r="M512" s="441"/>
    </row>
    <row r="513" spans="2:13" customFormat="1">
      <c r="B513" s="455"/>
      <c r="C513" s="455"/>
      <c r="D513" s="441"/>
      <c r="E513" s="441"/>
      <c r="F513" s="441"/>
      <c r="G513" s="441"/>
      <c r="H513" s="441"/>
      <c r="I513" s="441"/>
      <c r="J513" s="441"/>
      <c r="K513" s="441"/>
      <c r="L513" s="441"/>
      <c r="M513" s="441"/>
    </row>
    <row r="514" spans="2:13" customFormat="1">
      <c r="B514" s="455"/>
      <c r="C514" s="455"/>
      <c r="D514" s="441"/>
      <c r="E514" s="441"/>
      <c r="F514" s="441"/>
      <c r="G514" s="441"/>
      <c r="H514" s="441"/>
      <c r="I514" s="441"/>
      <c r="J514" s="441"/>
      <c r="K514" s="441"/>
      <c r="L514" s="441"/>
      <c r="M514" s="441"/>
    </row>
    <row r="515" spans="2:13" customFormat="1">
      <c r="B515" s="455"/>
      <c r="C515" s="455"/>
      <c r="D515" s="441"/>
      <c r="E515" s="441"/>
      <c r="F515" s="441"/>
      <c r="G515" s="441"/>
      <c r="H515" s="441"/>
      <c r="I515" s="441"/>
      <c r="J515" s="441"/>
      <c r="K515" s="441"/>
      <c r="L515" s="441"/>
      <c r="M515" s="441"/>
    </row>
    <row r="516" spans="2:13" customFormat="1">
      <c r="B516" s="455"/>
      <c r="C516" s="455"/>
      <c r="D516" s="441"/>
      <c r="E516" s="441"/>
      <c r="F516" s="441"/>
      <c r="G516" s="441"/>
      <c r="H516" s="441"/>
      <c r="I516" s="441"/>
      <c r="J516" s="441"/>
      <c r="K516" s="441"/>
      <c r="L516" s="441"/>
      <c r="M516" s="441"/>
    </row>
    <row r="517" spans="2:13" customFormat="1">
      <c r="B517" s="455"/>
      <c r="C517" s="455"/>
      <c r="D517" s="441"/>
      <c r="E517" s="441"/>
      <c r="F517" s="441"/>
      <c r="G517" s="441"/>
      <c r="H517" s="441"/>
      <c r="I517" s="441"/>
      <c r="J517" s="441"/>
      <c r="K517" s="441"/>
      <c r="L517" s="441"/>
      <c r="M517" s="441"/>
    </row>
    <row r="518" spans="2:13" customFormat="1">
      <c r="B518" s="455"/>
      <c r="C518" s="455"/>
      <c r="D518" s="441"/>
      <c r="E518" s="441"/>
      <c r="F518" s="441"/>
      <c r="G518" s="441"/>
      <c r="H518" s="441"/>
      <c r="I518" s="441"/>
      <c r="J518" s="441"/>
      <c r="K518" s="441"/>
      <c r="L518" s="441"/>
      <c r="M518" s="441"/>
    </row>
    <row r="519" spans="2:13" customFormat="1">
      <c r="B519" s="455"/>
      <c r="C519" s="455"/>
      <c r="D519" s="441"/>
      <c r="E519" s="441"/>
      <c r="F519" s="441"/>
      <c r="G519" s="441"/>
      <c r="H519" s="441"/>
      <c r="I519" s="441"/>
      <c r="J519" s="441"/>
      <c r="K519" s="441"/>
      <c r="L519" s="441"/>
      <c r="M519" s="441"/>
    </row>
    <row r="520" spans="2:13" customFormat="1">
      <c r="B520" s="455"/>
      <c r="C520" s="455"/>
      <c r="D520" s="441"/>
      <c r="E520" s="441"/>
      <c r="F520" s="441"/>
      <c r="G520" s="441"/>
      <c r="H520" s="441"/>
      <c r="I520" s="441"/>
      <c r="J520" s="441"/>
      <c r="K520" s="441"/>
      <c r="L520" s="441"/>
      <c r="M520" s="441"/>
    </row>
    <row r="521" spans="2:13" customFormat="1">
      <c r="B521" s="455"/>
      <c r="C521" s="455"/>
      <c r="D521" s="441"/>
      <c r="E521" s="441"/>
      <c r="F521" s="441"/>
      <c r="G521" s="441"/>
      <c r="H521" s="441"/>
      <c r="I521" s="441"/>
      <c r="J521" s="441"/>
      <c r="K521" s="441"/>
      <c r="L521" s="441"/>
      <c r="M521" s="441"/>
    </row>
    <row r="522" spans="2:13" customFormat="1">
      <c r="B522" s="455"/>
      <c r="C522" s="455"/>
      <c r="D522" s="441"/>
      <c r="E522" s="441"/>
      <c r="F522" s="441"/>
      <c r="G522" s="441"/>
      <c r="H522" s="441"/>
      <c r="I522" s="441"/>
      <c r="J522" s="441"/>
      <c r="K522" s="441"/>
      <c r="L522" s="441"/>
      <c r="M522" s="441"/>
    </row>
    <row r="523" spans="2:13" customFormat="1">
      <c r="B523" s="455"/>
      <c r="C523" s="455"/>
      <c r="D523" s="441"/>
      <c r="E523" s="441"/>
      <c r="F523" s="441"/>
      <c r="G523" s="441"/>
      <c r="H523" s="441"/>
      <c r="I523" s="441"/>
      <c r="J523" s="441"/>
      <c r="K523" s="441"/>
      <c r="L523" s="441"/>
      <c r="M523" s="441"/>
    </row>
    <row r="524" spans="2:13" customFormat="1">
      <c r="B524" s="455"/>
      <c r="C524" s="455"/>
      <c r="D524" s="441"/>
      <c r="E524" s="441"/>
      <c r="F524" s="441"/>
      <c r="G524" s="441"/>
      <c r="H524" s="441"/>
      <c r="I524" s="441"/>
      <c r="J524" s="441"/>
      <c r="K524" s="441"/>
      <c r="L524" s="441"/>
      <c r="M524" s="441"/>
    </row>
    <row r="525" spans="2:13" customFormat="1">
      <c r="B525" s="455"/>
      <c r="C525" s="455"/>
      <c r="D525" s="441"/>
      <c r="E525" s="441"/>
      <c r="F525" s="441"/>
      <c r="G525" s="441"/>
      <c r="H525" s="441"/>
      <c r="I525" s="441"/>
      <c r="J525" s="441"/>
      <c r="K525" s="441"/>
      <c r="L525" s="441"/>
      <c r="M525" s="441"/>
    </row>
    <row r="526" spans="2:13" customFormat="1">
      <c r="B526" s="455"/>
      <c r="C526" s="455"/>
      <c r="D526" s="441"/>
      <c r="E526" s="441"/>
      <c r="F526" s="441"/>
      <c r="G526" s="441"/>
      <c r="H526" s="441"/>
      <c r="I526" s="441"/>
      <c r="J526" s="441"/>
      <c r="K526" s="441"/>
      <c r="L526" s="441"/>
      <c r="M526" s="441"/>
    </row>
    <row r="527" spans="2:13" customFormat="1">
      <c r="B527" s="455"/>
      <c r="C527" s="455"/>
      <c r="D527" s="441"/>
      <c r="E527" s="441"/>
      <c r="F527" s="441"/>
      <c r="G527" s="441"/>
      <c r="H527" s="441"/>
      <c r="I527" s="441"/>
      <c r="J527" s="441"/>
      <c r="K527" s="441"/>
      <c r="L527" s="441"/>
      <c r="M527" s="441"/>
    </row>
    <row r="528" spans="2:13" customFormat="1">
      <c r="B528" s="455"/>
      <c r="C528" s="455"/>
      <c r="D528" s="441"/>
      <c r="E528" s="441"/>
      <c r="F528" s="441"/>
      <c r="G528" s="441"/>
      <c r="H528" s="441"/>
      <c r="I528" s="441"/>
      <c r="J528" s="441"/>
      <c r="K528" s="441"/>
      <c r="L528" s="441"/>
      <c r="M528" s="441"/>
    </row>
    <row r="529" spans="2:13" customFormat="1">
      <c r="B529" s="455"/>
      <c r="C529" s="455"/>
      <c r="D529" s="441"/>
      <c r="E529" s="441"/>
      <c r="F529" s="441"/>
      <c r="G529" s="441"/>
      <c r="H529" s="441"/>
      <c r="I529" s="441"/>
      <c r="J529" s="441"/>
      <c r="K529" s="441"/>
      <c r="L529" s="441"/>
      <c r="M529" s="441"/>
    </row>
    <row r="530" spans="2:13" customFormat="1">
      <c r="B530" s="455"/>
      <c r="C530" s="455"/>
      <c r="D530" s="441"/>
      <c r="E530" s="441"/>
      <c r="F530" s="441"/>
      <c r="G530" s="441"/>
      <c r="H530" s="441"/>
      <c r="I530" s="441"/>
      <c r="J530" s="441"/>
      <c r="K530" s="441"/>
      <c r="L530" s="441"/>
      <c r="M530" s="441"/>
    </row>
    <row r="531" spans="2:13" customFormat="1">
      <c r="B531" s="455"/>
      <c r="C531" s="455"/>
      <c r="D531" s="441"/>
      <c r="E531" s="441"/>
      <c r="F531" s="441"/>
      <c r="G531" s="441"/>
      <c r="H531" s="441"/>
      <c r="I531" s="441"/>
      <c r="J531" s="441"/>
      <c r="K531" s="441"/>
      <c r="L531" s="441"/>
      <c r="M531" s="441"/>
    </row>
    <row r="532" spans="2:13" customFormat="1">
      <c r="B532" s="455"/>
      <c r="C532" s="455"/>
      <c r="D532" s="441"/>
      <c r="E532" s="441"/>
      <c r="F532" s="441"/>
      <c r="G532" s="441"/>
      <c r="H532" s="441"/>
      <c r="I532" s="441"/>
      <c r="J532" s="441"/>
      <c r="K532" s="441"/>
      <c r="L532" s="441"/>
      <c r="M532" s="441"/>
    </row>
    <row r="533" spans="2:13" customFormat="1">
      <c r="B533" s="455"/>
      <c r="C533" s="455"/>
      <c r="D533" s="441"/>
      <c r="E533" s="441"/>
      <c r="F533" s="441"/>
      <c r="G533" s="441"/>
      <c r="H533" s="441"/>
      <c r="I533" s="441"/>
      <c r="J533" s="441"/>
      <c r="K533" s="441"/>
      <c r="L533" s="441"/>
      <c r="M533" s="441"/>
    </row>
    <row r="534" spans="2:13" customFormat="1">
      <c r="B534" s="455"/>
      <c r="C534" s="455"/>
      <c r="D534" s="441"/>
      <c r="E534" s="441"/>
      <c r="F534" s="441"/>
      <c r="G534" s="441"/>
      <c r="H534" s="441"/>
      <c r="I534" s="441"/>
      <c r="J534" s="441"/>
      <c r="K534" s="441"/>
      <c r="L534" s="441"/>
      <c r="M534" s="441"/>
    </row>
    <row r="535" spans="2:13" customFormat="1">
      <c r="B535" s="455"/>
      <c r="C535" s="455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</row>
    <row r="536" spans="2:13" customFormat="1">
      <c r="B536" s="455"/>
      <c r="C536" s="455"/>
      <c r="D536" s="441"/>
      <c r="E536" s="441"/>
      <c r="F536" s="441"/>
      <c r="G536" s="441"/>
      <c r="H536" s="441"/>
      <c r="I536" s="441"/>
      <c r="J536" s="441"/>
      <c r="K536" s="441"/>
      <c r="L536" s="441"/>
      <c r="M536" s="441"/>
    </row>
    <row r="537" spans="2:13" customFormat="1">
      <c r="B537" s="455"/>
      <c r="C537" s="455"/>
      <c r="D537" s="441"/>
      <c r="E537" s="441"/>
      <c r="F537" s="441"/>
      <c r="G537" s="441"/>
      <c r="H537" s="441"/>
      <c r="I537" s="441"/>
      <c r="J537" s="441"/>
      <c r="K537" s="441"/>
      <c r="L537" s="441"/>
      <c r="M537" s="441"/>
    </row>
    <row r="538" spans="2:13" customFormat="1">
      <c r="B538" s="455"/>
      <c r="C538" s="455"/>
      <c r="D538" s="441"/>
      <c r="E538" s="441"/>
      <c r="F538" s="441"/>
      <c r="G538" s="441"/>
      <c r="H538" s="441"/>
      <c r="I538" s="441"/>
      <c r="J538" s="441"/>
      <c r="K538" s="441"/>
      <c r="L538" s="441"/>
      <c r="M538" s="441"/>
    </row>
    <row r="539" spans="2:13" customFormat="1">
      <c r="B539" s="455"/>
      <c r="C539" s="455"/>
      <c r="D539" s="441"/>
      <c r="E539" s="441"/>
      <c r="F539" s="441"/>
      <c r="G539" s="441"/>
      <c r="H539" s="441"/>
      <c r="I539" s="441"/>
      <c r="J539" s="441"/>
      <c r="K539" s="441"/>
      <c r="L539" s="441"/>
      <c r="M539" s="441"/>
    </row>
    <row r="540" spans="2:13" customFormat="1">
      <c r="B540" s="455"/>
      <c r="C540" s="455"/>
      <c r="D540" s="441"/>
      <c r="E540" s="441"/>
      <c r="F540" s="441"/>
      <c r="G540" s="441"/>
      <c r="H540" s="441"/>
      <c r="I540" s="441"/>
      <c r="J540" s="441"/>
      <c r="K540" s="441"/>
      <c r="L540" s="441"/>
      <c r="M540" s="441"/>
    </row>
    <row r="541" spans="2:13" customFormat="1">
      <c r="B541" s="455"/>
      <c r="C541" s="455"/>
      <c r="D541" s="441"/>
      <c r="E541" s="441"/>
      <c r="F541" s="441"/>
      <c r="G541" s="441"/>
      <c r="H541" s="441"/>
      <c r="I541" s="441"/>
      <c r="J541" s="441"/>
      <c r="K541" s="441"/>
      <c r="L541" s="441"/>
      <c r="M541" s="441"/>
    </row>
    <row r="542" spans="2:13" customFormat="1">
      <c r="B542" s="455"/>
      <c r="C542" s="455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</row>
    <row r="543" spans="2:13" customFormat="1">
      <c r="B543" s="455"/>
      <c r="C543" s="455"/>
      <c r="D543" s="441"/>
      <c r="E543" s="441"/>
      <c r="F543" s="441"/>
      <c r="G543" s="441"/>
      <c r="H543" s="441"/>
      <c r="I543" s="441"/>
      <c r="J543" s="441"/>
      <c r="K543" s="441"/>
      <c r="L543" s="441"/>
      <c r="M543" s="441"/>
    </row>
    <row r="544" spans="2:13" customFormat="1">
      <c r="B544" s="455"/>
      <c r="C544" s="455"/>
      <c r="D544" s="441"/>
      <c r="E544" s="441"/>
      <c r="F544" s="441"/>
      <c r="G544" s="441"/>
      <c r="H544" s="441"/>
      <c r="I544" s="441"/>
      <c r="J544" s="441"/>
      <c r="K544" s="441"/>
      <c r="L544" s="441"/>
      <c r="M544" s="441"/>
    </row>
    <row r="545" spans="2:13" customFormat="1">
      <c r="B545" s="455"/>
      <c r="C545" s="455"/>
      <c r="D545" s="441"/>
      <c r="E545" s="441"/>
      <c r="F545" s="441"/>
      <c r="G545" s="441"/>
      <c r="H545" s="441"/>
      <c r="I545" s="441"/>
      <c r="J545" s="441"/>
      <c r="K545" s="441"/>
      <c r="L545" s="441"/>
      <c r="M545" s="441"/>
    </row>
    <row r="546" spans="2:13" customFormat="1">
      <c r="B546" s="455"/>
      <c r="C546" s="455"/>
      <c r="D546" s="441"/>
      <c r="E546" s="441"/>
      <c r="F546" s="441"/>
      <c r="G546" s="441"/>
      <c r="H546" s="441"/>
      <c r="I546" s="441"/>
      <c r="J546" s="441"/>
      <c r="K546" s="441"/>
      <c r="L546" s="441"/>
      <c r="M546" s="441"/>
    </row>
    <row r="547" spans="2:13" customFormat="1">
      <c r="B547" s="455"/>
      <c r="C547" s="455"/>
      <c r="D547" s="441"/>
      <c r="E547" s="441"/>
      <c r="F547" s="441"/>
      <c r="G547" s="441"/>
      <c r="H547" s="441"/>
      <c r="I547" s="441"/>
      <c r="J547" s="441"/>
      <c r="K547" s="441"/>
      <c r="L547" s="441"/>
      <c r="M547" s="441"/>
    </row>
    <row r="548" spans="2:13" customFormat="1">
      <c r="B548" s="455"/>
      <c r="C548" s="455"/>
      <c r="D548" s="441"/>
      <c r="E548" s="441"/>
      <c r="F548" s="441"/>
      <c r="G548" s="441"/>
      <c r="H548" s="441"/>
      <c r="I548" s="441"/>
      <c r="J548" s="441"/>
      <c r="K548" s="441"/>
      <c r="L548" s="441"/>
      <c r="M548" s="441"/>
    </row>
    <row r="549" spans="2:13" customFormat="1">
      <c r="B549" s="455"/>
      <c r="C549" s="455"/>
      <c r="D549" s="441"/>
      <c r="E549" s="441"/>
      <c r="F549" s="441"/>
      <c r="G549" s="441"/>
      <c r="H549" s="441"/>
      <c r="I549" s="441"/>
      <c r="J549" s="441"/>
      <c r="K549" s="441"/>
      <c r="L549" s="441"/>
      <c r="M549" s="441"/>
    </row>
    <row r="550" spans="2:13" customFormat="1">
      <c r="B550" s="455"/>
      <c r="C550" s="455"/>
      <c r="D550" s="441"/>
      <c r="E550" s="441"/>
      <c r="F550" s="441"/>
      <c r="G550" s="441"/>
      <c r="H550" s="441"/>
      <c r="I550" s="441"/>
      <c r="J550" s="441"/>
      <c r="K550" s="441"/>
      <c r="L550" s="441"/>
      <c r="M550" s="441"/>
    </row>
    <row r="551" spans="2:13" customFormat="1">
      <c r="B551" s="455"/>
      <c r="C551" s="455"/>
      <c r="D551" s="441"/>
      <c r="E551" s="441"/>
      <c r="F551" s="441"/>
      <c r="G551" s="441"/>
      <c r="H551" s="441"/>
      <c r="I551" s="441"/>
      <c r="J551" s="441"/>
      <c r="K551" s="441"/>
      <c r="L551" s="441"/>
      <c r="M551" s="441"/>
    </row>
    <row r="552" spans="2:13" customFormat="1">
      <c r="B552" s="455"/>
      <c r="C552" s="455"/>
      <c r="D552" s="441"/>
      <c r="E552" s="441"/>
      <c r="F552" s="441"/>
      <c r="G552" s="441"/>
      <c r="H552" s="441"/>
      <c r="I552" s="441"/>
      <c r="J552" s="441"/>
      <c r="K552" s="441"/>
      <c r="L552" s="441"/>
      <c r="M552" s="441"/>
    </row>
    <row r="553" spans="2:13" customFormat="1">
      <c r="B553" s="455"/>
      <c r="C553" s="455"/>
      <c r="D553" s="441"/>
      <c r="E553" s="441"/>
      <c r="F553" s="441"/>
      <c r="G553" s="441"/>
      <c r="H553" s="441"/>
      <c r="I553" s="441"/>
      <c r="J553" s="441"/>
      <c r="K553" s="441"/>
      <c r="L553" s="441"/>
      <c r="M553" s="441"/>
    </row>
    <row r="554" spans="2:13" customFormat="1">
      <c r="B554" s="455"/>
      <c r="C554" s="455"/>
      <c r="D554" s="441"/>
      <c r="E554" s="441"/>
      <c r="F554" s="441"/>
      <c r="G554" s="441"/>
      <c r="H554" s="441"/>
      <c r="I554" s="441"/>
      <c r="J554" s="441"/>
      <c r="K554" s="441"/>
      <c r="L554" s="441"/>
      <c r="M554" s="441"/>
    </row>
    <row r="555" spans="2:13" customFormat="1">
      <c r="B555" s="455"/>
      <c r="C555" s="455"/>
      <c r="D555" s="441"/>
      <c r="E555" s="441"/>
      <c r="F555" s="441"/>
      <c r="G555" s="441"/>
      <c r="H555" s="441"/>
      <c r="I555" s="441"/>
      <c r="J555" s="441"/>
      <c r="K555" s="441"/>
      <c r="L555" s="441"/>
      <c r="M555" s="441"/>
    </row>
    <row r="556" spans="2:13" customFormat="1">
      <c r="B556" s="455"/>
      <c r="C556" s="455"/>
      <c r="D556" s="441"/>
      <c r="E556" s="441"/>
      <c r="F556" s="441"/>
      <c r="G556" s="441"/>
      <c r="H556" s="441"/>
      <c r="I556" s="441"/>
      <c r="J556" s="441"/>
      <c r="K556" s="441"/>
      <c r="L556" s="441"/>
      <c r="M556" s="441"/>
    </row>
    <row r="557" spans="2:13" customFormat="1">
      <c r="B557" s="455"/>
      <c r="C557" s="455"/>
      <c r="D557" s="441"/>
      <c r="E557" s="441"/>
      <c r="F557" s="441"/>
      <c r="G557" s="441"/>
      <c r="H557" s="441"/>
      <c r="I557" s="441"/>
      <c r="J557" s="441"/>
      <c r="K557" s="441"/>
      <c r="L557" s="441"/>
      <c r="M557" s="441"/>
    </row>
    <row r="558" spans="2:13" customFormat="1">
      <c r="B558" s="455"/>
      <c r="C558" s="455"/>
      <c r="D558" s="441"/>
      <c r="E558" s="441"/>
      <c r="F558" s="441"/>
      <c r="G558" s="441"/>
      <c r="H558" s="441"/>
      <c r="I558" s="441"/>
      <c r="J558" s="441"/>
      <c r="K558" s="441"/>
      <c r="L558" s="441"/>
      <c r="M558" s="441"/>
    </row>
    <row r="559" spans="2:13" customFormat="1">
      <c r="B559" s="455"/>
      <c r="C559" s="455"/>
      <c r="D559" s="441"/>
      <c r="E559" s="441"/>
      <c r="F559" s="441"/>
      <c r="G559" s="441"/>
      <c r="H559" s="441"/>
      <c r="I559" s="441"/>
      <c r="J559" s="441"/>
      <c r="K559" s="441"/>
      <c r="L559" s="441"/>
      <c r="M559" s="441"/>
    </row>
    <row r="560" spans="2:13" customFormat="1">
      <c r="B560" s="455"/>
      <c r="C560" s="455"/>
      <c r="D560" s="441"/>
      <c r="E560" s="441"/>
      <c r="F560" s="441"/>
      <c r="G560" s="441"/>
      <c r="H560" s="441"/>
      <c r="I560" s="441"/>
      <c r="J560" s="441"/>
      <c r="K560" s="441"/>
      <c r="L560" s="441"/>
      <c r="M560" s="441"/>
    </row>
    <row r="561" spans="2:13" customFormat="1">
      <c r="B561" s="455"/>
      <c r="C561" s="455"/>
      <c r="D561" s="441"/>
      <c r="E561" s="441"/>
      <c r="F561" s="441"/>
      <c r="G561" s="441"/>
      <c r="H561" s="441"/>
      <c r="I561" s="441"/>
      <c r="J561" s="441"/>
      <c r="K561" s="441"/>
      <c r="L561" s="441"/>
      <c r="M561" s="441"/>
    </row>
    <row r="562" spans="2:13" customFormat="1">
      <c r="B562" s="455"/>
      <c r="C562" s="455"/>
      <c r="D562" s="441"/>
      <c r="E562" s="441"/>
      <c r="F562" s="441"/>
      <c r="G562" s="441"/>
      <c r="H562" s="441"/>
      <c r="I562" s="441"/>
      <c r="J562" s="441"/>
      <c r="K562" s="441"/>
      <c r="L562" s="441"/>
      <c r="M562" s="441"/>
    </row>
    <row r="563" spans="2:13" customFormat="1">
      <c r="B563" s="455"/>
      <c r="C563" s="455"/>
      <c r="D563" s="441"/>
      <c r="E563" s="441"/>
      <c r="F563" s="441"/>
      <c r="G563" s="441"/>
      <c r="H563" s="441"/>
      <c r="I563" s="441"/>
      <c r="J563" s="441"/>
      <c r="K563" s="441"/>
      <c r="L563" s="441"/>
      <c r="M563" s="441"/>
    </row>
    <row r="564" spans="2:13" customFormat="1">
      <c r="B564" s="455"/>
      <c r="C564" s="455"/>
      <c r="D564" s="441"/>
      <c r="E564" s="441"/>
      <c r="F564" s="441"/>
      <c r="G564" s="441"/>
      <c r="H564" s="441"/>
      <c r="I564" s="441"/>
      <c r="J564" s="441"/>
      <c r="K564" s="441"/>
      <c r="L564" s="441"/>
      <c r="M564" s="441"/>
    </row>
    <row r="565" spans="2:13" customFormat="1">
      <c r="B565" s="455"/>
      <c r="C565" s="455"/>
      <c r="D565" s="441"/>
      <c r="E565" s="441"/>
      <c r="F565" s="441"/>
      <c r="G565" s="441"/>
      <c r="H565" s="441"/>
      <c r="I565" s="441"/>
      <c r="J565" s="441"/>
      <c r="K565" s="441"/>
      <c r="L565" s="441"/>
      <c r="M565" s="441"/>
    </row>
    <row r="566" spans="2:13" customFormat="1">
      <c r="B566" s="455"/>
      <c r="C566" s="455"/>
      <c r="D566" s="441"/>
      <c r="E566" s="441"/>
      <c r="F566" s="441"/>
      <c r="G566" s="441"/>
      <c r="H566" s="441"/>
      <c r="I566" s="441"/>
      <c r="J566" s="441"/>
      <c r="K566" s="441"/>
      <c r="L566" s="441"/>
      <c r="M566" s="441"/>
    </row>
    <row r="567" spans="2:13" customFormat="1">
      <c r="B567" s="455"/>
      <c r="C567" s="455"/>
      <c r="D567" s="441"/>
      <c r="E567" s="441"/>
      <c r="F567" s="441"/>
      <c r="G567" s="441"/>
      <c r="H567" s="441"/>
      <c r="I567" s="441"/>
      <c r="J567" s="441"/>
      <c r="K567" s="441"/>
      <c r="L567" s="441"/>
      <c r="M567" s="441"/>
    </row>
    <row r="568" spans="2:13" customFormat="1">
      <c r="B568" s="455"/>
      <c r="C568" s="455"/>
      <c r="D568" s="441"/>
      <c r="E568" s="441"/>
      <c r="F568" s="441"/>
      <c r="G568" s="441"/>
      <c r="H568" s="441"/>
      <c r="I568" s="441"/>
      <c r="J568" s="441"/>
      <c r="K568" s="441"/>
      <c r="L568" s="441"/>
      <c r="M568" s="441"/>
    </row>
    <row r="569" spans="2:13" customFormat="1">
      <c r="B569" s="455"/>
      <c r="C569" s="455"/>
      <c r="D569" s="441"/>
      <c r="E569" s="441"/>
      <c r="F569" s="441"/>
      <c r="G569" s="441"/>
      <c r="H569" s="441"/>
      <c r="I569" s="441"/>
      <c r="J569" s="441"/>
      <c r="K569" s="441"/>
      <c r="L569" s="441"/>
      <c r="M569" s="441"/>
    </row>
    <row r="570" spans="2:13" customFormat="1">
      <c r="B570" s="455"/>
      <c r="C570" s="455"/>
      <c r="D570" s="441"/>
      <c r="E570" s="441"/>
      <c r="F570" s="441"/>
      <c r="G570" s="441"/>
      <c r="H570" s="441"/>
      <c r="I570" s="441"/>
      <c r="J570" s="441"/>
      <c r="K570" s="441"/>
      <c r="L570" s="441"/>
      <c r="M570" s="441"/>
    </row>
    <row r="571" spans="2:13" customFormat="1">
      <c r="B571" s="455"/>
      <c r="C571" s="455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</row>
    <row r="572" spans="2:13" customFormat="1">
      <c r="B572" s="455"/>
      <c r="C572" s="455"/>
      <c r="D572" s="441"/>
      <c r="E572" s="441"/>
      <c r="F572" s="441"/>
      <c r="G572" s="441"/>
      <c r="H572" s="441"/>
      <c r="I572" s="441"/>
      <c r="J572" s="441"/>
      <c r="K572" s="441"/>
      <c r="L572" s="441"/>
      <c r="M572" s="441"/>
    </row>
    <row r="573" spans="2:13" customFormat="1">
      <c r="B573" s="455"/>
      <c r="C573" s="455"/>
      <c r="D573" s="441"/>
      <c r="E573" s="441"/>
      <c r="F573" s="441"/>
      <c r="G573" s="441"/>
      <c r="H573" s="441"/>
      <c r="I573" s="441"/>
      <c r="J573" s="441"/>
      <c r="K573" s="441"/>
      <c r="L573" s="441"/>
      <c r="M573" s="441"/>
    </row>
    <row r="574" spans="2:13" customFormat="1">
      <c r="B574" s="455"/>
      <c r="C574" s="455"/>
      <c r="D574" s="441"/>
      <c r="E574" s="441"/>
      <c r="F574" s="441"/>
      <c r="G574" s="441"/>
      <c r="H574" s="441"/>
      <c r="I574" s="441"/>
      <c r="J574" s="441"/>
      <c r="K574" s="441"/>
      <c r="L574" s="441"/>
      <c r="M574" s="441"/>
    </row>
    <row r="575" spans="2:13" customFormat="1">
      <c r="B575" s="455"/>
      <c r="C575" s="455"/>
      <c r="D575" s="441"/>
      <c r="E575" s="441"/>
      <c r="F575" s="441"/>
      <c r="G575" s="441"/>
      <c r="H575" s="441"/>
      <c r="I575" s="441"/>
      <c r="J575" s="441"/>
      <c r="K575" s="441"/>
      <c r="L575" s="441"/>
      <c r="M575" s="441"/>
    </row>
    <row r="576" spans="2:13" customFormat="1">
      <c r="B576" s="455"/>
      <c r="C576" s="455"/>
      <c r="D576" s="441"/>
      <c r="E576" s="441"/>
      <c r="F576" s="441"/>
      <c r="G576" s="441"/>
      <c r="H576" s="441"/>
      <c r="I576" s="441"/>
      <c r="J576" s="441"/>
      <c r="K576" s="441"/>
      <c r="L576" s="441"/>
      <c r="M576" s="441"/>
    </row>
    <row r="577" spans="2:13" customFormat="1">
      <c r="B577" s="455"/>
      <c r="C577" s="455"/>
      <c r="D577" s="441"/>
      <c r="E577" s="441"/>
      <c r="F577" s="441"/>
      <c r="G577" s="441"/>
      <c r="H577" s="441"/>
      <c r="I577" s="441"/>
      <c r="J577" s="441"/>
      <c r="K577" s="441"/>
      <c r="L577" s="441"/>
      <c r="M577" s="441"/>
    </row>
    <row r="578" spans="2:13" customFormat="1">
      <c r="B578" s="455"/>
      <c r="C578" s="455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</row>
    <row r="579" spans="2:13" customFormat="1">
      <c r="B579" s="455"/>
      <c r="C579" s="455"/>
      <c r="D579" s="441"/>
      <c r="E579" s="441"/>
      <c r="F579" s="441"/>
      <c r="G579" s="441"/>
      <c r="H579" s="441"/>
      <c r="I579" s="441"/>
      <c r="J579" s="441"/>
      <c r="K579" s="441"/>
      <c r="L579" s="441"/>
      <c r="M579" s="441"/>
    </row>
    <row r="580" spans="2:13" customFormat="1">
      <c r="B580" s="455"/>
      <c r="C580" s="455"/>
      <c r="D580" s="441"/>
      <c r="E580" s="441"/>
      <c r="F580" s="441"/>
      <c r="G580" s="441"/>
      <c r="H580" s="441"/>
      <c r="I580" s="441"/>
      <c r="J580" s="441"/>
      <c r="K580" s="441"/>
      <c r="L580" s="441"/>
      <c r="M580" s="441"/>
    </row>
    <row r="581" spans="2:13" customFormat="1">
      <c r="B581" s="455"/>
      <c r="C581" s="455"/>
      <c r="D581" s="441"/>
      <c r="E581" s="441"/>
      <c r="F581" s="441"/>
      <c r="G581" s="441"/>
      <c r="H581" s="441"/>
      <c r="I581" s="441"/>
      <c r="J581" s="441"/>
      <c r="K581" s="441"/>
      <c r="L581" s="441"/>
      <c r="M581" s="441"/>
    </row>
    <row r="582" spans="2:13" customFormat="1">
      <c r="B582" s="455"/>
      <c r="C582" s="455"/>
      <c r="D582" s="441"/>
      <c r="E582" s="441"/>
      <c r="F582" s="441"/>
      <c r="G582" s="441"/>
      <c r="H582" s="441"/>
      <c r="I582" s="441"/>
      <c r="J582" s="441"/>
      <c r="K582" s="441"/>
      <c r="L582" s="441"/>
      <c r="M582" s="441"/>
    </row>
    <row r="583" spans="2:13" customFormat="1">
      <c r="B583" s="455"/>
      <c r="C583" s="455"/>
      <c r="D583" s="441"/>
      <c r="E583" s="441"/>
      <c r="F583" s="441"/>
      <c r="G583" s="441"/>
      <c r="H583" s="441"/>
      <c r="I583" s="441"/>
      <c r="J583" s="441"/>
      <c r="K583" s="441"/>
      <c r="L583" s="441"/>
      <c r="M583" s="441"/>
    </row>
    <row r="584" spans="2:13" customFormat="1">
      <c r="B584" s="455"/>
      <c r="C584" s="455"/>
      <c r="D584" s="441"/>
      <c r="E584" s="441"/>
      <c r="F584" s="441"/>
      <c r="G584" s="441"/>
      <c r="H584" s="441"/>
      <c r="I584" s="441"/>
      <c r="J584" s="441"/>
      <c r="K584" s="441"/>
      <c r="L584" s="441"/>
      <c r="M584" s="441"/>
    </row>
    <row r="585" spans="2:13" customFormat="1">
      <c r="B585" s="455"/>
      <c r="C585" s="455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</row>
    <row r="586" spans="2:13" customFormat="1">
      <c r="B586" s="455"/>
      <c r="C586" s="455"/>
      <c r="D586" s="441"/>
      <c r="E586" s="441"/>
      <c r="F586" s="441"/>
      <c r="G586" s="441"/>
      <c r="H586" s="441"/>
      <c r="I586" s="441"/>
      <c r="J586" s="441"/>
      <c r="K586" s="441"/>
      <c r="L586" s="441"/>
      <c r="M586" s="441"/>
    </row>
    <row r="587" spans="2:13" customFormat="1">
      <c r="B587" s="455"/>
      <c r="C587" s="455"/>
      <c r="D587" s="441"/>
      <c r="E587" s="441"/>
      <c r="F587" s="441"/>
      <c r="G587" s="441"/>
      <c r="H587" s="441"/>
      <c r="I587" s="441"/>
      <c r="J587" s="441"/>
      <c r="K587" s="441"/>
      <c r="L587" s="441"/>
      <c r="M587" s="441"/>
    </row>
    <row r="588" spans="2:13" customFormat="1">
      <c r="B588" s="455"/>
      <c r="C588" s="455"/>
      <c r="D588" s="441"/>
      <c r="E588" s="441"/>
      <c r="F588" s="441"/>
      <c r="G588" s="441"/>
      <c r="H588" s="441"/>
      <c r="I588" s="441"/>
      <c r="J588" s="441"/>
      <c r="K588" s="441"/>
      <c r="L588" s="441"/>
      <c r="M588" s="441"/>
    </row>
    <row r="589" spans="2:13" customFormat="1">
      <c r="B589" s="455"/>
      <c r="C589" s="455"/>
      <c r="D589" s="441"/>
      <c r="E589" s="441"/>
      <c r="F589" s="441"/>
      <c r="G589" s="441"/>
      <c r="H589" s="441"/>
      <c r="I589" s="441"/>
      <c r="J589" s="441"/>
      <c r="K589" s="441"/>
      <c r="L589" s="441"/>
      <c r="M589" s="441"/>
    </row>
    <row r="590" spans="2:13" customFormat="1">
      <c r="B590" s="455"/>
      <c r="C590" s="455"/>
      <c r="D590" s="441"/>
      <c r="E590" s="441"/>
      <c r="F590" s="441"/>
      <c r="G590" s="441"/>
      <c r="H590" s="441"/>
      <c r="I590" s="441"/>
      <c r="J590" s="441"/>
      <c r="K590" s="441"/>
      <c r="L590" s="441"/>
      <c r="M590" s="441"/>
    </row>
    <row r="591" spans="2:13" customFormat="1">
      <c r="B591" s="455"/>
      <c r="C591" s="455"/>
      <c r="D591" s="441"/>
      <c r="E591" s="441"/>
      <c r="F591" s="441"/>
      <c r="G591" s="441"/>
      <c r="H591" s="441"/>
      <c r="I591" s="441"/>
      <c r="J591" s="441"/>
      <c r="K591" s="441"/>
      <c r="L591" s="441"/>
      <c r="M591" s="441"/>
    </row>
    <row r="592" spans="2:13" customFormat="1">
      <c r="B592" s="455"/>
      <c r="C592" s="455"/>
      <c r="D592" s="441"/>
      <c r="E592" s="441"/>
      <c r="F592" s="441"/>
      <c r="G592" s="441"/>
      <c r="H592" s="441"/>
      <c r="I592" s="441"/>
      <c r="J592" s="441"/>
      <c r="K592" s="441"/>
      <c r="L592" s="441"/>
      <c r="M592" s="441"/>
    </row>
    <row r="593" spans="2:13" customFormat="1">
      <c r="B593" s="455"/>
      <c r="C593" s="455"/>
      <c r="D593" s="441"/>
      <c r="E593" s="441"/>
      <c r="F593" s="441"/>
      <c r="G593" s="441"/>
      <c r="H593" s="441"/>
      <c r="I593" s="441"/>
      <c r="J593" s="441"/>
      <c r="K593" s="441"/>
      <c r="L593" s="441"/>
      <c r="M593" s="441"/>
    </row>
    <row r="594" spans="2:13" customFormat="1">
      <c r="B594" s="455"/>
      <c r="C594" s="455"/>
      <c r="D594" s="441"/>
      <c r="E594" s="441"/>
      <c r="F594" s="441"/>
      <c r="G594" s="441"/>
      <c r="H594" s="441"/>
      <c r="I594" s="441"/>
      <c r="J594" s="441"/>
      <c r="K594" s="441"/>
      <c r="L594" s="441"/>
      <c r="M594" s="441"/>
    </row>
    <row r="595" spans="2:13" customFormat="1">
      <c r="B595" s="455"/>
      <c r="C595" s="455"/>
      <c r="D595" s="441"/>
      <c r="E595" s="441"/>
      <c r="F595" s="441"/>
      <c r="G595" s="441"/>
      <c r="H595" s="441"/>
      <c r="I595" s="441"/>
      <c r="J595" s="441"/>
      <c r="K595" s="441"/>
      <c r="L595" s="441"/>
      <c r="M595" s="441"/>
    </row>
    <row r="596" spans="2:13" customFormat="1">
      <c r="B596" s="455"/>
      <c r="C596" s="455"/>
      <c r="D596" s="441"/>
      <c r="E596" s="441"/>
      <c r="F596" s="441"/>
      <c r="G596" s="441"/>
      <c r="H596" s="441"/>
      <c r="I596" s="441"/>
      <c r="J596" s="441"/>
      <c r="K596" s="441"/>
      <c r="L596" s="441"/>
      <c r="M596" s="441"/>
    </row>
    <row r="597" spans="2:13" customFormat="1">
      <c r="B597" s="455"/>
      <c r="C597" s="455"/>
      <c r="D597" s="441"/>
      <c r="E597" s="441"/>
      <c r="F597" s="441"/>
      <c r="G597" s="441"/>
      <c r="H597" s="441"/>
      <c r="I597" s="441"/>
      <c r="J597" s="441"/>
      <c r="K597" s="441"/>
      <c r="L597" s="441"/>
      <c r="M597" s="441"/>
    </row>
    <row r="598" spans="2:13" customFormat="1">
      <c r="B598" s="455"/>
      <c r="C598" s="455"/>
      <c r="D598" s="441"/>
      <c r="E598" s="441"/>
      <c r="F598" s="441"/>
      <c r="G598" s="441"/>
      <c r="H598" s="441"/>
      <c r="I598" s="441"/>
      <c r="J598" s="441"/>
      <c r="K598" s="441"/>
      <c r="L598" s="441"/>
      <c r="M598" s="441"/>
    </row>
    <row r="599" spans="2:13" customFormat="1">
      <c r="B599" s="455"/>
      <c r="C599" s="455"/>
      <c r="D599" s="441"/>
      <c r="E599" s="441"/>
      <c r="F599" s="441"/>
      <c r="G599" s="441"/>
      <c r="H599" s="441"/>
      <c r="I599" s="441"/>
      <c r="J599" s="441"/>
      <c r="K599" s="441"/>
      <c r="L599" s="441"/>
      <c r="M599" s="441"/>
    </row>
    <row r="600" spans="2:13" customFormat="1">
      <c r="B600" s="455"/>
      <c r="C600" s="455"/>
      <c r="D600" s="441"/>
      <c r="E600" s="441"/>
      <c r="F600" s="441"/>
      <c r="G600" s="441"/>
      <c r="H600" s="441"/>
      <c r="I600" s="441"/>
      <c r="J600" s="441"/>
      <c r="K600" s="441"/>
      <c r="L600" s="441"/>
      <c r="M600" s="441"/>
    </row>
    <row r="601" spans="2:13" customFormat="1">
      <c r="B601" s="455"/>
      <c r="C601" s="455"/>
      <c r="D601" s="441"/>
      <c r="E601" s="441"/>
      <c r="F601" s="441"/>
      <c r="G601" s="441"/>
      <c r="H601" s="441"/>
      <c r="I601" s="441"/>
      <c r="J601" s="441"/>
      <c r="K601" s="441"/>
      <c r="L601" s="441"/>
      <c r="M601" s="441"/>
    </row>
    <row r="602" spans="2:13" customFormat="1">
      <c r="B602" s="455"/>
      <c r="C602" s="455"/>
      <c r="D602" s="441"/>
      <c r="E602" s="441"/>
      <c r="F602" s="441"/>
      <c r="G602" s="441"/>
      <c r="H602" s="441"/>
      <c r="I602" s="441"/>
      <c r="J602" s="441"/>
      <c r="K602" s="441"/>
      <c r="L602" s="441"/>
      <c r="M602" s="441"/>
    </row>
    <row r="603" spans="2:13" customFormat="1">
      <c r="B603" s="455"/>
      <c r="C603" s="455"/>
      <c r="D603" s="441"/>
      <c r="E603" s="441"/>
      <c r="F603" s="441"/>
      <c r="G603" s="441"/>
      <c r="H603" s="441"/>
      <c r="I603" s="441"/>
      <c r="J603" s="441"/>
      <c r="K603" s="441"/>
      <c r="L603" s="441"/>
      <c r="M603" s="441"/>
    </row>
    <row r="604" spans="2:13" customFormat="1">
      <c r="B604" s="455"/>
      <c r="C604" s="455"/>
      <c r="D604" s="441"/>
      <c r="E604" s="441"/>
      <c r="F604" s="441"/>
      <c r="G604" s="441"/>
      <c r="H604" s="441"/>
      <c r="I604" s="441"/>
      <c r="J604" s="441"/>
      <c r="K604" s="441"/>
      <c r="L604" s="441"/>
      <c r="M604" s="441"/>
    </row>
    <row r="605" spans="2:13" customFormat="1">
      <c r="B605" s="455"/>
      <c r="C605" s="455"/>
      <c r="D605" s="441"/>
      <c r="E605" s="441"/>
      <c r="F605" s="441"/>
      <c r="G605" s="441"/>
      <c r="H605" s="441"/>
      <c r="I605" s="441"/>
      <c r="J605" s="441"/>
      <c r="K605" s="441"/>
      <c r="L605" s="441"/>
      <c r="M605" s="441"/>
    </row>
    <row r="606" spans="2:13" customFormat="1">
      <c r="B606" s="455"/>
      <c r="C606" s="455"/>
      <c r="D606" s="441"/>
      <c r="E606" s="441"/>
      <c r="F606" s="441"/>
      <c r="G606" s="441"/>
      <c r="H606" s="441"/>
      <c r="I606" s="441"/>
      <c r="J606" s="441"/>
      <c r="K606" s="441"/>
      <c r="L606" s="441"/>
      <c r="M606" s="441"/>
    </row>
    <row r="607" spans="2:13" customFormat="1">
      <c r="B607" s="455"/>
      <c r="C607" s="455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</row>
    <row r="608" spans="2:13" customFormat="1">
      <c r="B608" s="455"/>
      <c r="C608" s="455"/>
      <c r="D608" s="441"/>
      <c r="E608" s="441"/>
      <c r="F608" s="441"/>
      <c r="G608" s="441"/>
      <c r="H608" s="441"/>
      <c r="I608" s="441"/>
      <c r="J608" s="441"/>
      <c r="K608" s="441"/>
      <c r="L608" s="441"/>
      <c r="M608" s="441"/>
    </row>
    <row r="609" spans="2:13" customFormat="1">
      <c r="B609" s="455"/>
      <c r="C609" s="455"/>
      <c r="D609" s="441"/>
      <c r="E609" s="441"/>
      <c r="F609" s="441"/>
      <c r="G609" s="441"/>
      <c r="H609" s="441"/>
      <c r="I609" s="441"/>
      <c r="J609" s="441"/>
      <c r="K609" s="441"/>
      <c r="L609" s="441"/>
      <c r="M609" s="441"/>
    </row>
    <row r="610" spans="2:13" customFormat="1">
      <c r="B610" s="455"/>
      <c r="C610" s="455"/>
      <c r="D610" s="441"/>
      <c r="E610" s="441"/>
      <c r="F610" s="441"/>
      <c r="G610" s="441"/>
      <c r="H610" s="441"/>
      <c r="I610" s="441"/>
      <c r="J610" s="441"/>
      <c r="K610" s="441"/>
      <c r="L610" s="441"/>
      <c r="M610" s="441"/>
    </row>
    <row r="611" spans="2:13" customFormat="1">
      <c r="B611" s="455"/>
      <c r="C611" s="455"/>
      <c r="D611" s="441"/>
      <c r="E611" s="441"/>
      <c r="F611" s="441"/>
      <c r="G611" s="441"/>
      <c r="H611" s="441"/>
      <c r="I611" s="441"/>
      <c r="J611" s="441"/>
      <c r="K611" s="441"/>
      <c r="L611" s="441"/>
      <c r="M611" s="441"/>
    </row>
    <row r="612" spans="2:13" customFormat="1">
      <c r="B612" s="455"/>
      <c r="C612" s="455"/>
      <c r="D612" s="441"/>
      <c r="E612" s="441"/>
      <c r="F612" s="441"/>
      <c r="G612" s="441"/>
      <c r="H612" s="441"/>
      <c r="I612" s="441"/>
      <c r="J612" s="441"/>
      <c r="K612" s="441"/>
      <c r="L612" s="441"/>
      <c r="M612" s="441"/>
    </row>
    <row r="613" spans="2:13" customFormat="1">
      <c r="B613" s="455"/>
      <c r="C613" s="455"/>
      <c r="D613" s="441"/>
      <c r="E613" s="441"/>
      <c r="F613" s="441"/>
      <c r="G613" s="441"/>
      <c r="H613" s="441"/>
      <c r="I613" s="441"/>
      <c r="J613" s="441"/>
      <c r="K613" s="441"/>
      <c r="L613" s="441"/>
      <c r="M613" s="441"/>
    </row>
    <row r="614" spans="2:13" customFormat="1">
      <c r="B614" s="455"/>
      <c r="C614" s="455"/>
      <c r="D614" s="441"/>
      <c r="E614" s="441"/>
      <c r="F614" s="441"/>
      <c r="G614" s="441"/>
      <c r="H614" s="441"/>
      <c r="I614" s="441"/>
      <c r="J614" s="441"/>
      <c r="K614" s="441"/>
      <c r="L614" s="441"/>
      <c r="M614" s="441"/>
    </row>
    <row r="615" spans="2:13" customFormat="1">
      <c r="B615" s="455"/>
      <c r="C615" s="455"/>
      <c r="D615" s="441"/>
      <c r="E615" s="441"/>
      <c r="F615" s="441"/>
      <c r="G615" s="441"/>
      <c r="H615" s="441"/>
      <c r="I615" s="441"/>
      <c r="J615" s="441"/>
      <c r="K615" s="441"/>
      <c r="L615" s="441"/>
      <c r="M615" s="441"/>
    </row>
    <row r="616" spans="2:13" customFormat="1">
      <c r="B616" s="455"/>
      <c r="C616" s="455"/>
      <c r="D616" s="441"/>
      <c r="E616" s="441"/>
      <c r="F616" s="441"/>
      <c r="G616" s="441"/>
      <c r="H616" s="441"/>
      <c r="I616" s="441"/>
      <c r="J616" s="441"/>
      <c r="K616" s="441"/>
      <c r="L616" s="441"/>
      <c r="M616" s="441"/>
    </row>
    <row r="617" spans="2:13" customFormat="1">
      <c r="B617" s="455"/>
      <c r="C617" s="455"/>
      <c r="D617" s="441"/>
      <c r="E617" s="441"/>
      <c r="F617" s="441"/>
      <c r="G617" s="441"/>
      <c r="H617" s="441"/>
      <c r="I617" s="441"/>
      <c r="J617" s="441"/>
      <c r="K617" s="441"/>
      <c r="L617" s="441"/>
      <c r="M617" s="441"/>
    </row>
    <row r="618" spans="2:13" customFormat="1">
      <c r="B618" s="455"/>
      <c r="C618" s="455"/>
      <c r="D618" s="441"/>
      <c r="E618" s="441"/>
      <c r="F618" s="441"/>
      <c r="G618" s="441"/>
      <c r="H618" s="441"/>
      <c r="I618" s="441"/>
      <c r="J618" s="441"/>
      <c r="K618" s="441"/>
      <c r="L618" s="441"/>
      <c r="M618" s="441"/>
    </row>
    <row r="619" spans="2:13" customFormat="1">
      <c r="B619" s="455"/>
      <c r="C619" s="455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</row>
    <row r="620" spans="2:13" customFormat="1">
      <c r="B620" s="455"/>
      <c r="C620" s="455"/>
      <c r="D620" s="441"/>
      <c r="E620" s="441"/>
      <c r="F620" s="441"/>
      <c r="G620" s="441"/>
      <c r="H620" s="441"/>
      <c r="I620" s="441"/>
      <c r="J620" s="441"/>
      <c r="K620" s="441"/>
      <c r="L620" s="441"/>
      <c r="M620" s="441"/>
    </row>
    <row r="621" spans="2:13" customFormat="1">
      <c r="B621" s="455"/>
      <c r="C621" s="455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</row>
    <row r="622" spans="2:13" customFormat="1">
      <c r="B622" s="455"/>
      <c r="C622" s="455"/>
      <c r="D622" s="441"/>
      <c r="E622" s="441"/>
      <c r="F622" s="441"/>
      <c r="G622" s="441"/>
      <c r="H622" s="441"/>
      <c r="I622" s="441"/>
      <c r="J622" s="441"/>
      <c r="K622" s="441"/>
      <c r="L622" s="441"/>
      <c r="M622" s="441"/>
    </row>
    <row r="623" spans="2:13" customFormat="1">
      <c r="B623" s="455"/>
      <c r="C623" s="455"/>
      <c r="D623" s="441"/>
      <c r="E623" s="441"/>
      <c r="F623" s="441"/>
      <c r="G623" s="441"/>
      <c r="H623" s="441"/>
      <c r="I623" s="441"/>
      <c r="J623" s="441"/>
      <c r="K623" s="441"/>
      <c r="L623" s="441"/>
      <c r="M623" s="441"/>
    </row>
    <row r="624" spans="2:13" customFormat="1">
      <c r="B624" s="455"/>
      <c r="C624" s="455"/>
      <c r="D624" s="441"/>
      <c r="E624" s="441"/>
      <c r="F624" s="441"/>
      <c r="G624" s="441"/>
      <c r="H624" s="441"/>
      <c r="I624" s="441"/>
      <c r="J624" s="441"/>
      <c r="K624" s="441"/>
      <c r="L624" s="441"/>
      <c r="M624" s="441"/>
    </row>
    <row r="625" spans="2:13" customFormat="1">
      <c r="B625" s="455"/>
      <c r="C625" s="455"/>
      <c r="D625" s="441"/>
      <c r="E625" s="441"/>
      <c r="F625" s="441"/>
      <c r="G625" s="441"/>
      <c r="H625" s="441"/>
      <c r="I625" s="441"/>
      <c r="J625" s="441"/>
      <c r="K625" s="441"/>
      <c r="L625" s="441"/>
      <c r="M625" s="441"/>
    </row>
    <row r="626" spans="2:13" customFormat="1">
      <c r="B626" s="455"/>
      <c r="C626" s="455"/>
      <c r="D626" s="441"/>
      <c r="E626" s="441"/>
      <c r="F626" s="441"/>
      <c r="G626" s="441"/>
      <c r="H626" s="441"/>
      <c r="I626" s="441"/>
      <c r="J626" s="441"/>
      <c r="K626" s="441"/>
      <c r="L626" s="441"/>
      <c r="M626" s="441"/>
    </row>
    <row r="627" spans="2:13" customFormat="1">
      <c r="B627" s="455"/>
      <c r="C627" s="455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</row>
    <row r="628" spans="2:13" customFormat="1">
      <c r="B628" s="455"/>
      <c r="C628" s="455"/>
      <c r="D628" s="441"/>
      <c r="E628" s="441"/>
      <c r="F628" s="441"/>
      <c r="G628" s="441"/>
      <c r="H628" s="441"/>
      <c r="I628" s="441"/>
      <c r="J628" s="441"/>
      <c r="K628" s="441"/>
      <c r="L628" s="441"/>
      <c r="M628" s="441"/>
    </row>
    <row r="629" spans="2:13" customFormat="1">
      <c r="B629" s="455"/>
      <c r="C629" s="455"/>
      <c r="D629" s="441"/>
      <c r="E629" s="441"/>
      <c r="F629" s="441"/>
      <c r="G629" s="441"/>
      <c r="H629" s="441"/>
      <c r="I629" s="441"/>
      <c r="J629" s="441"/>
      <c r="K629" s="441"/>
      <c r="L629" s="441"/>
      <c r="M629" s="441"/>
    </row>
    <row r="630" spans="2:13" customFormat="1">
      <c r="B630" s="455"/>
      <c r="C630" s="455"/>
      <c r="D630" s="441"/>
      <c r="E630" s="441"/>
      <c r="F630" s="441"/>
      <c r="G630" s="441"/>
      <c r="H630" s="441"/>
      <c r="I630" s="441"/>
      <c r="J630" s="441"/>
      <c r="K630" s="441"/>
      <c r="L630" s="441"/>
      <c r="M630" s="441"/>
    </row>
    <row r="631" spans="2:13" customFormat="1">
      <c r="B631" s="455"/>
      <c r="C631" s="455"/>
      <c r="D631" s="441"/>
      <c r="E631" s="441"/>
      <c r="F631" s="441"/>
      <c r="G631" s="441"/>
      <c r="H631" s="441"/>
      <c r="I631" s="441"/>
      <c r="J631" s="441"/>
      <c r="K631" s="441"/>
      <c r="L631" s="441"/>
      <c r="M631" s="441"/>
    </row>
    <row r="632" spans="2:13" customFormat="1">
      <c r="B632" s="455"/>
      <c r="C632" s="455"/>
      <c r="D632" s="441"/>
      <c r="E632" s="441"/>
      <c r="F632" s="441"/>
      <c r="G632" s="441"/>
      <c r="H632" s="441"/>
      <c r="I632" s="441"/>
      <c r="J632" s="441"/>
      <c r="K632" s="441"/>
      <c r="L632" s="441"/>
      <c r="M632" s="441"/>
    </row>
    <row r="633" spans="2:13" customFormat="1">
      <c r="B633" s="455"/>
      <c r="C633" s="455"/>
      <c r="D633" s="441"/>
      <c r="E633" s="441"/>
      <c r="F633" s="441"/>
      <c r="G633" s="441"/>
      <c r="H633" s="441"/>
      <c r="I633" s="441"/>
      <c r="J633" s="441"/>
      <c r="K633" s="441"/>
      <c r="L633" s="441"/>
      <c r="M633" s="441"/>
    </row>
    <row r="634" spans="2:13" customFormat="1">
      <c r="B634" s="455"/>
      <c r="C634" s="455"/>
      <c r="D634" s="441"/>
      <c r="E634" s="441"/>
      <c r="F634" s="441"/>
      <c r="G634" s="441"/>
      <c r="H634" s="441"/>
      <c r="I634" s="441"/>
      <c r="J634" s="441"/>
      <c r="K634" s="441"/>
      <c r="L634" s="441"/>
      <c r="M634" s="441"/>
    </row>
    <row r="635" spans="2:13" customFormat="1">
      <c r="B635" s="455"/>
      <c r="C635" s="455"/>
      <c r="D635" s="441"/>
      <c r="E635" s="441"/>
      <c r="F635" s="441"/>
      <c r="G635" s="441"/>
      <c r="H635" s="441"/>
      <c r="I635" s="441"/>
      <c r="J635" s="441"/>
      <c r="K635" s="441"/>
      <c r="L635" s="441"/>
      <c r="M635" s="441"/>
    </row>
    <row r="636" spans="2:13" customFormat="1">
      <c r="B636" s="455"/>
      <c r="C636" s="455"/>
      <c r="D636" s="441"/>
      <c r="E636" s="441"/>
      <c r="F636" s="441"/>
      <c r="G636" s="441"/>
      <c r="H636" s="441"/>
      <c r="I636" s="441"/>
      <c r="J636" s="441"/>
      <c r="K636" s="441"/>
      <c r="L636" s="441"/>
      <c r="M636" s="441"/>
    </row>
    <row r="637" spans="2:13" customFormat="1">
      <c r="B637" s="455"/>
      <c r="C637" s="455"/>
      <c r="D637" s="441"/>
      <c r="E637" s="441"/>
      <c r="F637" s="441"/>
      <c r="G637" s="441"/>
      <c r="H637" s="441"/>
      <c r="I637" s="441"/>
      <c r="J637" s="441"/>
      <c r="K637" s="441"/>
      <c r="L637" s="441"/>
      <c r="M637" s="441"/>
    </row>
    <row r="638" spans="2:13" customFormat="1">
      <c r="B638" s="455"/>
      <c r="C638" s="455"/>
      <c r="D638" s="441"/>
      <c r="E638" s="441"/>
      <c r="F638" s="441"/>
      <c r="G638" s="441"/>
      <c r="H638" s="441"/>
      <c r="I638" s="441"/>
      <c r="J638" s="441"/>
      <c r="K638" s="441"/>
      <c r="L638" s="441"/>
      <c r="M638" s="441"/>
    </row>
    <row r="639" spans="2:13" customFormat="1">
      <c r="B639" s="455"/>
      <c r="C639" s="455"/>
      <c r="D639" s="441"/>
      <c r="E639" s="441"/>
      <c r="F639" s="441"/>
      <c r="G639" s="441"/>
      <c r="H639" s="441"/>
      <c r="I639" s="441"/>
      <c r="J639" s="441"/>
      <c r="K639" s="441"/>
      <c r="L639" s="441"/>
      <c r="M639" s="441"/>
    </row>
    <row r="640" spans="2:13" customFormat="1">
      <c r="B640" s="455"/>
      <c r="C640" s="455"/>
      <c r="D640" s="441"/>
      <c r="E640" s="441"/>
      <c r="F640" s="441"/>
      <c r="G640" s="441"/>
      <c r="H640" s="441"/>
      <c r="I640" s="441"/>
      <c r="J640" s="441"/>
      <c r="K640" s="441"/>
      <c r="L640" s="441"/>
      <c r="M640" s="441"/>
    </row>
    <row r="641" spans="2:13" customFormat="1">
      <c r="B641" s="455"/>
      <c r="C641" s="455"/>
      <c r="D641" s="441"/>
      <c r="E641" s="441"/>
      <c r="F641" s="441"/>
      <c r="G641" s="441"/>
      <c r="H641" s="441"/>
      <c r="I641" s="441"/>
      <c r="J641" s="441"/>
      <c r="K641" s="441"/>
      <c r="L641" s="441"/>
      <c r="M641" s="441"/>
    </row>
    <row r="642" spans="2:13" customFormat="1">
      <c r="B642" s="455"/>
      <c r="C642" s="455"/>
      <c r="D642" s="441"/>
      <c r="E642" s="441"/>
      <c r="F642" s="441"/>
      <c r="G642" s="441"/>
      <c r="H642" s="441"/>
      <c r="I642" s="441"/>
      <c r="J642" s="441"/>
      <c r="K642" s="441"/>
      <c r="L642" s="441"/>
      <c r="M642" s="441"/>
    </row>
    <row r="643" spans="2:13" customFormat="1">
      <c r="B643" s="455"/>
      <c r="C643" s="455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</row>
    <row r="644" spans="2:13" customFormat="1">
      <c r="B644" s="455"/>
      <c r="C644" s="455"/>
      <c r="D644" s="441"/>
      <c r="E644" s="441"/>
      <c r="F644" s="441"/>
      <c r="G644" s="441"/>
      <c r="H644" s="441"/>
      <c r="I644" s="441"/>
      <c r="J644" s="441"/>
      <c r="K644" s="441"/>
      <c r="L644" s="441"/>
      <c r="M644" s="441"/>
    </row>
    <row r="645" spans="2:13" customFormat="1">
      <c r="B645" s="455"/>
      <c r="C645" s="455"/>
      <c r="D645" s="441"/>
      <c r="E645" s="441"/>
      <c r="F645" s="441"/>
      <c r="G645" s="441"/>
      <c r="H645" s="441"/>
      <c r="I645" s="441"/>
      <c r="J645" s="441"/>
      <c r="K645" s="441"/>
      <c r="L645" s="441"/>
      <c r="M645" s="441"/>
    </row>
    <row r="646" spans="2:13" customFormat="1">
      <c r="B646" s="455"/>
      <c r="C646" s="455"/>
      <c r="D646" s="441"/>
      <c r="E646" s="441"/>
      <c r="F646" s="441"/>
      <c r="G646" s="441"/>
      <c r="H646" s="441"/>
      <c r="I646" s="441"/>
      <c r="J646" s="441"/>
      <c r="K646" s="441"/>
      <c r="L646" s="441"/>
      <c r="M646" s="441"/>
    </row>
    <row r="647" spans="2:13" customFormat="1">
      <c r="B647" s="455"/>
      <c r="C647" s="455"/>
      <c r="D647" s="441"/>
      <c r="E647" s="441"/>
      <c r="F647" s="441"/>
      <c r="G647" s="441"/>
      <c r="H647" s="441"/>
      <c r="I647" s="441"/>
      <c r="J647" s="441"/>
      <c r="K647" s="441"/>
      <c r="L647" s="441"/>
      <c r="M647" s="441"/>
    </row>
    <row r="648" spans="2:13" customFormat="1">
      <c r="B648" s="455"/>
      <c r="C648" s="455"/>
      <c r="D648" s="441"/>
      <c r="E648" s="441"/>
      <c r="F648" s="441"/>
      <c r="G648" s="441"/>
      <c r="H648" s="441"/>
      <c r="I648" s="441"/>
      <c r="J648" s="441"/>
      <c r="K648" s="441"/>
      <c r="L648" s="441"/>
      <c r="M648" s="441"/>
    </row>
    <row r="649" spans="2:13" customFormat="1">
      <c r="B649" s="455"/>
      <c r="C649" s="455"/>
      <c r="D649" s="441"/>
      <c r="E649" s="441"/>
      <c r="F649" s="441"/>
      <c r="G649" s="441"/>
      <c r="H649" s="441"/>
      <c r="I649" s="441"/>
      <c r="J649" s="441"/>
      <c r="K649" s="441"/>
      <c r="L649" s="441"/>
      <c r="M649" s="441"/>
    </row>
    <row r="650" spans="2:13" customFormat="1">
      <c r="B650" s="455"/>
      <c r="C650" s="455"/>
      <c r="D650" s="441"/>
      <c r="E650" s="441"/>
      <c r="F650" s="441"/>
      <c r="G650" s="441"/>
      <c r="H650" s="441"/>
      <c r="I650" s="441"/>
      <c r="J650" s="441"/>
      <c r="K650" s="441"/>
      <c r="L650" s="441"/>
      <c r="M650" s="441"/>
    </row>
    <row r="651" spans="2:13" customFormat="1">
      <c r="B651" s="455"/>
      <c r="C651" s="455"/>
      <c r="D651" s="441"/>
      <c r="E651" s="441"/>
      <c r="F651" s="441"/>
      <c r="G651" s="441"/>
      <c r="H651" s="441"/>
      <c r="I651" s="441"/>
      <c r="J651" s="441"/>
      <c r="K651" s="441"/>
      <c r="L651" s="441"/>
      <c r="M651" s="441"/>
    </row>
    <row r="652" spans="2:13" customFormat="1">
      <c r="B652" s="455"/>
      <c r="C652" s="455"/>
      <c r="D652" s="441"/>
      <c r="E652" s="441"/>
      <c r="F652" s="441"/>
      <c r="G652" s="441"/>
      <c r="H652" s="441"/>
      <c r="I652" s="441"/>
      <c r="J652" s="441"/>
      <c r="K652" s="441"/>
      <c r="L652" s="441"/>
      <c r="M652" s="441"/>
    </row>
    <row r="653" spans="2:13" customFormat="1">
      <c r="B653" s="455"/>
      <c r="C653" s="455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</row>
    <row r="654" spans="2:13" customFormat="1">
      <c r="B654" s="455"/>
      <c r="C654" s="455"/>
      <c r="D654" s="441"/>
      <c r="E654" s="441"/>
      <c r="F654" s="441"/>
      <c r="G654" s="441"/>
      <c r="H654" s="441"/>
      <c r="I654" s="441"/>
      <c r="J654" s="441"/>
      <c r="K654" s="441"/>
      <c r="L654" s="441"/>
      <c r="M654" s="441"/>
    </row>
    <row r="655" spans="2:13" customFormat="1">
      <c r="B655" s="455"/>
      <c r="C655" s="455"/>
      <c r="D655" s="441"/>
      <c r="E655" s="441"/>
      <c r="F655" s="441"/>
      <c r="G655" s="441"/>
      <c r="H655" s="441"/>
      <c r="I655" s="441"/>
      <c r="J655" s="441"/>
      <c r="K655" s="441"/>
      <c r="L655" s="441"/>
      <c r="M655" s="441"/>
    </row>
    <row r="656" spans="2:13" customFormat="1">
      <c r="B656" s="455"/>
      <c r="C656" s="455"/>
      <c r="D656" s="441"/>
      <c r="E656" s="441"/>
      <c r="F656" s="441"/>
      <c r="G656" s="441"/>
      <c r="H656" s="441"/>
      <c r="I656" s="441"/>
      <c r="J656" s="441"/>
      <c r="K656" s="441"/>
      <c r="L656" s="441"/>
      <c r="M656" s="441"/>
    </row>
    <row r="657" spans="2:13" customFormat="1">
      <c r="B657" s="455"/>
      <c r="C657" s="455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</row>
    <row r="658" spans="2:13" customFormat="1">
      <c r="B658" s="455"/>
      <c r="C658" s="455"/>
      <c r="D658" s="441"/>
      <c r="E658" s="441"/>
      <c r="F658" s="441"/>
      <c r="G658" s="441"/>
      <c r="H658" s="441"/>
      <c r="I658" s="441"/>
      <c r="J658" s="441"/>
      <c r="K658" s="441"/>
      <c r="L658" s="441"/>
      <c r="M658" s="441"/>
    </row>
    <row r="659" spans="2:13" customFormat="1">
      <c r="B659" s="455"/>
      <c r="C659" s="455"/>
      <c r="D659" s="441"/>
      <c r="E659" s="441"/>
      <c r="F659" s="441"/>
      <c r="G659" s="441"/>
      <c r="H659" s="441"/>
      <c r="I659" s="441"/>
      <c r="J659" s="441"/>
      <c r="K659" s="441"/>
      <c r="L659" s="441"/>
      <c r="M659" s="441"/>
    </row>
    <row r="660" spans="2:13" customFormat="1">
      <c r="B660" s="455"/>
      <c r="C660" s="455"/>
      <c r="D660" s="441"/>
      <c r="E660" s="441"/>
      <c r="F660" s="441"/>
      <c r="G660" s="441"/>
      <c r="H660" s="441"/>
      <c r="I660" s="441"/>
      <c r="J660" s="441"/>
      <c r="K660" s="441"/>
      <c r="L660" s="441"/>
      <c r="M660" s="441"/>
    </row>
    <row r="661" spans="2:13" customFormat="1">
      <c r="B661" s="455"/>
      <c r="C661" s="455"/>
      <c r="D661" s="441"/>
      <c r="E661" s="441"/>
      <c r="F661" s="441"/>
      <c r="G661" s="441"/>
      <c r="H661" s="441"/>
      <c r="I661" s="441"/>
      <c r="J661" s="441"/>
      <c r="K661" s="441"/>
      <c r="L661" s="441"/>
      <c r="M661" s="441"/>
    </row>
    <row r="662" spans="2:13" customFormat="1">
      <c r="B662" s="455"/>
      <c r="C662" s="455"/>
      <c r="D662" s="441"/>
      <c r="E662" s="441"/>
      <c r="F662" s="441"/>
      <c r="G662" s="441"/>
      <c r="H662" s="441"/>
      <c r="I662" s="441"/>
      <c r="J662" s="441"/>
      <c r="K662" s="441"/>
      <c r="L662" s="441"/>
      <c r="M662" s="441"/>
    </row>
    <row r="663" spans="2:13" customFormat="1">
      <c r="B663" s="455"/>
      <c r="C663" s="455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</row>
    <row r="664" spans="2:13" customFormat="1">
      <c r="B664" s="455"/>
      <c r="C664" s="455"/>
      <c r="D664" s="441"/>
      <c r="E664" s="441"/>
      <c r="F664" s="441"/>
      <c r="G664" s="441"/>
      <c r="H664" s="441"/>
      <c r="I664" s="441"/>
      <c r="J664" s="441"/>
      <c r="K664" s="441"/>
      <c r="L664" s="441"/>
      <c r="M664" s="441"/>
    </row>
    <row r="665" spans="2:13" customFormat="1">
      <c r="B665" s="455"/>
      <c r="C665" s="455"/>
      <c r="D665" s="441"/>
      <c r="E665" s="441"/>
      <c r="F665" s="441"/>
      <c r="G665" s="441"/>
      <c r="H665" s="441"/>
      <c r="I665" s="441"/>
      <c r="J665" s="441"/>
      <c r="K665" s="441"/>
      <c r="L665" s="441"/>
      <c r="M665" s="441"/>
    </row>
    <row r="666" spans="2:13" customFormat="1">
      <c r="B666" s="455"/>
      <c r="C666" s="455"/>
      <c r="D666" s="441"/>
      <c r="E666" s="441"/>
      <c r="F666" s="441"/>
      <c r="G666" s="441"/>
      <c r="H666" s="441"/>
      <c r="I666" s="441"/>
      <c r="J666" s="441"/>
      <c r="K666" s="441"/>
      <c r="L666" s="441"/>
      <c r="M666" s="441"/>
    </row>
    <row r="667" spans="2:13" customFormat="1">
      <c r="B667" s="455"/>
      <c r="C667" s="455"/>
      <c r="D667" s="441"/>
      <c r="E667" s="441"/>
      <c r="F667" s="441"/>
      <c r="G667" s="441"/>
      <c r="H667" s="441"/>
      <c r="I667" s="441"/>
      <c r="J667" s="441"/>
      <c r="K667" s="441"/>
      <c r="L667" s="441"/>
      <c r="M667" s="441"/>
    </row>
    <row r="668" spans="2:13" customFormat="1">
      <c r="B668" s="455"/>
      <c r="C668" s="455"/>
      <c r="D668" s="441"/>
      <c r="E668" s="441"/>
      <c r="F668" s="441"/>
      <c r="G668" s="441"/>
      <c r="H668" s="441"/>
      <c r="I668" s="441"/>
      <c r="J668" s="441"/>
      <c r="K668" s="441"/>
      <c r="L668" s="441"/>
      <c r="M668" s="441"/>
    </row>
    <row r="669" spans="2:13" customFormat="1">
      <c r="B669" s="455"/>
      <c r="C669" s="455"/>
      <c r="D669" s="441"/>
      <c r="E669" s="441"/>
      <c r="F669" s="441"/>
      <c r="G669" s="441"/>
      <c r="H669" s="441"/>
      <c r="I669" s="441"/>
      <c r="J669" s="441"/>
      <c r="K669" s="441"/>
      <c r="L669" s="441"/>
      <c r="M669" s="441"/>
    </row>
    <row r="670" spans="2:13" customFormat="1">
      <c r="B670" s="455"/>
      <c r="C670" s="455"/>
      <c r="D670" s="441"/>
      <c r="E670" s="441"/>
      <c r="F670" s="441"/>
      <c r="G670" s="441"/>
      <c r="H670" s="441"/>
      <c r="I670" s="441"/>
      <c r="J670" s="441"/>
      <c r="K670" s="441"/>
      <c r="L670" s="441"/>
      <c r="M670" s="441"/>
    </row>
    <row r="671" spans="2:13" customFormat="1">
      <c r="B671" s="455"/>
      <c r="C671" s="455"/>
      <c r="D671" s="441"/>
      <c r="E671" s="441"/>
      <c r="F671" s="441"/>
      <c r="G671" s="441"/>
      <c r="H671" s="441"/>
      <c r="I671" s="441"/>
      <c r="J671" s="441"/>
      <c r="K671" s="441"/>
      <c r="L671" s="441"/>
      <c r="M671" s="441"/>
    </row>
    <row r="672" spans="2:13" customFormat="1">
      <c r="B672" s="455"/>
      <c r="C672" s="455"/>
      <c r="D672" s="441"/>
      <c r="E672" s="441"/>
      <c r="F672" s="441"/>
      <c r="G672" s="441"/>
      <c r="H672" s="441"/>
      <c r="I672" s="441"/>
      <c r="J672" s="441"/>
      <c r="K672" s="441"/>
      <c r="L672" s="441"/>
      <c r="M672" s="441"/>
    </row>
    <row r="673" spans="2:13" customFormat="1">
      <c r="B673" s="455"/>
      <c r="C673" s="455"/>
      <c r="D673" s="441"/>
      <c r="E673" s="441"/>
      <c r="F673" s="441"/>
      <c r="G673" s="441"/>
      <c r="H673" s="441"/>
      <c r="I673" s="441"/>
      <c r="J673" s="441"/>
      <c r="K673" s="441"/>
      <c r="L673" s="441"/>
      <c r="M673" s="441"/>
    </row>
    <row r="674" spans="2:13" customFormat="1">
      <c r="B674" s="455"/>
      <c r="C674" s="455"/>
      <c r="D674" s="441"/>
      <c r="E674" s="441"/>
      <c r="F674" s="441"/>
      <c r="G674" s="441"/>
      <c r="H674" s="441"/>
      <c r="I674" s="441"/>
      <c r="J674" s="441"/>
      <c r="K674" s="441"/>
      <c r="L674" s="441"/>
      <c r="M674" s="441"/>
    </row>
    <row r="675" spans="2:13" customFormat="1">
      <c r="B675" s="455"/>
      <c r="C675" s="455"/>
      <c r="D675" s="441"/>
      <c r="E675" s="441"/>
      <c r="F675" s="441"/>
      <c r="G675" s="441"/>
      <c r="H675" s="441"/>
      <c r="I675" s="441"/>
      <c r="J675" s="441"/>
      <c r="K675" s="441"/>
      <c r="L675" s="441"/>
      <c r="M675" s="441"/>
    </row>
    <row r="676" spans="2:13" customFormat="1">
      <c r="B676" s="455"/>
      <c r="C676" s="455"/>
      <c r="D676" s="441"/>
      <c r="E676" s="441"/>
      <c r="F676" s="441"/>
      <c r="G676" s="441"/>
      <c r="H676" s="441"/>
      <c r="I676" s="441"/>
      <c r="J676" s="441"/>
      <c r="K676" s="441"/>
      <c r="L676" s="441"/>
      <c r="M676" s="441"/>
    </row>
    <row r="677" spans="2:13" customFormat="1">
      <c r="B677" s="455"/>
      <c r="C677" s="455"/>
      <c r="D677" s="441"/>
      <c r="E677" s="441"/>
      <c r="F677" s="441"/>
      <c r="G677" s="441"/>
      <c r="H677" s="441"/>
      <c r="I677" s="441"/>
      <c r="J677" s="441"/>
      <c r="K677" s="441"/>
      <c r="L677" s="441"/>
      <c r="M677" s="441"/>
    </row>
    <row r="678" spans="2:13" customFormat="1">
      <c r="B678" s="455"/>
      <c r="C678" s="455"/>
      <c r="D678" s="441"/>
      <c r="E678" s="441"/>
      <c r="F678" s="441"/>
      <c r="G678" s="441"/>
      <c r="H678" s="441"/>
      <c r="I678" s="441"/>
      <c r="J678" s="441"/>
      <c r="K678" s="441"/>
      <c r="L678" s="441"/>
      <c r="M678" s="441"/>
    </row>
    <row r="679" spans="2:13" customFormat="1">
      <c r="B679" s="455"/>
      <c r="C679" s="455"/>
      <c r="D679" s="441"/>
      <c r="E679" s="441"/>
      <c r="F679" s="441"/>
      <c r="G679" s="441"/>
      <c r="H679" s="441"/>
      <c r="I679" s="441"/>
      <c r="J679" s="441"/>
      <c r="K679" s="441"/>
      <c r="L679" s="441"/>
      <c r="M679" s="441"/>
    </row>
    <row r="680" spans="2:13" customFormat="1">
      <c r="B680" s="455"/>
      <c r="C680" s="455"/>
      <c r="D680" s="441"/>
      <c r="E680" s="441"/>
      <c r="F680" s="441"/>
      <c r="G680" s="441"/>
      <c r="H680" s="441"/>
      <c r="I680" s="441"/>
      <c r="J680" s="441"/>
      <c r="K680" s="441"/>
      <c r="L680" s="441"/>
      <c r="M680" s="441"/>
    </row>
    <row r="681" spans="2:13" customFormat="1">
      <c r="B681" s="455"/>
      <c r="C681" s="455"/>
      <c r="D681" s="441"/>
      <c r="E681" s="441"/>
      <c r="F681" s="441"/>
      <c r="G681" s="441"/>
      <c r="H681" s="441"/>
      <c r="I681" s="441"/>
      <c r="J681" s="441"/>
      <c r="K681" s="441"/>
      <c r="L681" s="441"/>
      <c r="M681" s="441"/>
    </row>
    <row r="682" spans="2:13" customFormat="1">
      <c r="B682" s="455"/>
      <c r="C682" s="455"/>
      <c r="D682" s="441"/>
      <c r="E682" s="441"/>
      <c r="F682" s="441"/>
      <c r="G682" s="441"/>
      <c r="H682" s="441"/>
      <c r="I682" s="441"/>
      <c r="J682" s="441"/>
      <c r="K682" s="441"/>
      <c r="L682" s="441"/>
      <c r="M682" s="441"/>
    </row>
    <row r="683" spans="2:13" customFormat="1">
      <c r="B683" s="455"/>
      <c r="C683" s="455"/>
      <c r="D683" s="441"/>
      <c r="E683" s="441"/>
      <c r="F683" s="441"/>
      <c r="G683" s="441"/>
      <c r="H683" s="441"/>
      <c r="I683" s="441"/>
      <c r="J683" s="441"/>
      <c r="K683" s="441"/>
      <c r="L683" s="441"/>
      <c r="M683" s="441"/>
    </row>
    <row r="684" spans="2:13" customFormat="1">
      <c r="B684" s="455"/>
      <c r="C684" s="455"/>
      <c r="D684" s="441"/>
      <c r="E684" s="441"/>
      <c r="F684" s="441"/>
      <c r="G684" s="441"/>
      <c r="H684" s="441"/>
      <c r="I684" s="441"/>
      <c r="J684" s="441"/>
      <c r="K684" s="441"/>
      <c r="L684" s="441"/>
      <c r="M684" s="441"/>
    </row>
    <row r="685" spans="2:13" customFormat="1">
      <c r="B685" s="455"/>
      <c r="C685" s="455"/>
      <c r="D685" s="441"/>
      <c r="E685" s="441"/>
      <c r="F685" s="441"/>
      <c r="G685" s="441"/>
      <c r="H685" s="441"/>
      <c r="I685" s="441"/>
      <c r="J685" s="441"/>
      <c r="K685" s="441"/>
      <c r="L685" s="441"/>
      <c r="M685" s="441"/>
    </row>
    <row r="686" spans="2:13" customFormat="1">
      <c r="B686" s="455"/>
      <c r="C686" s="455"/>
      <c r="D686" s="441"/>
      <c r="E686" s="441"/>
      <c r="F686" s="441"/>
      <c r="G686" s="441"/>
      <c r="H686" s="441"/>
      <c r="I686" s="441"/>
      <c r="J686" s="441"/>
      <c r="K686" s="441"/>
      <c r="L686" s="441"/>
      <c r="M686" s="441"/>
    </row>
    <row r="687" spans="2:13" customFormat="1">
      <c r="B687" s="455"/>
      <c r="C687" s="455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</row>
    <row r="688" spans="2:13" customFormat="1">
      <c r="B688" s="455"/>
      <c r="C688" s="455"/>
      <c r="D688" s="441"/>
      <c r="E688" s="441"/>
      <c r="F688" s="441"/>
      <c r="G688" s="441"/>
      <c r="H688" s="441"/>
      <c r="I688" s="441"/>
      <c r="J688" s="441"/>
      <c r="K688" s="441"/>
      <c r="L688" s="441"/>
      <c r="M688" s="441"/>
    </row>
    <row r="689" spans="2:13" customFormat="1">
      <c r="B689" s="455"/>
      <c r="C689" s="455"/>
      <c r="D689" s="441"/>
      <c r="E689" s="441"/>
      <c r="F689" s="441"/>
      <c r="G689" s="441"/>
      <c r="H689" s="441"/>
      <c r="I689" s="441"/>
      <c r="J689" s="441"/>
      <c r="K689" s="441"/>
      <c r="L689" s="441"/>
      <c r="M689" s="441"/>
    </row>
    <row r="690" spans="2:13" customFormat="1">
      <c r="B690" s="455"/>
      <c r="C690" s="455"/>
      <c r="D690" s="441"/>
      <c r="E690" s="441"/>
      <c r="F690" s="441"/>
      <c r="G690" s="441"/>
      <c r="H690" s="441"/>
      <c r="I690" s="441"/>
      <c r="J690" s="441"/>
      <c r="K690" s="441"/>
      <c r="L690" s="441"/>
      <c r="M690" s="441"/>
    </row>
    <row r="691" spans="2:13" customFormat="1">
      <c r="B691" s="455"/>
      <c r="C691" s="455"/>
      <c r="D691" s="441"/>
      <c r="E691" s="441"/>
      <c r="F691" s="441"/>
      <c r="G691" s="441"/>
      <c r="H691" s="441"/>
      <c r="I691" s="441"/>
      <c r="J691" s="441"/>
      <c r="K691" s="441"/>
      <c r="L691" s="441"/>
      <c r="M691" s="441"/>
    </row>
    <row r="692" spans="2:13" customFormat="1">
      <c r="B692" s="455"/>
      <c r="C692" s="455"/>
      <c r="D692" s="441"/>
      <c r="E692" s="441"/>
      <c r="F692" s="441"/>
      <c r="G692" s="441"/>
      <c r="H692" s="441"/>
      <c r="I692" s="441"/>
      <c r="J692" s="441"/>
      <c r="K692" s="441"/>
      <c r="L692" s="441"/>
      <c r="M692" s="441"/>
    </row>
    <row r="693" spans="2:13" customFormat="1">
      <c r="B693" s="455"/>
      <c r="C693" s="455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</row>
    <row r="694" spans="2:13" customFormat="1">
      <c r="B694" s="455"/>
      <c r="C694" s="455"/>
      <c r="D694" s="441"/>
      <c r="E694" s="441"/>
      <c r="F694" s="441"/>
      <c r="G694" s="441"/>
      <c r="H694" s="441"/>
      <c r="I694" s="441"/>
      <c r="J694" s="441"/>
      <c r="K694" s="441"/>
      <c r="L694" s="441"/>
      <c r="M694" s="441"/>
    </row>
    <row r="695" spans="2:13" customFormat="1">
      <c r="B695" s="455"/>
      <c r="C695" s="455"/>
      <c r="D695" s="441"/>
      <c r="E695" s="441"/>
      <c r="F695" s="441"/>
      <c r="G695" s="441"/>
      <c r="H695" s="441"/>
      <c r="I695" s="441"/>
      <c r="J695" s="441"/>
      <c r="K695" s="441"/>
      <c r="L695" s="441"/>
      <c r="M695" s="441"/>
    </row>
    <row r="696" spans="2:13" customFormat="1">
      <c r="B696" s="455"/>
      <c r="C696" s="455"/>
      <c r="D696" s="441"/>
      <c r="E696" s="441"/>
      <c r="F696" s="441"/>
      <c r="G696" s="441"/>
      <c r="H696" s="441"/>
      <c r="I696" s="441"/>
      <c r="J696" s="441"/>
      <c r="K696" s="441"/>
      <c r="L696" s="441"/>
      <c r="M696" s="441"/>
    </row>
    <row r="697" spans="2:13" customFormat="1">
      <c r="B697" s="455"/>
      <c r="C697" s="455"/>
      <c r="D697" s="441"/>
      <c r="E697" s="441"/>
      <c r="F697" s="441"/>
      <c r="G697" s="441"/>
      <c r="H697" s="441"/>
      <c r="I697" s="441"/>
      <c r="J697" s="441"/>
      <c r="K697" s="441"/>
      <c r="L697" s="441"/>
      <c r="M697" s="441"/>
    </row>
    <row r="698" spans="2:13" customFormat="1">
      <c r="B698" s="455"/>
      <c r="C698" s="455"/>
      <c r="D698" s="441"/>
      <c r="E698" s="441"/>
      <c r="F698" s="441"/>
      <c r="G698" s="441"/>
      <c r="H698" s="441"/>
      <c r="I698" s="441"/>
      <c r="J698" s="441"/>
      <c r="K698" s="441"/>
      <c r="L698" s="441"/>
      <c r="M698" s="441"/>
    </row>
    <row r="699" spans="2:13" customFormat="1">
      <c r="B699" s="455"/>
      <c r="C699" s="455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</row>
    <row r="700" spans="2:13" customFormat="1">
      <c r="B700" s="455"/>
      <c r="C700" s="455"/>
      <c r="D700" s="441"/>
      <c r="E700" s="441"/>
      <c r="F700" s="441"/>
      <c r="G700" s="441"/>
      <c r="H700" s="441"/>
      <c r="I700" s="441"/>
      <c r="J700" s="441"/>
      <c r="K700" s="441"/>
      <c r="L700" s="441"/>
      <c r="M700" s="441"/>
    </row>
    <row r="701" spans="2:13" customFormat="1">
      <c r="B701" s="455"/>
      <c r="C701" s="455"/>
      <c r="D701" s="441"/>
      <c r="E701" s="441"/>
      <c r="F701" s="441"/>
      <c r="G701" s="441"/>
      <c r="H701" s="441"/>
      <c r="I701" s="441"/>
      <c r="J701" s="441"/>
      <c r="K701" s="441"/>
      <c r="L701" s="441"/>
      <c r="M701" s="441"/>
    </row>
    <row r="702" spans="2:13" customFormat="1">
      <c r="B702" s="455"/>
      <c r="C702" s="455"/>
      <c r="D702" s="441"/>
      <c r="E702" s="441"/>
      <c r="F702" s="441"/>
      <c r="G702" s="441"/>
      <c r="H702" s="441"/>
      <c r="I702" s="441"/>
      <c r="J702" s="441"/>
      <c r="K702" s="441"/>
      <c r="L702" s="441"/>
      <c r="M702" s="441"/>
    </row>
    <row r="703" spans="2:13" customFormat="1">
      <c r="B703" s="455"/>
      <c r="C703" s="455"/>
      <c r="D703" s="441"/>
      <c r="E703" s="441"/>
      <c r="F703" s="441"/>
      <c r="G703" s="441"/>
      <c r="H703" s="441"/>
      <c r="I703" s="441"/>
      <c r="J703" s="441"/>
      <c r="K703" s="441"/>
      <c r="L703" s="441"/>
      <c r="M703" s="441"/>
    </row>
    <row r="704" spans="2:13" customFormat="1">
      <c r="B704" s="455"/>
      <c r="C704" s="455"/>
      <c r="D704" s="441"/>
      <c r="E704" s="441"/>
      <c r="F704" s="441"/>
      <c r="G704" s="441"/>
      <c r="H704" s="441"/>
      <c r="I704" s="441"/>
      <c r="J704" s="441"/>
      <c r="K704" s="441"/>
      <c r="L704" s="441"/>
      <c r="M704" s="441"/>
    </row>
    <row r="705" spans="2:13" customFormat="1">
      <c r="B705" s="455"/>
      <c r="C705" s="455"/>
      <c r="D705" s="441"/>
      <c r="E705" s="441"/>
      <c r="F705" s="441"/>
      <c r="G705" s="441"/>
      <c r="H705" s="441"/>
      <c r="I705" s="441"/>
      <c r="J705" s="441"/>
      <c r="K705" s="441"/>
      <c r="L705" s="441"/>
      <c r="M705" s="441"/>
    </row>
    <row r="706" spans="2:13" customFormat="1">
      <c r="B706" s="455"/>
      <c r="C706" s="455"/>
      <c r="D706" s="441"/>
      <c r="E706" s="441"/>
      <c r="F706" s="441"/>
      <c r="G706" s="441"/>
      <c r="H706" s="441"/>
      <c r="I706" s="441"/>
      <c r="J706" s="441"/>
      <c r="K706" s="441"/>
      <c r="L706" s="441"/>
      <c r="M706" s="441"/>
    </row>
    <row r="707" spans="2:13" customFormat="1">
      <c r="B707" s="455"/>
      <c r="C707" s="455"/>
      <c r="D707" s="441"/>
      <c r="E707" s="441"/>
      <c r="F707" s="441"/>
      <c r="G707" s="441"/>
      <c r="H707" s="441"/>
      <c r="I707" s="441"/>
      <c r="J707" s="441"/>
      <c r="K707" s="441"/>
      <c r="L707" s="441"/>
      <c r="M707" s="441"/>
    </row>
    <row r="708" spans="2:13" customFormat="1">
      <c r="B708" s="455"/>
      <c r="C708" s="455"/>
      <c r="D708" s="441"/>
      <c r="E708" s="441"/>
      <c r="F708" s="441"/>
      <c r="G708" s="441"/>
      <c r="H708" s="441"/>
      <c r="I708" s="441"/>
      <c r="J708" s="441"/>
      <c r="K708" s="441"/>
      <c r="L708" s="441"/>
      <c r="M708" s="441"/>
    </row>
    <row r="709" spans="2:13" customFormat="1">
      <c r="B709" s="455"/>
      <c r="C709" s="455"/>
      <c r="D709" s="441"/>
      <c r="E709" s="441"/>
      <c r="F709" s="441"/>
      <c r="G709" s="441"/>
      <c r="H709" s="441"/>
      <c r="I709" s="441"/>
      <c r="J709" s="441"/>
      <c r="K709" s="441"/>
      <c r="L709" s="441"/>
      <c r="M709" s="441"/>
    </row>
    <row r="710" spans="2:13" customFormat="1">
      <c r="B710" s="455"/>
      <c r="C710" s="455"/>
      <c r="D710" s="441"/>
      <c r="E710" s="441"/>
      <c r="F710" s="441"/>
      <c r="G710" s="441"/>
      <c r="H710" s="441"/>
      <c r="I710" s="441"/>
      <c r="J710" s="441"/>
      <c r="K710" s="441"/>
      <c r="L710" s="441"/>
      <c r="M710" s="441"/>
    </row>
    <row r="711" spans="2:13" customFormat="1">
      <c r="B711" s="455"/>
      <c r="C711" s="455"/>
      <c r="D711" s="441"/>
      <c r="E711" s="441"/>
      <c r="F711" s="441"/>
      <c r="G711" s="441"/>
      <c r="H711" s="441"/>
      <c r="I711" s="441"/>
      <c r="J711" s="441"/>
      <c r="K711" s="441"/>
      <c r="L711" s="441"/>
      <c r="M711" s="441"/>
    </row>
    <row r="712" spans="2:13" customFormat="1">
      <c r="B712" s="455"/>
      <c r="C712" s="455"/>
      <c r="D712" s="441"/>
      <c r="E712" s="441"/>
      <c r="F712" s="441"/>
      <c r="G712" s="441"/>
      <c r="H712" s="441"/>
      <c r="I712" s="441"/>
      <c r="J712" s="441"/>
      <c r="K712" s="441"/>
      <c r="L712" s="441"/>
      <c r="M712" s="441"/>
    </row>
    <row r="713" spans="2:13" customFormat="1">
      <c r="B713" s="455"/>
      <c r="C713" s="455"/>
      <c r="D713" s="441"/>
      <c r="E713" s="441"/>
      <c r="F713" s="441"/>
      <c r="G713" s="441"/>
      <c r="H713" s="441"/>
      <c r="I713" s="441"/>
      <c r="J713" s="441"/>
      <c r="K713" s="441"/>
      <c r="L713" s="441"/>
      <c r="M713" s="441"/>
    </row>
    <row r="714" spans="2:13" customFormat="1">
      <c r="B714" s="455"/>
      <c r="C714" s="455"/>
      <c r="D714" s="441"/>
      <c r="E714" s="441"/>
      <c r="F714" s="441"/>
      <c r="G714" s="441"/>
      <c r="H714" s="441"/>
      <c r="I714" s="441"/>
      <c r="J714" s="441"/>
      <c r="K714" s="441"/>
      <c r="L714" s="441"/>
      <c r="M714" s="441"/>
    </row>
    <row r="715" spans="2:13" customFormat="1">
      <c r="B715" s="455"/>
      <c r="C715" s="455"/>
      <c r="D715" s="441"/>
      <c r="E715" s="441"/>
      <c r="F715" s="441"/>
      <c r="G715" s="441"/>
      <c r="H715" s="441"/>
      <c r="I715" s="441"/>
      <c r="J715" s="441"/>
      <c r="K715" s="441"/>
      <c r="L715" s="441"/>
      <c r="M715" s="441"/>
    </row>
    <row r="716" spans="2:13" customFormat="1">
      <c r="B716" s="455"/>
      <c r="C716" s="455"/>
      <c r="D716" s="441"/>
      <c r="E716" s="441"/>
      <c r="F716" s="441"/>
      <c r="G716" s="441"/>
      <c r="H716" s="441"/>
      <c r="I716" s="441"/>
      <c r="J716" s="441"/>
      <c r="K716" s="441"/>
      <c r="L716" s="441"/>
      <c r="M716" s="441"/>
    </row>
    <row r="717" spans="2:13" customFormat="1">
      <c r="B717" s="455"/>
      <c r="C717" s="455"/>
      <c r="D717" s="441"/>
      <c r="E717" s="441"/>
      <c r="F717" s="441"/>
      <c r="G717" s="441"/>
      <c r="H717" s="441"/>
      <c r="I717" s="441"/>
      <c r="J717" s="441"/>
      <c r="K717" s="441"/>
      <c r="L717" s="441"/>
      <c r="M717" s="441"/>
    </row>
    <row r="718" spans="2:13" customFormat="1">
      <c r="B718" s="455"/>
      <c r="C718" s="455"/>
      <c r="D718" s="441"/>
      <c r="E718" s="441"/>
      <c r="F718" s="441"/>
      <c r="G718" s="441"/>
      <c r="H718" s="441"/>
      <c r="I718" s="441"/>
      <c r="J718" s="441"/>
      <c r="K718" s="441"/>
      <c r="L718" s="441"/>
      <c r="M718" s="441"/>
    </row>
    <row r="719" spans="2:13" customFormat="1">
      <c r="B719" s="455"/>
      <c r="C719" s="455"/>
      <c r="D719" s="441"/>
      <c r="E719" s="441"/>
      <c r="F719" s="441"/>
      <c r="G719" s="441"/>
      <c r="H719" s="441"/>
      <c r="I719" s="441"/>
      <c r="J719" s="441"/>
      <c r="K719" s="441"/>
      <c r="L719" s="441"/>
      <c r="M719" s="441"/>
    </row>
    <row r="720" spans="2:13" customFormat="1">
      <c r="B720" s="455"/>
      <c r="C720" s="455"/>
      <c r="D720" s="441"/>
      <c r="E720" s="441"/>
      <c r="F720" s="441"/>
      <c r="G720" s="441"/>
      <c r="H720" s="441"/>
      <c r="I720" s="441"/>
      <c r="J720" s="441"/>
      <c r="K720" s="441"/>
      <c r="L720" s="441"/>
      <c r="M720" s="441"/>
    </row>
    <row r="721" spans="2:13" customFormat="1">
      <c r="B721" s="455"/>
      <c r="C721" s="455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</row>
    <row r="722" spans="2:13" customFormat="1">
      <c r="B722" s="455"/>
      <c r="C722" s="455"/>
      <c r="D722" s="441"/>
      <c r="E722" s="441"/>
      <c r="F722" s="441"/>
      <c r="G722" s="441"/>
      <c r="H722" s="441"/>
      <c r="I722" s="441"/>
      <c r="J722" s="441"/>
      <c r="K722" s="441"/>
      <c r="L722" s="441"/>
      <c r="M722" s="441"/>
    </row>
    <row r="723" spans="2:13" customFormat="1">
      <c r="B723" s="455"/>
      <c r="C723" s="455"/>
      <c r="D723" s="441"/>
      <c r="E723" s="441"/>
      <c r="F723" s="441"/>
      <c r="G723" s="441"/>
      <c r="H723" s="441"/>
      <c r="I723" s="441"/>
      <c r="J723" s="441"/>
      <c r="K723" s="441"/>
      <c r="L723" s="441"/>
      <c r="M723" s="441"/>
    </row>
    <row r="724" spans="2:13" customFormat="1">
      <c r="B724" s="455"/>
      <c r="C724" s="455"/>
      <c r="D724" s="441"/>
      <c r="E724" s="441"/>
      <c r="F724" s="441"/>
      <c r="G724" s="441"/>
      <c r="H724" s="441"/>
      <c r="I724" s="441"/>
      <c r="J724" s="441"/>
      <c r="K724" s="441"/>
      <c r="L724" s="441"/>
      <c r="M724" s="441"/>
    </row>
    <row r="725" spans="2:13" customFormat="1">
      <c r="B725" s="455"/>
      <c r="C725" s="455"/>
      <c r="D725" s="441"/>
      <c r="E725" s="441"/>
      <c r="F725" s="441"/>
      <c r="G725" s="441"/>
      <c r="H725" s="441"/>
      <c r="I725" s="441"/>
      <c r="J725" s="441"/>
      <c r="K725" s="441"/>
      <c r="L725" s="441"/>
      <c r="M725" s="441"/>
    </row>
    <row r="726" spans="2:13" customFormat="1">
      <c r="B726" s="455"/>
      <c r="C726" s="455"/>
      <c r="D726" s="441"/>
      <c r="E726" s="441"/>
      <c r="F726" s="441"/>
      <c r="G726" s="441"/>
      <c r="H726" s="441"/>
      <c r="I726" s="441"/>
      <c r="J726" s="441"/>
      <c r="K726" s="441"/>
      <c r="L726" s="441"/>
      <c r="M726" s="441"/>
    </row>
    <row r="727" spans="2:13" customFormat="1">
      <c r="B727" s="455"/>
      <c r="C727" s="455"/>
      <c r="D727" s="441"/>
      <c r="E727" s="441"/>
      <c r="F727" s="441"/>
      <c r="G727" s="441"/>
      <c r="H727" s="441"/>
      <c r="I727" s="441"/>
      <c r="J727" s="441"/>
      <c r="K727" s="441"/>
      <c r="L727" s="441"/>
      <c r="M727" s="441"/>
    </row>
    <row r="728" spans="2:13" customFormat="1">
      <c r="B728" s="455"/>
      <c r="C728" s="455"/>
      <c r="D728" s="441"/>
      <c r="E728" s="441"/>
      <c r="F728" s="441"/>
      <c r="G728" s="441"/>
      <c r="H728" s="441"/>
      <c r="I728" s="441"/>
      <c r="J728" s="441"/>
      <c r="K728" s="441"/>
      <c r="L728" s="441"/>
      <c r="M728" s="441"/>
    </row>
    <row r="729" spans="2:13" customFormat="1">
      <c r="B729" s="455"/>
      <c r="C729" s="455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</row>
    <row r="730" spans="2:13" customFormat="1">
      <c r="B730" s="455"/>
      <c r="C730" s="455"/>
      <c r="D730" s="441"/>
      <c r="E730" s="441"/>
      <c r="F730" s="441"/>
      <c r="G730" s="441"/>
      <c r="H730" s="441"/>
      <c r="I730" s="441"/>
      <c r="J730" s="441"/>
      <c r="K730" s="441"/>
      <c r="L730" s="441"/>
      <c r="M730" s="441"/>
    </row>
    <row r="731" spans="2:13" customFormat="1">
      <c r="B731" s="455"/>
      <c r="C731" s="455"/>
      <c r="D731" s="441"/>
      <c r="E731" s="441"/>
      <c r="F731" s="441"/>
      <c r="G731" s="441"/>
      <c r="H731" s="441"/>
      <c r="I731" s="441"/>
      <c r="J731" s="441"/>
      <c r="K731" s="441"/>
      <c r="L731" s="441"/>
      <c r="M731" s="441"/>
    </row>
    <row r="732" spans="2:13" customFormat="1">
      <c r="B732" s="455"/>
      <c r="C732" s="455"/>
      <c r="D732" s="441"/>
      <c r="E732" s="441"/>
      <c r="F732" s="441"/>
      <c r="G732" s="441"/>
      <c r="H732" s="441"/>
      <c r="I732" s="441"/>
      <c r="J732" s="441"/>
      <c r="K732" s="441"/>
      <c r="L732" s="441"/>
      <c r="M732" s="441"/>
    </row>
    <row r="733" spans="2:13" customFormat="1">
      <c r="B733" s="455"/>
      <c r="C733" s="455"/>
      <c r="D733" s="441"/>
      <c r="E733" s="441"/>
      <c r="F733" s="441"/>
      <c r="G733" s="441"/>
      <c r="H733" s="441"/>
      <c r="I733" s="441"/>
      <c r="J733" s="441"/>
      <c r="K733" s="441"/>
      <c r="L733" s="441"/>
      <c r="M733" s="441"/>
    </row>
    <row r="734" spans="2:13" customFormat="1">
      <c r="B734" s="455"/>
      <c r="C734" s="455"/>
      <c r="D734" s="441"/>
      <c r="E734" s="441"/>
      <c r="F734" s="441"/>
      <c r="G734" s="441"/>
      <c r="H734" s="441"/>
      <c r="I734" s="441"/>
      <c r="J734" s="441"/>
      <c r="K734" s="441"/>
      <c r="L734" s="441"/>
      <c r="M734" s="441"/>
    </row>
    <row r="735" spans="2:13" customFormat="1">
      <c r="B735" s="455"/>
      <c r="C735" s="455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</row>
    <row r="736" spans="2:13" customFormat="1">
      <c r="B736" s="455"/>
      <c r="C736" s="455"/>
      <c r="D736" s="441"/>
      <c r="E736" s="441"/>
      <c r="F736" s="441"/>
      <c r="G736" s="441"/>
      <c r="H736" s="441"/>
      <c r="I736" s="441"/>
      <c r="J736" s="441"/>
      <c r="K736" s="441"/>
      <c r="L736" s="441"/>
      <c r="M736" s="441"/>
    </row>
    <row r="737" spans="2:13" customFormat="1">
      <c r="B737" s="455"/>
      <c r="C737" s="455"/>
      <c r="D737" s="441"/>
      <c r="E737" s="441"/>
      <c r="F737" s="441"/>
      <c r="G737" s="441"/>
      <c r="H737" s="441"/>
      <c r="I737" s="441"/>
      <c r="J737" s="441"/>
      <c r="K737" s="441"/>
      <c r="L737" s="441"/>
      <c r="M737" s="441"/>
    </row>
    <row r="738" spans="2:13" customFormat="1">
      <c r="B738" s="455"/>
      <c r="C738" s="455"/>
      <c r="D738" s="441"/>
      <c r="E738" s="441"/>
      <c r="F738" s="441"/>
      <c r="G738" s="441"/>
      <c r="H738" s="441"/>
      <c r="I738" s="441"/>
      <c r="J738" s="441"/>
      <c r="K738" s="441"/>
      <c r="L738" s="441"/>
      <c r="M738" s="441"/>
    </row>
    <row r="739" spans="2:13" customFormat="1">
      <c r="B739" s="455"/>
      <c r="C739" s="455"/>
      <c r="D739" s="441"/>
      <c r="E739" s="441"/>
      <c r="F739" s="441"/>
      <c r="G739" s="441"/>
      <c r="H739" s="441"/>
      <c r="I739" s="441"/>
      <c r="J739" s="441"/>
      <c r="K739" s="441"/>
      <c r="L739" s="441"/>
      <c r="M739" s="441"/>
    </row>
    <row r="740" spans="2:13" customFormat="1">
      <c r="B740" s="455"/>
      <c r="C740" s="455"/>
      <c r="D740" s="441"/>
      <c r="E740" s="441"/>
      <c r="F740" s="441"/>
      <c r="G740" s="441"/>
      <c r="H740" s="441"/>
      <c r="I740" s="441"/>
      <c r="J740" s="441"/>
      <c r="K740" s="441"/>
      <c r="L740" s="441"/>
      <c r="M740" s="441"/>
    </row>
    <row r="741" spans="2:13" customFormat="1">
      <c r="B741" s="455"/>
      <c r="C741" s="455"/>
      <c r="D741" s="441"/>
      <c r="E741" s="441"/>
      <c r="F741" s="441"/>
      <c r="G741" s="441"/>
      <c r="H741" s="441"/>
      <c r="I741" s="441"/>
      <c r="J741" s="441"/>
      <c r="K741" s="441"/>
      <c r="L741" s="441"/>
      <c r="M741" s="441"/>
    </row>
    <row r="742" spans="2:13" customFormat="1">
      <c r="B742" s="455"/>
      <c r="C742" s="455"/>
      <c r="D742" s="441"/>
      <c r="E742" s="441"/>
      <c r="F742" s="441"/>
      <c r="G742" s="441"/>
      <c r="H742" s="441"/>
      <c r="I742" s="441"/>
      <c r="J742" s="441"/>
      <c r="K742" s="441"/>
      <c r="L742" s="441"/>
      <c r="M742" s="441"/>
    </row>
    <row r="743" spans="2:13" customFormat="1">
      <c r="B743" s="455"/>
      <c r="C743" s="455"/>
      <c r="D743" s="441"/>
      <c r="E743" s="441"/>
      <c r="F743" s="441"/>
      <c r="G743" s="441"/>
      <c r="H743" s="441"/>
      <c r="I743" s="441"/>
      <c r="J743" s="441"/>
      <c r="K743" s="441"/>
      <c r="L743" s="441"/>
      <c r="M743" s="441"/>
    </row>
    <row r="744" spans="2:13" customFormat="1">
      <c r="B744" s="455"/>
      <c r="C744" s="455"/>
      <c r="D744" s="441"/>
      <c r="E744" s="441"/>
      <c r="F744" s="441"/>
      <c r="G744" s="441"/>
      <c r="H744" s="441"/>
      <c r="I744" s="441"/>
      <c r="J744" s="441"/>
      <c r="K744" s="441"/>
      <c r="L744" s="441"/>
      <c r="M744" s="441"/>
    </row>
    <row r="745" spans="2:13" customFormat="1">
      <c r="B745" s="455"/>
      <c r="C745" s="455"/>
      <c r="D745" s="441"/>
      <c r="E745" s="441"/>
      <c r="F745" s="441"/>
      <c r="G745" s="441"/>
      <c r="H745" s="441"/>
      <c r="I745" s="441"/>
      <c r="J745" s="441"/>
      <c r="K745" s="441"/>
      <c r="L745" s="441"/>
      <c r="M745" s="441"/>
    </row>
    <row r="746" spans="2:13" customFormat="1">
      <c r="B746" s="455"/>
      <c r="C746" s="455"/>
      <c r="D746" s="441"/>
      <c r="E746" s="441"/>
      <c r="F746" s="441"/>
      <c r="G746" s="441"/>
      <c r="H746" s="441"/>
      <c r="I746" s="441"/>
      <c r="J746" s="441"/>
      <c r="K746" s="441"/>
      <c r="L746" s="441"/>
      <c r="M746" s="441"/>
    </row>
    <row r="747" spans="2:13" customFormat="1">
      <c r="B747" s="455"/>
      <c r="C747" s="455"/>
      <c r="D747" s="441"/>
      <c r="E747" s="441"/>
      <c r="F747" s="441"/>
      <c r="G747" s="441"/>
      <c r="H747" s="441"/>
      <c r="I747" s="441"/>
      <c r="J747" s="441"/>
      <c r="K747" s="441"/>
      <c r="L747" s="441"/>
      <c r="M747" s="441"/>
    </row>
    <row r="748" spans="2:13" customFormat="1">
      <c r="B748" s="455"/>
      <c r="C748" s="455"/>
      <c r="D748" s="441"/>
      <c r="E748" s="441"/>
      <c r="F748" s="441"/>
      <c r="G748" s="441"/>
      <c r="H748" s="441"/>
      <c r="I748" s="441"/>
      <c r="J748" s="441"/>
      <c r="K748" s="441"/>
      <c r="L748" s="441"/>
      <c r="M748" s="441"/>
    </row>
    <row r="749" spans="2:13" customFormat="1">
      <c r="B749" s="455"/>
      <c r="C749" s="455"/>
      <c r="D749" s="441"/>
      <c r="E749" s="441"/>
      <c r="F749" s="441"/>
      <c r="G749" s="441"/>
      <c r="H749" s="441"/>
      <c r="I749" s="441"/>
      <c r="J749" s="441"/>
      <c r="K749" s="441"/>
      <c r="L749" s="441"/>
      <c r="M749" s="441"/>
    </row>
    <row r="750" spans="2:13" customFormat="1">
      <c r="B750" s="455"/>
      <c r="C750" s="455"/>
      <c r="D750" s="441"/>
      <c r="E750" s="441"/>
      <c r="F750" s="441"/>
      <c r="G750" s="441"/>
      <c r="H750" s="441"/>
      <c r="I750" s="441"/>
      <c r="J750" s="441"/>
      <c r="K750" s="441"/>
      <c r="L750" s="441"/>
      <c r="M750" s="441"/>
    </row>
    <row r="751" spans="2:13" customFormat="1">
      <c r="B751" s="455"/>
      <c r="C751" s="455"/>
      <c r="D751" s="441"/>
      <c r="E751" s="441"/>
      <c r="F751" s="441"/>
      <c r="G751" s="441"/>
      <c r="H751" s="441"/>
      <c r="I751" s="441"/>
      <c r="J751" s="441"/>
      <c r="K751" s="441"/>
      <c r="L751" s="441"/>
      <c r="M751" s="441"/>
    </row>
    <row r="752" spans="2:13" customFormat="1">
      <c r="B752" s="455"/>
      <c r="C752" s="455"/>
      <c r="D752" s="441"/>
      <c r="E752" s="441"/>
      <c r="F752" s="441"/>
      <c r="G752" s="441"/>
      <c r="H752" s="441"/>
      <c r="I752" s="441"/>
      <c r="J752" s="441"/>
      <c r="K752" s="441"/>
      <c r="L752" s="441"/>
      <c r="M752" s="441"/>
    </row>
    <row r="753" spans="2:13" customFormat="1">
      <c r="B753" s="455"/>
      <c r="C753" s="455"/>
      <c r="D753" s="441"/>
      <c r="E753" s="441"/>
      <c r="F753" s="441"/>
      <c r="G753" s="441"/>
      <c r="H753" s="441"/>
      <c r="I753" s="441"/>
      <c r="J753" s="441"/>
      <c r="K753" s="441"/>
      <c r="L753" s="441"/>
      <c r="M753" s="441"/>
    </row>
    <row r="754" spans="2:13" customFormat="1">
      <c r="B754" s="455"/>
      <c r="C754" s="455"/>
      <c r="D754" s="441"/>
      <c r="E754" s="441"/>
      <c r="F754" s="441"/>
      <c r="G754" s="441"/>
      <c r="H754" s="441"/>
      <c r="I754" s="441"/>
      <c r="J754" s="441"/>
      <c r="K754" s="441"/>
      <c r="L754" s="441"/>
      <c r="M754" s="441"/>
    </row>
    <row r="755" spans="2:13" customFormat="1">
      <c r="B755" s="455"/>
      <c r="C755" s="455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</row>
    <row r="756" spans="2:13" customFormat="1">
      <c r="B756" s="455"/>
      <c r="C756" s="455"/>
      <c r="D756" s="441"/>
      <c r="E756" s="441"/>
      <c r="F756" s="441"/>
      <c r="G756" s="441"/>
      <c r="H756" s="441"/>
      <c r="I756" s="441"/>
      <c r="J756" s="441"/>
      <c r="K756" s="441"/>
      <c r="L756" s="441"/>
      <c r="M756" s="441"/>
    </row>
    <row r="757" spans="2:13" customFormat="1">
      <c r="B757" s="455"/>
      <c r="C757" s="455"/>
      <c r="D757" s="441"/>
      <c r="E757" s="441"/>
      <c r="F757" s="441"/>
      <c r="G757" s="441"/>
      <c r="H757" s="441"/>
      <c r="I757" s="441"/>
      <c r="J757" s="441"/>
      <c r="K757" s="441"/>
      <c r="L757" s="441"/>
      <c r="M757" s="441"/>
    </row>
    <row r="758" spans="2:13" customFormat="1">
      <c r="B758" s="455"/>
      <c r="C758" s="455"/>
      <c r="D758" s="441"/>
      <c r="E758" s="441"/>
      <c r="F758" s="441"/>
      <c r="G758" s="441"/>
      <c r="H758" s="441"/>
      <c r="I758" s="441"/>
      <c r="J758" s="441"/>
      <c r="K758" s="441"/>
      <c r="L758" s="441"/>
      <c r="M758" s="441"/>
    </row>
    <row r="759" spans="2:13" customFormat="1">
      <c r="B759" s="455"/>
      <c r="C759" s="455"/>
      <c r="D759" s="441"/>
      <c r="E759" s="441"/>
      <c r="F759" s="441"/>
      <c r="G759" s="441"/>
      <c r="H759" s="441"/>
      <c r="I759" s="441"/>
      <c r="J759" s="441"/>
      <c r="K759" s="441"/>
      <c r="L759" s="441"/>
      <c r="M759" s="441"/>
    </row>
    <row r="760" spans="2:13" customFormat="1">
      <c r="B760" s="455"/>
      <c r="C760" s="455"/>
      <c r="D760" s="441"/>
      <c r="E760" s="441"/>
      <c r="F760" s="441"/>
      <c r="G760" s="441"/>
      <c r="H760" s="441"/>
      <c r="I760" s="441"/>
      <c r="J760" s="441"/>
      <c r="K760" s="441"/>
      <c r="L760" s="441"/>
      <c r="M760" s="441"/>
    </row>
    <row r="761" spans="2:13" customFormat="1">
      <c r="B761" s="455"/>
      <c r="C761" s="455"/>
      <c r="D761" s="441"/>
      <c r="E761" s="441"/>
      <c r="F761" s="441"/>
      <c r="G761" s="441"/>
      <c r="H761" s="441"/>
      <c r="I761" s="441"/>
      <c r="J761" s="441"/>
      <c r="K761" s="441"/>
      <c r="L761" s="441"/>
      <c r="M761" s="441"/>
    </row>
    <row r="762" spans="2:13" customFormat="1">
      <c r="B762" s="455"/>
      <c r="C762" s="455"/>
      <c r="D762" s="441"/>
      <c r="E762" s="441"/>
      <c r="F762" s="441"/>
      <c r="G762" s="441"/>
      <c r="H762" s="441"/>
      <c r="I762" s="441"/>
      <c r="J762" s="441"/>
      <c r="K762" s="441"/>
      <c r="L762" s="441"/>
      <c r="M762" s="441"/>
    </row>
    <row r="763" spans="2:13" customFormat="1">
      <c r="B763" s="455"/>
      <c r="C763" s="455"/>
      <c r="D763" s="441"/>
      <c r="E763" s="441"/>
      <c r="F763" s="441"/>
      <c r="G763" s="441"/>
      <c r="H763" s="441"/>
      <c r="I763" s="441"/>
      <c r="J763" s="441"/>
      <c r="K763" s="441"/>
      <c r="L763" s="441"/>
      <c r="M763" s="441"/>
    </row>
    <row r="764" spans="2:13" customFormat="1">
      <c r="B764" s="455"/>
      <c r="C764" s="455"/>
      <c r="D764" s="441"/>
      <c r="E764" s="441"/>
      <c r="F764" s="441"/>
      <c r="G764" s="441"/>
      <c r="H764" s="441"/>
      <c r="I764" s="441"/>
      <c r="J764" s="441"/>
      <c r="K764" s="441"/>
      <c r="L764" s="441"/>
      <c r="M764" s="441"/>
    </row>
    <row r="765" spans="2:13" customFormat="1">
      <c r="B765" s="455"/>
      <c r="C765" s="455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</row>
    <row r="766" spans="2:13" customFormat="1">
      <c r="B766" s="455"/>
      <c r="C766" s="455"/>
      <c r="D766" s="441"/>
      <c r="E766" s="441"/>
      <c r="F766" s="441"/>
      <c r="G766" s="441"/>
      <c r="H766" s="441"/>
      <c r="I766" s="441"/>
      <c r="J766" s="441"/>
      <c r="K766" s="441"/>
      <c r="L766" s="441"/>
      <c r="M766" s="441"/>
    </row>
    <row r="767" spans="2:13" customFormat="1">
      <c r="B767" s="455"/>
      <c r="C767" s="455"/>
      <c r="D767" s="441"/>
      <c r="E767" s="441"/>
      <c r="F767" s="441"/>
      <c r="G767" s="441"/>
      <c r="H767" s="441"/>
      <c r="I767" s="441"/>
      <c r="J767" s="441"/>
      <c r="K767" s="441"/>
      <c r="L767" s="441"/>
      <c r="M767" s="441"/>
    </row>
    <row r="768" spans="2:13" customFormat="1">
      <c r="B768" s="455"/>
      <c r="C768" s="455"/>
      <c r="D768" s="441"/>
      <c r="E768" s="441"/>
      <c r="F768" s="441"/>
      <c r="G768" s="441"/>
      <c r="H768" s="441"/>
      <c r="I768" s="441"/>
      <c r="J768" s="441"/>
      <c r="K768" s="441"/>
      <c r="L768" s="441"/>
      <c r="M768" s="441"/>
    </row>
    <row r="769" spans="2:13" customFormat="1">
      <c r="B769" s="455"/>
      <c r="C769" s="455"/>
      <c r="D769" s="441"/>
      <c r="E769" s="441"/>
      <c r="F769" s="441"/>
      <c r="G769" s="441"/>
      <c r="H769" s="441"/>
      <c r="I769" s="441"/>
      <c r="J769" s="441"/>
      <c r="K769" s="441"/>
      <c r="L769" s="441"/>
      <c r="M769" s="441"/>
    </row>
    <row r="770" spans="2:13" customFormat="1">
      <c r="B770" s="455"/>
      <c r="C770" s="455"/>
      <c r="D770" s="441"/>
      <c r="E770" s="441"/>
      <c r="F770" s="441"/>
      <c r="G770" s="441"/>
      <c r="H770" s="441"/>
      <c r="I770" s="441"/>
      <c r="J770" s="441"/>
      <c r="K770" s="441"/>
      <c r="L770" s="441"/>
      <c r="M770" s="441"/>
    </row>
    <row r="771" spans="2:13" customFormat="1">
      <c r="B771" s="455"/>
      <c r="C771" s="455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</row>
    <row r="772" spans="2:13" customFormat="1">
      <c r="B772" s="455"/>
      <c r="C772" s="455"/>
      <c r="D772" s="441"/>
      <c r="E772" s="441"/>
      <c r="F772" s="441"/>
      <c r="G772" s="441"/>
      <c r="H772" s="441"/>
      <c r="I772" s="441"/>
      <c r="J772" s="441"/>
      <c r="K772" s="441"/>
      <c r="L772" s="441"/>
      <c r="M772" s="441"/>
    </row>
    <row r="773" spans="2:13" customFormat="1">
      <c r="B773" s="455"/>
      <c r="C773" s="455"/>
      <c r="D773" s="441"/>
      <c r="E773" s="441"/>
      <c r="F773" s="441"/>
      <c r="G773" s="441"/>
      <c r="H773" s="441"/>
      <c r="I773" s="441"/>
      <c r="J773" s="441"/>
      <c r="K773" s="441"/>
      <c r="L773" s="441"/>
      <c r="M773" s="441"/>
    </row>
    <row r="774" spans="2:13" customFormat="1">
      <c r="B774" s="455"/>
      <c r="C774" s="455"/>
      <c r="D774" s="441"/>
      <c r="E774" s="441"/>
      <c r="F774" s="441"/>
      <c r="G774" s="441"/>
      <c r="H774" s="441"/>
      <c r="I774" s="441"/>
      <c r="J774" s="441"/>
      <c r="K774" s="441"/>
      <c r="L774" s="441"/>
      <c r="M774" s="441"/>
    </row>
    <row r="775" spans="2:13" customFormat="1">
      <c r="B775" s="455"/>
      <c r="C775" s="455"/>
      <c r="D775" s="441"/>
      <c r="E775" s="441"/>
      <c r="F775" s="441"/>
      <c r="G775" s="441"/>
      <c r="H775" s="441"/>
      <c r="I775" s="441"/>
      <c r="J775" s="441"/>
      <c r="K775" s="441"/>
      <c r="L775" s="441"/>
      <c r="M775" s="441"/>
    </row>
    <row r="776" spans="2:13" customFormat="1">
      <c r="B776" s="455"/>
      <c r="C776" s="455"/>
      <c r="D776" s="441"/>
      <c r="E776" s="441"/>
      <c r="F776" s="441"/>
      <c r="G776" s="441"/>
      <c r="H776" s="441"/>
      <c r="I776" s="441"/>
      <c r="J776" s="441"/>
      <c r="K776" s="441"/>
      <c r="L776" s="441"/>
      <c r="M776" s="441"/>
    </row>
    <row r="777" spans="2:13" customFormat="1">
      <c r="B777" s="455"/>
      <c r="C777" s="455"/>
      <c r="D777" s="441"/>
      <c r="E777" s="441"/>
      <c r="F777" s="441"/>
      <c r="G777" s="441"/>
      <c r="H777" s="441"/>
      <c r="I777" s="441"/>
      <c r="J777" s="441"/>
      <c r="K777" s="441"/>
      <c r="L777" s="441"/>
      <c r="M777" s="441"/>
    </row>
    <row r="778" spans="2:13" customFormat="1">
      <c r="B778" s="455"/>
      <c r="C778" s="455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</row>
    <row r="779" spans="2:13" customFormat="1">
      <c r="B779" s="455"/>
      <c r="C779" s="455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</row>
    <row r="780" spans="2:13" customFormat="1">
      <c r="B780" s="455"/>
      <c r="C780" s="455"/>
      <c r="D780" s="441"/>
      <c r="E780" s="441"/>
      <c r="F780" s="441"/>
      <c r="G780" s="441"/>
      <c r="H780" s="441"/>
      <c r="I780" s="441"/>
      <c r="J780" s="441"/>
      <c r="K780" s="441"/>
      <c r="L780" s="441"/>
      <c r="M780" s="441"/>
    </row>
    <row r="781" spans="2:13" customFormat="1">
      <c r="B781" s="455"/>
      <c r="C781" s="455"/>
      <c r="D781" s="441"/>
      <c r="E781" s="441"/>
      <c r="F781" s="441"/>
      <c r="G781" s="441"/>
      <c r="H781" s="441"/>
      <c r="I781" s="441"/>
      <c r="J781" s="441"/>
      <c r="K781" s="441"/>
      <c r="L781" s="441"/>
      <c r="M781" s="441"/>
    </row>
    <row r="782" spans="2:13" customFormat="1">
      <c r="B782" s="455"/>
      <c r="C782" s="455"/>
      <c r="D782" s="441"/>
      <c r="E782" s="441"/>
      <c r="F782" s="441"/>
      <c r="G782" s="441"/>
      <c r="H782" s="441"/>
      <c r="I782" s="441"/>
      <c r="J782" s="441"/>
      <c r="K782" s="441"/>
      <c r="L782" s="441"/>
      <c r="M782" s="441"/>
    </row>
    <row r="783" spans="2:13" customFormat="1">
      <c r="B783" s="455"/>
      <c r="C783" s="455"/>
      <c r="D783" s="441"/>
      <c r="E783" s="441"/>
      <c r="F783" s="441"/>
      <c r="G783" s="441"/>
      <c r="H783" s="441"/>
      <c r="I783" s="441"/>
      <c r="J783" s="441"/>
      <c r="K783" s="441"/>
      <c r="L783" s="441"/>
      <c r="M783" s="441"/>
    </row>
    <row r="784" spans="2:13" customFormat="1">
      <c r="B784" s="455"/>
      <c r="C784" s="455"/>
      <c r="D784" s="441"/>
      <c r="E784" s="441"/>
      <c r="F784" s="441"/>
      <c r="G784" s="441"/>
      <c r="H784" s="441"/>
      <c r="I784" s="441"/>
      <c r="J784" s="441"/>
      <c r="K784" s="441"/>
      <c r="L784" s="441"/>
      <c r="M784" s="441"/>
    </row>
    <row r="785" spans="2:13" customFormat="1">
      <c r="B785" s="455"/>
      <c r="C785" s="455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</row>
    <row r="786" spans="2:13" customFormat="1">
      <c r="B786" s="455"/>
      <c r="C786" s="455"/>
      <c r="D786" s="441"/>
      <c r="E786" s="441"/>
      <c r="F786" s="441"/>
      <c r="G786" s="441"/>
      <c r="H786" s="441"/>
      <c r="I786" s="441"/>
      <c r="J786" s="441"/>
      <c r="K786" s="441"/>
      <c r="L786" s="441"/>
      <c r="M786" s="441"/>
    </row>
    <row r="787" spans="2:13" customFormat="1">
      <c r="B787" s="455"/>
      <c r="C787" s="455"/>
      <c r="D787" s="441"/>
      <c r="E787" s="441"/>
      <c r="F787" s="441"/>
      <c r="G787" s="441"/>
      <c r="H787" s="441"/>
      <c r="I787" s="441"/>
      <c r="J787" s="441"/>
      <c r="K787" s="441"/>
      <c r="L787" s="441"/>
      <c r="M787" s="441"/>
    </row>
    <row r="788" spans="2:13" customFormat="1">
      <c r="B788" s="455"/>
      <c r="C788" s="455"/>
      <c r="D788" s="441"/>
      <c r="E788" s="441"/>
      <c r="F788" s="441"/>
      <c r="G788" s="441"/>
      <c r="H788" s="441"/>
      <c r="I788" s="441"/>
      <c r="J788" s="441"/>
      <c r="K788" s="441"/>
      <c r="L788" s="441"/>
      <c r="M788" s="441"/>
    </row>
    <row r="789" spans="2:13" customFormat="1">
      <c r="B789" s="455"/>
      <c r="C789" s="455"/>
      <c r="D789" s="441"/>
      <c r="E789" s="441"/>
      <c r="F789" s="441"/>
      <c r="G789" s="441"/>
      <c r="H789" s="441"/>
      <c r="I789" s="441"/>
      <c r="J789" s="441"/>
      <c r="K789" s="441"/>
      <c r="L789" s="441"/>
      <c r="M789" s="441"/>
    </row>
    <row r="790" spans="2:13" customFormat="1">
      <c r="B790" s="455"/>
      <c r="C790" s="455"/>
      <c r="D790" s="441"/>
      <c r="E790" s="441"/>
      <c r="F790" s="441"/>
      <c r="G790" s="441"/>
      <c r="H790" s="441"/>
      <c r="I790" s="441"/>
      <c r="J790" s="441"/>
      <c r="K790" s="441"/>
      <c r="L790" s="441"/>
      <c r="M790" s="441"/>
    </row>
    <row r="791" spans="2:13" customFormat="1">
      <c r="B791" s="455"/>
      <c r="C791" s="455"/>
      <c r="D791" s="441"/>
      <c r="E791" s="441"/>
      <c r="F791" s="441"/>
      <c r="G791" s="441"/>
      <c r="H791" s="441"/>
      <c r="I791" s="441"/>
      <c r="J791" s="441"/>
      <c r="K791" s="441"/>
      <c r="L791" s="441"/>
      <c r="M791" s="441"/>
    </row>
    <row r="792" spans="2:13" customFormat="1">
      <c r="B792" s="455"/>
      <c r="C792" s="455"/>
      <c r="D792" s="441"/>
      <c r="E792" s="441"/>
      <c r="F792" s="441"/>
      <c r="G792" s="441"/>
      <c r="H792" s="441"/>
      <c r="I792" s="441"/>
      <c r="J792" s="441"/>
      <c r="K792" s="441"/>
      <c r="L792" s="441"/>
      <c r="M792" s="441"/>
    </row>
    <row r="793" spans="2:13" customFormat="1">
      <c r="B793" s="455"/>
      <c r="C793" s="455"/>
      <c r="D793" s="441"/>
      <c r="E793" s="441"/>
      <c r="F793" s="441"/>
      <c r="G793" s="441"/>
      <c r="H793" s="441"/>
      <c r="I793" s="441"/>
      <c r="J793" s="441"/>
      <c r="K793" s="441"/>
      <c r="L793" s="441"/>
      <c r="M793" s="441"/>
    </row>
    <row r="794" spans="2:13" customFormat="1">
      <c r="B794" s="455"/>
      <c r="C794" s="455"/>
      <c r="D794" s="441"/>
      <c r="E794" s="441"/>
      <c r="F794" s="441"/>
      <c r="G794" s="441"/>
      <c r="H794" s="441"/>
      <c r="I794" s="441"/>
      <c r="J794" s="441"/>
      <c r="K794" s="441"/>
      <c r="L794" s="441"/>
      <c r="M794" s="441"/>
    </row>
    <row r="795" spans="2:13" customFormat="1">
      <c r="B795" s="455"/>
      <c r="C795" s="455"/>
      <c r="D795" s="441"/>
      <c r="E795" s="441"/>
      <c r="F795" s="441"/>
      <c r="G795" s="441"/>
      <c r="H795" s="441"/>
      <c r="I795" s="441"/>
      <c r="J795" s="441"/>
      <c r="K795" s="441"/>
      <c r="L795" s="441"/>
      <c r="M795" s="441"/>
    </row>
    <row r="796" spans="2:13" customFormat="1">
      <c r="B796" s="455"/>
      <c r="C796" s="455"/>
      <c r="D796" s="441"/>
      <c r="E796" s="441"/>
      <c r="F796" s="441"/>
      <c r="G796" s="441"/>
      <c r="H796" s="441"/>
      <c r="I796" s="441"/>
      <c r="J796" s="441"/>
      <c r="K796" s="441"/>
      <c r="L796" s="441"/>
      <c r="M796" s="441"/>
    </row>
    <row r="797" spans="2:13" customFormat="1">
      <c r="B797" s="455"/>
      <c r="C797" s="455"/>
      <c r="D797" s="441"/>
      <c r="E797" s="441"/>
      <c r="F797" s="441"/>
      <c r="G797" s="441"/>
      <c r="H797" s="441"/>
      <c r="I797" s="441"/>
      <c r="J797" s="441"/>
      <c r="K797" s="441"/>
      <c r="L797" s="441"/>
      <c r="M797" s="441"/>
    </row>
    <row r="798" spans="2:13" customFormat="1">
      <c r="B798" s="455"/>
      <c r="C798" s="455"/>
      <c r="D798" s="441"/>
      <c r="E798" s="441"/>
      <c r="F798" s="441"/>
      <c r="G798" s="441"/>
      <c r="H798" s="441"/>
      <c r="I798" s="441"/>
      <c r="J798" s="441"/>
      <c r="K798" s="441"/>
      <c r="L798" s="441"/>
      <c r="M798" s="441"/>
    </row>
    <row r="799" spans="2:13" customFormat="1">
      <c r="B799" s="455"/>
      <c r="C799" s="455"/>
      <c r="D799" s="441"/>
      <c r="E799" s="441"/>
      <c r="F799" s="441"/>
      <c r="G799" s="441"/>
      <c r="H799" s="441"/>
      <c r="I799" s="441"/>
      <c r="J799" s="441"/>
      <c r="K799" s="441"/>
      <c r="L799" s="441"/>
      <c r="M799" s="441"/>
    </row>
    <row r="800" spans="2:13" customFormat="1">
      <c r="B800" s="455"/>
      <c r="C800" s="455"/>
      <c r="D800" s="441"/>
      <c r="E800" s="441"/>
      <c r="F800" s="441"/>
      <c r="G800" s="441"/>
      <c r="H800" s="441"/>
      <c r="I800" s="441"/>
      <c r="J800" s="441"/>
      <c r="K800" s="441"/>
      <c r="L800" s="441"/>
      <c r="M800" s="441"/>
    </row>
    <row r="801" spans="2:13" customFormat="1">
      <c r="B801" s="455"/>
      <c r="C801" s="455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</row>
    <row r="802" spans="2:13" customFormat="1">
      <c r="B802" s="455"/>
      <c r="C802" s="455"/>
      <c r="D802" s="441"/>
      <c r="E802" s="441"/>
      <c r="F802" s="441"/>
      <c r="G802" s="441"/>
      <c r="H802" s="441"/>
      <c r="I802" s="441"/>
      <c r="J802" s="441"/>
      <c r="K802" s="441"/>
      <c r="L802" s="441"/>
      <c r="M802" s="441"/>
    </row>
    <row r="803" spans="2:13" customFormat="1">
      <c r="B803" s="455"/>
      <c r="C803" s="455"/>
      <c r="D803" s="441"/>
      <c r="E803" s="441"/>
      <c r="F803" s="441"/>
      <c r="G803" s="441"/>
      <c r="H803" s="441"/>
      <c r="I803" s="441"/>
      <c r="J803" s="441"/>
      <c r="K803" s="441"/>
      <c r="L803" s="441"/>
      <c r="M803" s="441"/>
    </row>
    <row r="804" spans="2:13" customFormat="1">
      <c r="B804" s="455"/>
      <c r="C804" s="455"/>
      <c r="D804" s="441"/>
      <c r="E804" s="441"/>
      <c r="F804" s="441"/>
      <c r="G804" s="441"/>
      <c r="H804" s="441"/>
      <c r="I804" s="441"/>
      <c r="J804" s="441"/>
      <c r="K804" s="441"/>
      <c r="L804" s="441"/>
      <c r="M804" s="441"/>
    </row>
    <row r="805" spans="2:13" customFormat="1">
      <c r="B805" s="455"/>
      <c r="C805" s="455"/>
      <c r="D805" s="441"/>
      <c r="E805" s="441"/>
      <c r="F805" s="441"/>
      <c r="G805" s="441"/>
      <c r="H805" s="441"/>
      <c r="I805" s="441"/>
      <c r="J805" s="441"/>
      <c r="K805" s="441"/>
      <c r="L805" s="441"/>
      <c r="M805" s="441"/>
    </row>
    <row r="806" spans="2:13" customFormat="1">
      <c r="B806" s="455"/>
      <c r="C806" s="455"/>
      <c r="D806" s="441"/>
      <c r="E806" s="441"/>
      <c r="F806" s="441"/>
      <c r="G806" s="441"/>
      <c r="H806" s="441"/>
      <c r="I806" s="441"/>
      <c r="J806" s="441"/>
      <c r="K806" s="441"/>
      <c r="L806" s="441"/>
      <c r="M806" s="441"/>
    </row>
    <row r="807" spans="2:13" customFormat="1">
      <c r="B807" s="455"/>
      <c r="C807" s="455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</row>
    <row r="808" spans="2:13" customFormat="1">
      <c r="B808" s="455"/>
      <c r="C808" s="455"/>
      <c r="D808" s="441"/>
      <c r="E808" s="441"/>
      <c r="F808" s="441"/>
      <c r="G808" s="441"/>
      <c r="H808" s="441"/>
      <c r="I808" s="441"/>
      <c r="J808" s="441"/>
      <c r="K808" s="441"/>
      <c r="L808" s="441"/>
      <c r="M808" s="441"/>
    </row>
    <row r="809" spans="2:13" customFormat="1">
      <c r="B809" s="455"/>
      <c r="C809" s="455"/>
      <c r="D809" s="441"/>
      <c r="E809" s="441"/>
      <c r="F809" s="441"/>
      <c r="G809" s="441"/>
      <c r="H809" s="441"/>
      <c r="I809" s="441"/>
      <c r="J809" s="441"/>
      <c r="K809" s="441"/>
      <c r="L809" s="441"/>
      <c r="M809" s="441"/>
    </row>
    <row r="810" spans="2:13" customFormat="1">
      <c r="B810" s="455"/>
      <c r="C810" s="455"/>
      <c r="D810" s="441"/>
      <c r="E810" s="441"/>
      <c r="F810" s="441"/>
      <c r="G810" s="441"/>
      <c r="H810" s="441"/>
      <c r="I810" s="441"/>
      <c r="J810" s="441"/>
      <c r="K810" s="441"/>
      <c r="L810" s="441"/>
      <c r="M810" s="441"/>
    </row>
    <row r="811" spans="2:13" customFormat="1">
      <c r="B811" s="455"/>
      <c r="C811" s="455"/>
      <c r="D811" s="441"/>
      <c r="E811" s="441"/>
      <c r="F811" s="441"/>
      <c r="G811" s="441"/>
      <c r="H811" s="441"/>
      <c r="I811" s="441"/>
      <c r="J811" s="441"/>
      <c r="K811" s="441"/>
      <c r="L811" s="441"/>
      <c r="M811" s="441"/>
    </row>
    <row r="812" spans="2:13" customFormat="1">
      <c r="B812" s="455"/>
      <c r="C812" s="455"/>
      <c r="D812" s="441"/>
      <c r="E812" s="441"/>
      <c r="F812" s="441"/>
      <c r="G812" s="441"/>
      <c r="H812" s="441"/>
      <c r="I812" s="441"/>
      <c r="J812" s="441"/>
      <c r="K812" s="441"/>
      <c r="L812" s="441"/>
      <c r="M812" s="441"/>
    </row>
    <row r="813" spans="2:13" customFormat="1">
      <c r="B813" s="455"/>
      <c r="C813" s="455"/>
      <c r="D813" s="441"/>
      <c r="E813" s="441"/>
      <c r="F813" s="441"/>
      <c r="G813" s="441"/>
      <c r="H813" s="441"/>
      <c r="I813" s="441"/>
      <c r="J813" s="441"/>
      <c r="K813" s="441"/>
      <c r="L813" s="441"/>
      <c r="M813" s="441"/>
    </row>
    <row r="814" spans="2:13" customFormat="1">
      <c r="B814" s="455"/>
      <c r="C814" s="455"/>
      <c r="D814" s="441"/>
      <c r="E814" s="441"/>
      <c r="F814" s="441"/>
      <c r="G814" s="441"/>
      <c r="H814" s="441"/>
      <c r="I814" s="441"/>
      <c r="J814" s="441"/>
      <c r="K814" s="441"/>
      <c r="L814" s="441"/>
      <c r="M814" s="441"/>
    </row>
    <row r="815" spans="2:13" customFormat="1">
      <c r="B815" s="455"/>
      <c r="C815" s="455"/>
      <c r="D815" s="441"/>
      <c r="E815" s="441"/>
      <c r="F815" s="441"/>
      <c r="G815" s="441"/>
      <c r="H815" s="441"/>
      <c r="I815" s="441"/>
      <c r="J815" s="441"/>
      <c r="K815" s="441"/>
      <c r="L815" s="441"/>
      <c r="M815" s="441"/>
    </row>
    <row r="816" spans="2:13" customFormat="1">
      <c r="B816" s="455"/>
      <c r="C816" s="455"/>
      <c r="D816" s="441"/>
      <c r="E816" s="441"/>
      <c r="F816" s="441"/>
      <c r="G816" s="441"/>
      <c r="H816" s="441"/>
      <c r="I816" s="441"/>
      <c r="J816" s="441"/>
      <c r="K816" s="441"/>
      <c r="L816" s="441"/>
      <c r="M816" s="441"/>
    </row>
    <row r="817" spans="2:13" customFormat="1">
      <c r="B817" s="455"/>
      <c r="C817" s="455"/>
      <c r="D817" s="441"/>
      <c r="E817" s="441"/>
      <c r="F817" s="441"/>
      <c r="G817" s="441"/>
      <c r="H817" s="441"/>
      <c r="I817" s="441"/>
      <c r="J817" s="441"/>
      <c r="K817" s="441"/>
      <c r="L817" s="441"/>
      <c r="M817" s="441"/>
    </row>
    <row r="818" spans="2:13" customFormat="1">
      <c r="B818" s="455"/>
      <c r="C818" s="455"/>
      <c r="D818" s="441"/>
      <c r="E818" s="441"/>
      <c r="F818" s="441"/>
      <c r="G818" s="441"/>
      <c r="H818" s="441"/>
      <c r="I818" s="441"/>
      <c r="J818" s="441"/>
      <c r="K818" s="441"/>
      <c r="L818" s="441"/>
      <c r="M818" s="441"/>
    </row>
    <row r="819" spans="2:13" customFormat="1">
      <c r="B819" s="455"/>
      <c r="C819" s="455"/>
      <c r="D819" s="441"/>
      <c r="E819" s="441"/>
      <c r="F819" s="441"/>
      <c r="G819" s="441"/>
      <c r="H819" s="441"/>
      <c r="I819" s="441"/>
      <c r="J819" s="441"/>
      <c r="K819" s="441"/>
      <c r="L819" s="441"/>
      <c r="M819" s="441"/>
    </row>
    <row r="820" spans="2:13" customFormat="1">
      <c r="B820" s="455"/>
      <c r="C820" s="455"/>
      <c r="D820" s="441"/>
      <c r="E820" s="441"/>
      <c r="F820" s="441"/>
      <c r="G820" s="441"/>
      <c r="H820" s="441"/>
      <c r="I820" s="441"/>
      <c r="J820" s="441"/>
      <c r="K820" s="441"/>
      <c r="L820" s="441"/>
      <c r="M820" s="441"/>
    </row>
    <row r="821" spans="2:13" customFormat="1">
      <c r="B821" s="455"/>
      <c r="C821" s="455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</row>
    <row r="822" spans="2:13" customFormat="1">
      <c r="B822" s="455"/>
      <c r="C822" s="455"/>
      <c r="D822" s="441"/>
      <c r="E822" s="441"/>
      <c r="F822" s="441"/>
      <c r="G822" s="441"/>
      <c r="H822" s="441"/>
      <c r="I822" s="441"/>
      <c r="J822" s="441"/>
      <c r="K822" s="441"/>
      <c r="L822" s="441"/>
      <c r="M822" s="441"/>
    </row>
    <row r="823" spans="2:13" customFormat="1">
      <c r="B823" s="455"/>
      <c r="C823" s="455"/>
      <c r="D823" s="441"/>
      <c r="E823" s="441"/>
      <c r="F823" s="441"/>
      <c r="G823" s="441"/>
      <c r="H823" s="441"/>
      <c r="I823" s="441"/>
      <c r="J823" s="441"/>
      <c r="K823" s="441"/>
      <c r="L823" s="441"/>
      <c r="M823" s="441"/>
    </row>
    <row r="824" spans="2:13" customFormat="1">
      <c r="B824" s="455"/>
      <c r="C824" s="455"/>
      <c r="D824" s="441"/>
      <c r="E824" s="441"/>
      <c r="F824" s="441"/>
      <c r="G824" s="441"/>
      <c r="H824" s="441"/>
      <c r="I824" s="441"/>
      <c r="J824" s="441"/>
      <c r="K824" s="441"/>
      <c r="L824" s="441"/>
      <c r="M824" s="441"/>
    </row>
    <row r="825" spans="2:13" customFormat="1">
      <c r="B825" s="455"/>
      <c r="C825" s="455"/>
      <c r="D825" s="441"/>
      <c r="E825" s="441"/>
      <c r="F825" s="441"/>
      <c r="G825" s="441"/>
      <c r="H825" s="441"/>
      <c r="I825" s="441"/>
      <c r="J825" s="441"/>
      <c r="K825" s="441"/>
      <c r="L825" s="441"/>
      <c r="M825" s="441"/>
    </row>
    <row r="826" spans="2:13" customFormat="1">
      <c r="B826" s="455"/>
      <c r="C826" s="455"/>
      <c r="D826" s="441"/>
      <c r="E826" s="441"/>
      <c r="F826" s="441"/>
      <c r="G826" s="441"/>
      <c r="H826" s="441"/>
      <c r="I826" s="441"/>
      <c r="J826" s="441"/>
      <c r="K826" s="441"/>
      <c r="L826" s="441"/>
      <c r="M826" s="441"/>
    </row>
    <row r="827" spans="2:13" customFormat="1">
      <c r="B827" s="455"/>
      <c r="C827" s="455"/>
      <c r="D827" s="441"/>
      <c r="E827" s="441"/>
      <c r="F827" s="441"/>
      <c r="G827" s="441"/>
      <c r="H827" s="441"/>
      <c r="I827" s="441"/>
      <c r="J827" s="441"/>
      <c r="K827" s="441"/>
      <c r="L827" s="441"/>
      <c r="M827" s="441"/>
    </row>
    <row r="828" spans="2:13" customFormat="1">
      <c r="B828" s="455"/>
      <c r="C828" s="455"/>
      <c r="D828" s="441"/>
      <c r="E828" s="441"/>
      <c r="F828" s="441"/>
      <c r="G828" s="441"/>
      <c r="H828" s="441"/>
      <c r="I828" s="441"/>
      <c r="J828" s="441"/>
      <c r="K828" s="441"/>
      <c r="L828" s="441"/>
      <c r="M828" s="441"/>
    </row>
    <row r="829" spans="2:13" customFormat="1">
      <c r="B829" s="455"/>
      <c r="C829" s="455"/>
      <c r="D829" s="441"/>
      <c r="E829" s="441"/>
      <c r="F829" s="441"/>
      <c r="G829" s="441"/>
      <c r="H829" s="441"/>
      <c r="I829" s="441"/>
      <c r="J829" s="441"/>
      <c r="K829" s="441"/>
      <c r="L829" s="441"/>
      <c r="M829" s="441"/>
    </row>
    <row r="830" spans="2:13" customFormat="1">
      <c r="B830" s="455"/>
      <c r="C830" s="455"/>
      <c r="D830" s="441"/>
      <c r="E830" s="441"/>
      <c r="F830" s="441"/>
      <c r="G830" s="441"/>
      <c r="H830" s="441"/>
      <c r="I830" s="441"/>
      <c r="J830" s="441"/>
      <c r="K830" s="441"/>
      <c r="L830" s="441"/>
      <c r="M830" s="441"/>
    </row>
    <row r="831" spans="2:13" customFormat="1">
      <c r="B831" s="455"/>
      <c r="C831" s="455"/>
      <c r="D831" s="441"/>
      <c r="E831" s="441"/>
      <c r="F831" s="441"/>
      <c r="G831" s="441"/>
      <c r="H831" s="441"/>
      <c r="I831" s="441"/>
      <c r="J831" s="441"/>
      <c r="K831" s="441"/>
      <c r="L831" s="441"/>
      <c r="M831" s="441"/>
    </row>
    <row r="832" spans="2:13" customFormat="1">
      <c r="B832" s="455"/>
      <c r="C832" s="455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</row>
    <row r="833" spans="2:13" customFormat="1">
      <c r="B833" s="455"/>
      <c r="C833" s="455"/>
      <c r="D833" s="441"/>
      <c r="E833" s="441"/>
      <c r="F833" s="441"/>
      <c r="G833" s="441"/>
      <c r="H833" s="441"/>
      <c r="I833" s="441"/>
      <c r="J833" s="441"/>
      <c r="K833" s="441"/>
      <c r="L833" s="441"/>
      <c r="M833" s="441"/>
    </row>
    <row r="834" spans="2:13" customFormat="1">
      <c r="B834" s="455"/>
      <c r="C834" s="455"/>
      <c r="D834" s="441"/>
      <c r="E834" s="441"/>
      <c r="F834" s="441"/>
      <c r="G834" s="441"/>
      <c r="H834" s="441"/>
      <c r="I834" s="441"/>
      <c r="J834" s="441"/>
      <c r="K834" s="441"/>
      <c r="L834" s="441"/>
      <c r="M834" s="441"/>
    </row>
    <row r="835" spans="2:13" customFormat="1">
      <c r="B835" s="455"/>
      <c r="C835" s="455"/>
      <c r="D835" s="441"/>
      <c r="E835" s="441"/>
      <c r="F835" s="441"/>
      <c r="G835" s="441"/>
      <c r="H835" s="441"/>
      <c r="I835" s="441"/>
      <c r="J835" s="441"/>
      <c r="K835" s="441"/>
      <c r="L835" s="441"/>
      <c r="M835" s="441"/>
    </row>
    <row r="836" spans="2:13" customFormat="1">
      <c r="B836" s="455"/>
      <c r="C836" s="455"/>
      <c r="D836" s="441"/>
      <c r="E836" s="441"/>
      <c r="F836" s="441"/>
      <c r="G836" s="441"/>
      <c r="H836" s="441"/>
      <c r="I836" s="441"/>
      <c r="J836" s="441"/>
      <c r="K836" s="441"/>
      <c r="L836" s="441"/>
      <c r="M836" s="441"/>
    </row>
    <row r="837" spans="2:13" customFormat="1">
      <c r="B837" s="455"/>
      <c r="C837" s="455"/>
      <c r="D837" s="441"/>
      <c r="E837" s="441"/>
      <c r="F837" s="441"/>
      <c r="G837" s="441"/>
      <c r="H837" s="441"/>
      <c r="I837" s="441"/>
      <c r="J837" s="441"/>
      <c r="K837" s="441"/>
      <c r="L837" s="441"/>
      <c r="M837" s="441"/>
    </row>
    <row r="838" spans="2:13" customFormat="1">
      <c r="B838" s="455"/>
      <c r="C838" s="455"/>
      <c r="D838" s="441"/>
      <c r="E838" s="441"/>
      <c r="F838" s="441"/>
      <c r="G838" s="441"/>
      <c r="H838" s="441"/>
      <c r="I838" s="441"/>
      <c r="J838" s="441"/>
      <c r="K838" s="441"/>
      <c r="L838" s="441"/>
      <c r="M838" s="441"/>
    </row>
    <row r="839" spans="2:13" customFormat="1">
      <c r="B839" s="455"/>
      <c r="C839" s="455"/>
      <c r="D839" s="441"/>
      <c r="E839" s="441"/>
      <c r="F839" s="441"/>
      <c r="G839" s="441"/>
      <c r="H839" s="441"/>
      <c r="I839" s="441"/>
      <c r="J839" s="441"/>
      <c r="K839" s="441"/>
      <c r="L839" s="441"/>
      <c r="M839" s="441"/>
    </row>
    <row r="840" spans="2:13" customFormat="1">
      <c r="B840" s="455"/>
      <c r="C840" s="455"/>
      <c r="D840" s="441"/>
      <c r="E840" s="441"/>
      <c r="F840" s="441"/>
      <c r="G840" s="441"/>
      <c r="H840" s="441"/>
      <c r="I840" s="441"/>
      <c r="J840" s="441"/>
      <c r="K840" s="441"/>
      <c r="L840" s="441"/>
      <c r="M840" s="441"/>
    </row>
    <row r="841" spans="2:13" customFormat="1">
      <c r="B841" s="455"/>
      <c r="C841" s="455"/>
      <c r="D841" s="441"/>
      <c r="E841" s="441"/>
      <c r="F841" s="441"/>
      <c r="G841" s="441"/>
      <c r="H841" s="441"/>
      <c r="I841" s="441"/>
      <c r="J841" s="441"/>
      <c r="K841" s="441"/>
      <c r="L841" s="441"/>
      <c r="M841" s="441"/>
    </row>
    <row r="842" spans="2:13" customFormat="1">
      <c r="B842" s="455"/>
      <c r="C842" s="455"/>
      <c r="D842" s="441"/>
      <c r="E842" s="441"/>
      <c r="F842" s="441"/>
      <c r="G842" s="441"/>
      <c r="H842" s="441"/>
      <c r="I842" s="441"/>
      <c r="J842" s="441"/>
      <c r="K842" s="441"/>
      <c r="L842" s="441"/>
      <c r="M842" s="441"/>
    </row>
    <row r="843" spans="2:13" customFormat="1">
      <c r="B843" s="455"/>
      <c r="C843" s="455"/>
      <c r="D843" s="441"/>
      <c r="E843" s="441"/>
      <c r="F843" s="441"/>
      <c r="G843" s="441"/>
      <c r="H843" s="441"/>
      <c r="I843" s="441"/>
      <c r="J843" s="441"/>
      <c r="K843" s="441"/>
      <c r="L843" s="441"/>
      <c r="M843" s="441"/>
    </row>
    <row r="844" spans="2:13" customFormat="1">
      <c r="B844" s="455"/>
      <c r="C844" s="455"/>
      <c r="D844" s="441"/>
      <c r="E844" s="441"/>
      <c r="F844" s="441"/>
      <c r="G844" s="441"/>
      <c r="H844" s="441"/>
      <c r="I844" s="441"/>
      <c r="J844" s="441"/>
      <c r="K844" s="441"/>
      <c r="L844" s="441"/>
      <c r="M844" s="441"/>
    </row>
    <row r="845" spans="2:13" customFormat="1">
      <c r="B845" s="455"/>
      <c r="C845" s="455"/>
      <c r="D845" s="441"/>
      <c r="E845" s="441"/>
      <c r="F845" s="441"/>
      <c r="G845" s="441"/>
      <c r="H845" s="441"/>
      <c r="I845" s="441"/>
      <c r="J845" s="441"/>
      <c r="K845" s="441"/>
      <c r="L845" s="441"/>
      <c r="M845" s="441"/>
    </row>
    <row r="846" spans="2:13" customFormat="1">
      <c r="B846" s="455"/>
      <c r="C846" s="455"/>
      <c r="D846" s="441"/>
      <c r="E846" s="441"/>
      <c r="F846" s="441"/>
      <c r="G846" s="441"/>
      <c r="H846" s="441"/>
      <c r="I846" s="441"/>
      <c r="J846" s="441"/>
      <c r="K846" s="441"/>
      <c r="L846" s="441"/>
      <c r="M846" s="441"/>
    </row>
    <row r="847" spans="2:13" customFormat="1">
      <c r="B847" s="455"/>
      <c r="C847" s="455"/>
      <c r="D847" s="441"/>
      <c r="E847" s="441"/>
      <c r="F847" s="441"/>
      <c r="G847" s="441"/>
      <c r="H847" s="441"/>
      <c r="I847" s="441"/>
      <c r="J847" s="441"/>
      <c r="K847" s="441"/>
      <c r="L847" s="441"/>
      <c r="M847" s="441"/>
    </row>
    <row r="848" spans="2:13" customFormat="1">
      <c r="B848" s="455"/>
      <c r="C848" s="455"/>
      <c r="D848" s="441"/>
      <c r="E848" s="441"/>
      <c r="F848" s="441"/>
      <c r="G848" s="441"/>
      <c r="H848" s="441"/>
      <c r="I848" s="441"/>
      <c r="J848" s="441"/>
      <c r="K848" s="441"/>
      <c r="L848" s="441"/>
      <c r="M848" s="441"/>
    </row>
    <row r="849" spans="2:13" customFormat="1">
      <c r="B849" s="455"/>
      <c r="C849" s="455"/>
      <c r="D849" s="441"/>
      <c r="E849" s="441"/>
      <c r="F849" s="441"/>
      <c r="G849" s="441"/>
      <c r="H849" s="441"/>
      <c r="I849" s="441"/>
      <c r="J849" s="441"/>
      <c r="K849" s="441"/>
      <c r="L849" s="441"/>
      <c r="M849" s="441"/>
    </row>
    <row r="850" spans="2:13" customFormat="1">
      <c r="B850" s="455"/>
      <c r="C850" s="455"/>
      <c r="D850" s="441"/>
      <c r="E850" s="441"/>
      <c r="F850" s="441"/>
      <c r="G850" s="441"/>
      <c r="H850" s="441"/>
      <c r="I850" s="441"/>
      <c r="J850" s="441"/>
      <c r="K850" s="441"/>
      <c r="L850" s="441"/>
      <c r="M850" s="441"/>
    </row>
    <row r="851" spans="2:13" customFormat="1">
      <c r="B851" s="455"/>
      <c r="C851" s="455"/>
      <c r="D851" s="441"/>
      <c r="E851" s="441"/>
      <c r="F851" s="441"/>
      <c r="G851" s="441"/>
      <c r="H851" s="441"/>
      <c r="I851" s="441"/>
      <c r="J851" s="441"/>
      <c r="K851" s="441"/>
      <c r="L851" s="441"/>
      <c r="M851" s="441"/>
    </row>
    <row r="852" spans="2:13" customFormat="1">
      <c r="B852" s="455"/>
      <c r="C852" s="455"/>
      <c r="D852" s="441"/>
      <c r="E852" s="441"/>
      <c r="F852" s="441"/>
      <c r="G852" s="441"/>
      <c r="H852" s="441"/>
      <c r="I852" s="441"/>
      <c r="J852" s="441"/>
      <c r="K852" s="441"/>
      <c r="L852" s="441"/>
      <c r="M852" s="441"/>
    </row>
    <row r="853" spans="2:13" customFormat="1">
      <c r="B853" s="455"/>
      <c r="C853" s="455"/>
      <c r="D853" s="441"/>
      <c r="E853" s="441"/>
      <c r="F853" s="441"/>
      <c r="G853" s="441"/>
      <c r="H853" s="441"/>
      <c r="I853" s="441"/>
      <c r="J853" s="441"/>
      <c r="K853" s="441"/>
      <c r="L853" s="441"/>
      <c r="M853" s="441"/>
    </row>
    <row r="854" spans="2:13" customFormat="1">
      <c r="B854" s="455"/>
      <c r="C854" s="455"/>
      <c r="D854" s="441"/>
      <c r="E854" s="441"/>
      <c r="F854" s="441"/>
      <c r="G854" s="441"/>
      <c r="H854" s="441"/>
      <c r="I854" s="441"/>
      <c r="J854" s="441"/>
      <c r="K854" s="441"/>
      <c r="L854" s="441"/>
      <c r="M854" s="441"/>
    </row>
    <row r="855" spans="2:13" customFormat="1">
      <c r="B855" s="455"/>
      <c r="C855" s="455"/>
      <c r="D855" s="441"/>
      <c r="E855" s="441"/>
      <c r="F855" s="441"/>
      <c r="G855" s="441"/>
      <c r="H855" s="441"/>
      <c r="I855" s="441"/>
      <c r="J855" s="441"/>
      <c r="K855" s="441"/>
      <c r="L855" s="441"/>
      <c r="M855" s="441"/>
    </row>
    <row r="856" spans="2:13" customFormat="1">
      <c r="B856" s="455"/>
      <c r="C856" s="455"/>
      <c r="D856" s="441"/>
      <c r="E856" s="441"/>
      <c r="F856" s="441"/>
      <c r="G856" s="441"/>
      <c r="H856" s="441"/>
      <c r="I856" s="441"/>
      <c r="J856" s="441"/>
      <c r="K856" s="441"/>
      <c r="L856" s="441"/>
      <c r="M856" s="441"/>
    </row>
    <row r="857" spans="2:13" customFormat="1">
      <c r="B857" s="455"/>
      <c r="C857" s="455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</row>
    <row r="858" spans="2:13" customFormat="1">
      <c r="B858" s="455"/>
      <c r="C858" s="455"/>
      <c r="D858" s="441"/>
      <c r="E858" s="441"/>
      <c r="F858" s="441"/>
      <c r="G858" s="441"/>
      <c r="H858" s="441"/>
      <c r="I858" s="441"/>
      <c r="J858" s="441"/>
      <c r="K858" s="441"/>
      <c r="L858" s="441"/>
      <c r="M858" s="441"/>
    </row>
    <row r="859" spans="2:13" customFormat="1">
      <c r="B859" s="455"/>
      <c r="C859" s="455"/>
      <c r="D859" s="441"/>
      <c r="E859" s="441"/>
      <c r="F859" s="441"/>
      <c r="G859" s="441"/>
      <c r="H859" s="441"/>
      <c r="I859" s="441"/>
      <c r="J859" s="441"/>
      <c r="K859" s="441"/>
      <c r="L859" s="441"/>
      <c r="M859" s="441"/>
    </row>
    <row r="860" spans="2:13" customFormat="1">
      <c r="B860" s="455"/>
      <c r="C860" s="455"/>
      <c r="D860" s="441"/>
      <c r="E860" s="441"/>
      <c r="F860" s="441"/>
      <c r="G860" s="441"/>
      <c r="H860" s="441"/>
      <c r="I860" s="441"/>
      <c r="J860" s="441"/>
      <c r="K860" s="441"/>
      <c r="L860" s="441"/>
      <c r="M860" s="441"/>
    </row>
    <row r="861" spans="2:13" customFormat="1">
      <c r="B861" s="455"/>
      <c r="C861" s="455"/>
      <c r="D861" s="441"/>
      <c r="E861" s="441"/>
      <c r="F861" s="441"/>
      <c r="G861" s="441"/>
      <c r="H861" s="441"/>
      <c r="I861" s="441"/>
      <c r="J861" s="441"/>
      <c r="K861" s="441"/>
      <c r="L861" s="441"/>
      <c r="M861" s="441"/>
    </row>
    <row r="862" spans="2:13" customFormat="1">
      <c r="B862" s="455"/>
      <c r="C862" s="455"/>
      <c r="D862" s="441"/>
      <c r="E862" s="441"/>
      <c r="F862" s="441"/>
      <c r="G862" s="441"/>
      <c r="H862" s="441"/>
      <c r="I862" s="441"/>
      <c r="J862" s="441"/>
      <c r="K862" s="441"/>
      <c r="L862" s="441"/>
      <c r="M862" s="441"/>
    </row>
    <row r="863" spans="2:13" customFormat="1">
      <c r="B863" s="455"/>
      <c r="C863" s="455"/>
      <c r="D863" s="441"/>
      <c r="E863" s="441"/>
      <c r="F863" s="441"/>
      <c r="G863" s="441"/>
      <c r="H863" s="441"/>
      <c r="I863" s="441"/>
      <c r="J863" s="441"/>
      <c r="K863" s="441"/>
      <c r="L863" s="441"/>
      <c r="M863" s="441"/>
    </row>
    <row r="864" spans="2:13" customFormat="1">
      <c r="B864" s="455"/>
      <c r="C864" s="455"/>
      <c r="D864" s="441"/>
      <c r="E864" s="441"/>
      <c r="F864" s="441"/>
      <c r="G864" s="441"/>
      <c r="H864" s="441"/>
      <c r="I864" s="441"/>
      <c r="J864" s="441"/>
      <c r="K864" s="441"/>
      <c r="L864" s="441"/>
      <c r="M864" s="441"/>
    </row>
    <row r="865" spans="2:13" customFormat="1">
      <c r="B865" s="455"/>
      <c r="C865" s="455"/>
      <c r="D865" s="441"/>
      <c r="E865" s="441"/>
      <c r="F865" s="441"/>
      <c r="G865" s="441"/>
      <c r="H865" s="441"/>
      <c r="I865" s="441"/>
      <c r="J865" s="441"/>
      <c r="K865" s="441"/>
      <c r="L865" s="441"/>
      <c r="M865" s="441"/>
    </row>
    <row r="866" spans="2:13" customFormat="1">
      <c r="B866" s="455"/>
      <c r="C866" s="455"/>
      <c r="D866" s="441"/>
      <c r="E866" s="441"/>
      <c r="F866" s="441"/>
      <c r="G866" s="441"/>
      <c r="H866" s="441"/>
      <c r="I866" s="441"/>
      <c r="J866" s="441"/>
      <c r="K866" s="441"/>
      <c r="L866" s="441"/>
      <c r="M866" s="441"/>
    </row>
    <row r="867" spans="2:13" customFormat="1">
      <c r="B867" s="455"/>
      <c r="C867" s="455"/>
      <c r="D867" s="441"/>
      <c r="E867" s="441"/>
      <c r="F867" s="441"/>
      <c r="G867" s="441"/>
      <c r="H867" s="441"/>
      <c r="I867" s="441"/>
      <c r="J867" s="441"/>
      <c r="K867" s="441"/>
      <c r="L867" s="441"/>
      <c r="M867" s="441"/>
    </row>
    <row r="868" spans="2:13" customFormat="1">
      <c r="B868" s="455"/>
      <c r="C868" s="455"/>
      <c r="D868" s="441"/>
      <c r="E868" s="441"/>
      <c r="F868" s="441"/>
      <c r="G868" s="441"/>
      <c r="H868" s="441"/>
      <c r="I868" s="441"/>
      <c r="J868" s="441"/>
      <c r="K868" s="441"/>
      <c r="L868" s="441"/>
      <c r="M868" s="441"/>
    </row>
    <row r="869" spans="2:13" customFormat="1">
      <c r="B869" s="455"/>
      <c r="C869" s="455"/>
      <c r="D869" s="441"/>
      <c r="E869" s="441"/>
      <c r="F869" s="441"/>
      <c r="G869" s="441"/>
      <c r="H869" s="441"/>
      <c r="I869" s="441"/>
      <c r="J869" s="441"/>
      <c r="K869" s="441"/>
      <c r="L869" s="441"/>
      <c r="M869" s="441"/>
    </row>
    <row r="870" spans="2:13" customFormat="1">
      <c r="B870" s="455"/>
      <c r="C870" s="455"/>
      <c r="D870" s="441"/>
      <c r="E870" s="441"/>
      <c r="F870" s="441"/>
      <c r="G870" s="441"/>
      <c r="H870" s="441"/>
      <c r="I870" s="441"/>
      <c r="J870" s="441"/>
      <c r="K870" s="441"/>
      <c r="L870" s="441"/>
      <c r="M870" s="441"/>
    </row>
    <row r="871" spans="2:13" customFormat="1">
      <c r="B871" s="455"/>
      <c r="C871" s="455"/>
      <c r="D871" s="441"/>
      <c r="E871" s="441"/>
      <c r="F871" s="441"/>
      <c r="G871" s="441"/>
      <c r="H871" s="441"/>
      <c r="I871" s="441"/>
      <c r="J871" s="441"/>
      <c r="K871" s="441"/>
      <c r="L871" s="441"/>
      <c r="M871" s="441"/>
    </row>
    <row r="872" spans="2:13" customFormat="1">
      <c r="B872" s="455"/>
      <c r="C872" s="455"/>
      <c r="D872" s="441"/>
      <c r="E872" s="441"/>
      <c r="F872" s="441"/>
      <c r="G872" s="441"/>
      <c r="H872" s="441"/>
      <c r="I872" s="441"/>
      <c r="J872" s="441"/>
      <c r="K872" s="441"/>
      <c r="L872" s="441"/>
      <c r="M872" s="441"/>
    </row>
    <row r="873" spans="2:13" customFormat="1">
      <c r="B873" s="455"/>
      <c r="C873" s="455"/>
      <c r="D873" s="441"/>
      <c r="E873" s="441"/>
      <c r="F873" s="441"/>
      <c r="G873" s="441"/>
      <c r="H873" s="441"/>
      <c r="I873" s="441"/>
      <c r="J873" s="441"/>
      <c r="K873" s="441"/>
      <c r="L873" s="441"/>
      <c r="M873" s="441"/>
    </row>
    <row r="874" spans="2:13" customFormat="1">
      <c r="B874" s="455"/>
      <c r="C874" s="455"/>
      <c r="D874" s="441"/>
      <c r="E874" s="441"/>
      <c r="F874" s="441"/>
      <c r="G874" s="441"/>
      <c r="H874" s="441"/>
      <c r="I874" s="441"/>
      <c r="J874" s="441"/>
      <c r="K874" s="441"/>
      <c r="L874" s="441"/>
      <c r="M874" s="441"/>
    </row>
    <row r="875" spans="2:13" customFormat="1">
      <c r="B875" s="455"/>
      <c r="C875" s="455"/>
      <c r="D875" s="441"/>
      <c r="E875" s="441"/>
      <c r="F875" s="441"/>
      <c r="G875" s="441"/>
      <c r="H875" s="441"/>
      <c r="I875" s="441"/>
      <c r="J875" s="441"/>
      <c r="K875" s="441"/>
      <c r="L875" s="441"/>
      <c r="M875" s="441"/>
    </row>
    <row r="876" spans="2:13" customFormat="1">
      <c r="B876" s="455"/>
      <c r="C876" s="455"/>
      <c r="D876" s="441"/>
      <c r="E876" s="441"/>
      <c r="F876" s="441"/>
      <c r="G876" s="441"/>
      <c r="H876" s="441"/>
      <c r="I876" s="441"/>
      <c r="J876" s="441"/>
      <c r="K876" s="441"/>
      <c r="L876" s="441"/>
      <c r="M876" s="441"/>
    </row>
    <row r="877" spans="2:13" customFormat="1">
      <c r="B877" s="455"/>
      <c r="C877" s="455"/>
      <c r="D877" s="441"/>
      <c r="E877" s="441"/>
      <c r="F877" s="441"/>
      <c r="G877" s="441"/>
      <c r="H877" s="441"/>
      <c r="I877" s="441"/>
      <c r="J877" s="441"/>
      <c r="K877" s="441"/>
      <c r="L877" s="441"/>
      <c r="M877" s="441"/>
    </row>
    <row r="878" spans="2:13" customFormat="1">
      <c r="B878" s="455"/>
      <c r="C878" s="455"/>
      <c r="D878" s="441"/>
      <c r="E878" s="441"/>
      <c r="F878" s="441"/>
      <c r="G878" s="441"/>
      <c r="H878" s="441"/>
      <c r="I878" s="441"/>
      <c r="J878" s="441"/>
      <c r="K878" s="441"/>
      <c r="L878" s="441"/>
      <c r="M878" s="441"/>
    </row>
    <row r="879" spans="2:13" customFormat="1">
      <c r="B879" s="455"/>
      <c r="C879" s="455"/>
      <c r="D879" s="441"/>
      <c r="E879" s="441"/>
      <c r="F879" s="441"/>
      <c r="G879" s="441"/>
      <c r="H879" s="441"/>
      <c r="I879" s="441"/>
      <c r="J879" s="441"/>
      <c r="K879" s="441"/>
      <c r="L879" s="441"/>
      <c r="M879" s="441"/>
    </row>
    <row r="880" spans="2:13" customFormat="1">
      <c r="B880" s="455"/>
      <c r="C880" s="455"/>
      <c r="D880" s="441"/>
      <c r="E880" s="441"/>
      <c r="F880" s="441"/>
      <c r="G880" s="441"/>
      <c r="H880" s="441"/>
      <c r="I880" s="441"/>
      <c r="J880" s="441"/>
      <c r="K880" s="441"/>
      <c r="L880" s="441"/>
      <c r="M880" s="441"/>
    </row>
    <row r="881" spans="2:13" customFormat="1">
      <c r="B881" s="455"/>
      <c r="C881" s="455"/>
      <c r="D881" s="441"/>
      <c r="E881" s="441"/>
      <c r="F881" s="441"/>
      <c r="G881" s="441"/>
      <c r="H881" s="441"/>
      <c r="I881" s="441"/>
      <c r="J881" s="441"/>
      <c r="K881" s="441"/>
      <c r="L881" s="441"/>
      <c r="M881" s="441"/>
    </row>
    <row r="882" spans="2:13" customFormat="1">
      <c r="B882" s="455"/>
      <c r="C882" s="455"/>
      <c r="D882" s="441"/>
      <c r="E882" s="441"/>
      <c r="F882" s="441"/>
      <c r="G882" s="441"/>
      <c r="H882" s="441"/>
      <c r="I882" s="441"/>
      <c r="J882" s="441"/>
      <c r="K882" s="441"/>
      <c r="L882" s="441"/>
      <c r="M882" s="441"/>
    </row>
    <row r="883" spans="2:13" customFormat="1">
      <c r="B883" s="455"/>
      <c r="C883" s="455"/>
      <c r="D883" s="441"/>
      <c r="E883" s="441"/>
      <c r="F883" s="441"/>
      <c r="G883" s="441"/>
      <c r="H883" s="441"/>
      <c r="I883" s="441"/>
      <c r="J883" s="441"/>
      <c r="K883" s="441"/>
      <c r="L883" s="441"/>
      <c r="M883" s="441"/>
    </row>
    <row r="884" spans="2:13" customFormat="1">
      <c r="B884" s="455"/>
      <c r="C884" s="455"/>
      <c r="D884" s="441"/>
      <c r="E884" s="441"/>
      <c r="F884" s="441"/>
      <c r="G884" s="441"/>
      <c r="H884" s="441"/>
      <c r="I884" s="441"/>
      <c r="J884" s="441"/>
      <c r="K884" s="441"/>
      <c r="L884" s="441"/>
      <c r="M884" s="441"/>
    </row>
    <row r="885" spans="2:13" customFormat="1">
      <c r="B885" s="455"/>
      <c r="C885" s="455"/>
      <c r="D885" s="441"/>
      <c r="E885" s="441"/>
      <c r="F885" s="441"/>
      <c r="G885" s="441"/>
      <c r="H885" s="441"/>
      <c r="I885" s="441"/>
      <c r="J885" s="441"/>
      <c r="K885" s="441"/>
      <c r="L885" s="441"/>
      <c r="M885" s="441"/>
    </row>
    <row r="886" spans="2:13" customFormat="1">
      <c r="B886" s="455"/>
      <c r="C886" s="455"/>
      <c r="D886" s="441"/>
      <c r="E886" s="441"/>
      <c r="F886" s="441"/>
      <c r="G886" s="441"/>
      <c r="H886" s="441"/>
      <c r="I886" s="441"/>
      <c r="J886" s="441"/>
      <c r="K886" s="441"/>
      <c r="L886" s="441"/>
      <c r="M886" s="441"/>
    </row>
    <row r="887" spans="2:13" customFormat="1">
      <c r="B887" s="455"/>
      <c r="C887" s="455"/>
      <c r="D887" s="441"/>
      <c r="E887" s="441"/>
      <c r="F887" s="441"/>
      <c r="G887" s="441"/>
      <c r="H887" s="441"/>
      <c r="I887" s="441"/>
      <c r="J887" s="441"/>
      <c r="K887" s="441"/>
      <c r="L887" s="441"/>
      <c r="M887" s="441"/>
    </row>
    <row r="888" spans="2:13" customFormat="1">
      <c r="B888" s="455"/>
      <c r="C888" s="455"/>
      <c r="D888" s="441"/>
      <c r="E888" s="441"/>
      <c r="F888" s="441"/>
      <c r="G888" s="441"/>
      <c r="H888" s="441"/>
      <c r="I888" s="441"/>
      <c r="J888" s="441"/>
      <c r="K888" s="441"/>
      <c r="L888" s="441"/>
      <c r="M888" s="441"/>
    </row>
    <row r="889" spans="2:13" customFormat="1">
      <c r="B889" s="455"/>
      <c r="C889" s="455"/>
      <c r="D889" s="441"/>
      <c r="E889" s="441"/>
      <c r="F889" s="441"/>
      <c r="G889" s="441"/>
      <c r="H889" s="441"/>
      <c r="I889" s="441"/>
      <c r="J889" s="441"/>
      <c r="K889" s="441"/>
      <c r="L889" s="441"/>
      <c r="M889" s="441"/>
    </row>
    <row r="890" spans="2:13" customFormat="1">
      <c r="B890" s="455"/>
      <c r="C890" s="455"/>
      <c r="D890" s="441"/>
      <c r="E890" s="441"/>
      <c r="F890" s="441"/>
      <c r="G890" s="441"/>
      <c r="H890" s="441"/>
      <c r="I890" s="441"/>
      <c r="J890" s="441"/>
      <c r="K890" s="441"/>
      <c r="L890" s="441"/>
      <c r="M890" s="441"/>
    </row>
    <row r="891" spans="2:13" customFormat="1">
      <c r="B891" s="455"/>
      <c r="C891" s="455"/>
      <c r="D891" s="441"/>
      <c r="E891" s="441"/>
      <c r="F891" s="441"/>
      <c r="G891" s="441"/>
      <c r="H891" s="441"/>
      <c r="I891" s="441"/>
      <c r="J891" s="441"/>
      <c r="K891" s="441"/>
      <c r="L891" s="441"/>
      <c r="M891" s="441"/>
    </row>
    <row r="892" spans="2:13" customFormat="1">
      <c r="B892" s="455"/>
      <c r="C892" s="455"/>
      <c r="D892" s="441"/>
      <c r="E892" s="441"/>
      <c r="F892" s="441"/>
      <c r="G892" s="441"/>
      <c r="H892" s="441"/>
      <c r="I892" s="441"/>
      <c r="J892" s="441"/>
      <c r="K892" s="441"/>
      <c r="L892" s="441"/>
      <c r="M892" s="441"/>
    </row>
    <row r="893" spans="2:13" customFormat="1">
      <c r="B893" s="455"/>
      <c r="C893" s="455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</row>
    <row r="894" spans="2:13" customFormat="1">
      <c r="B894" s="455"/>
      <c r="C894" s="455"/>
      <c r="D894" s="441"/>
      <c r="E894" s="441"/>
      <c r="F894" s="441"/>
      <c r="G894" s="441"/>
      <c r="H894" s="441"/>
      <c r="I894" s="441"/>
      <c r="J894" s="441"/>
      <c r="K894" s="441"/>
      <c r="L894" s="441"/>
      <c r="M894" s="441"/>
    </row>
    <row r="895" spans="2:13" customFormat="1">
      <c r="B895" s="455"/>
      <c r="C895" s="455"/>
      <c r="D895" s="441"/>
      <c r="E895" s="441"/>
      <c r="F895" s="441"/>
      <c r="G895" s="441"/>
      <c r="H895" s="441"/>
      <c r="I895" s="441"/>
      <c r="J895" s="441"/>
      <c r="K895" s="441"/>
      <c r="L895" s="441"/>
      <c r="M895" s="441"/>
    </row>
    <row r="896" spans="2:13" customFormat="1">
      <c r="B896" s="455"/>
      <c r="C896" s="455"/>
      <c r="D896" s="441"/>
      <c r="E896" s="441"/>
      <c r="F896" s="441"/>
      <c r="G896" s="441"/>
      <c r="H896" s="441"/>
      <c r="I896" s="441"/>
      <c r="J896" s="441"/>
      <c r="K896" s="441"/>
      <c r="L896" s="441"/>
      <c r="M896" s="441"/>
    </row>
    <row r="897" spans="2:13" customFormat="1">
      <c r="B897" s="455"/>
      <c r="C897" s="455"/>
      <c r="D897" s="441"/>
      <c r="E897" s="441"/>
      <c r="F897" s="441"/>
      <c r="G897" s="441"/>
      <c r="H897" s="441"/>
      <c r="I897" s="441"/>
      <c r="J897" s="441"/>
      <c r="K897" s="441"/>
      <c r="L897" s="441"/>
      <c r="M897" s="441"/>
    </row>
    <row r="898" spans="2:13" customFormat="1">
      <c r="B898" s="455"/>
      <c r="C898" s="455"/>
      <c r="D898" s="441"/>
      <c r="E898" s="441"/>
      <c r="F898" s="441"/>
      <c r="G898" s="441"/>
      <c r="H898" s="441"/>
      <c r="I898" s="441"/>
      <c r="J898" s="441"/>
      <c r="K898" s="441"/>
      <c r="L898" s="441"/>
      <c r="M898" s="441"/>
    </row>
    <row r="899" spans="2:13" customFormat="1">
      <c r="B899" s="455"/>
      <c r="C899" s="455"/>
      <c r="D899" s="441"/>
      <c r="E899" s="441"/>
      <c r="F899" s="441"/>
      <c r="G899" s="441"/>
      <c r="H899" s="441"/>
      <c r="I899" s="441"/>
      <c r="J899" s="441"/>
      <c r="K899" s="441"/>
      <c r="L899" s="441"/>
      <c r="M899" s="441"/>
    </row>
    <row r="900" spans="2:13" customFormat="1">
      <c r="B900" s="455"/>
      <c r="C900" s="455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</row>
    <row r="901" spans="2:13" customFormat="1">
      <c r="B901" s="455"/>
      <c r="C901" s="455"/>
      <c r="D901" s="441"/>
      <c r="E901" s="441"/>
      <c r="F901" s="441"/>
      <c r="G901" s="441"/>
      <c r="H901" s="441"/>
      <c r="I901" s="441"/>
      <c r="J901" s="441"/>
      <c r="K901" s="441"/>
      <c r="L901" s="441"/>
      <c r="M901" s="441"/>
    </row>
    <row r="902" spans="2:13" customFormat="1">
      <c r="B902" s="455"/>
      <c r="C902" s="455"/>
      <c r="D902" s="441"/>
      <c r="E902" s="441"/>
      <c r="F902" s="441"/>
      <c r="G902" s="441"/>
      <c r="H902" s="441"/>
      <c r="I902" s="441"/>
      <c r="J902" s="441"/>
      <c r="K902" s="441"/>
      <c r="L902" s="441"/>
      <c r="M902" s="441"/>
    </row>
    <row r="903" spans="2:13" customFormat="1">
      <c r="B903" s="455"/>
      <c r="C903" s="455"/>
      <c r="D903" s="441"/>
      <c r="E903" s="441"/>
      <c r="F903" s="441"/>
      <c r="G903" s="441"/>
      <c r="H903" s="441"/>
      <c r="I903" s="441"/>
      <c r="J903" s="441"/>
      <c r="K903" s="441"/>
      <c r="L903" s="441"/>
      <c r="M903" s="441"/>
    </row>
    <row r="904" spans="2:13" customFormat="1">
      <c r="B904" s="455"/>
      <c r="C904" s="455"/>
      <c r="D904" s="441"/>
      <c r="E904" s="441"/>
      <c r="F904" s="441"/>
      <c r="G904" s="441"/>
      <c r="H904" s="441"/>
      <c r="I904" s="441"/>
      <c r="J904" s="441"/>
      <c r="K904" s="441"/>
      <c r="L904" s="441"/>
      <c r="M904" s="441"/>
    </row>
    <row r="905" spans="2:13" customFormat="1">
      <c r="B905" s="455"/>
      <c r="C905" s="455"/>
      <c r="D905" s="441"/>
      <c r="E905" s="441"/>
      <c r="F905" s="441"/>
      <c r="G905" s="441"/>
      <c r="H905" s="441"/>
      <c r="I905" s="441"/>
      <c r="J905" s="441"/>
      <c r="K905" s="441"/>
      <c r="L905" s="441"/>
      <c r="M905" s="441"/>
    </row>
    <row r="906" spans="2:13" customFormat="1">
      <c r="B906" s="455"/>
      <c r="C906" s="455"/>
      <c r="D906" s="441"/>
      <c r="E906" s="441"/>
      <c r="F906" s="441"/>
      <c r="G906" s="441"/>
      <c r="H906" s="441"/>
      <c r="I906" s="441"/>
      <c r="J906" s="441"/>
      <c r="K906" s="441"/>
      <c r="L906" s="441"/>
      <c r="M906" s="441"/>
    </row>
    <row r="907" spans="2:13" customFormat="1">
      <c r="B907" s="455"/>
      <c r="C907" s="455"/>
      <c r="D907" s="441"/>
      <c r="E907" s="441"/>
      <c r="F907" s="441"/>
      <c r="G907" s="441"/>
      <c r="H907" s="441"/>
      <c r="I907" s="441"/>
      <c r="J907" s="441"/>
      <c r="K907" s="441"/>
      <c r="L907" s="441"/>
      <c r="M907" s="441"/>
    </row>
    <row r="908" spans="2:13" customFormat="1">
      <c r="B908" s="455"/>
      <c r="C908" s="455"/>
      <c r="D908" s="441"/>
      <c r="E908" s="441"/>
      <c r="F908" s="441"/>
      <c r="G908" s="441"/>
      <c r="H908" s="441"/>
      <c r="I908" s="441"/>
      <c r="J908" s="441"/>
      <c r="K908" s="441"/>
      <c r="L908" s="441"/>
      <c r="M908" s="441"/>
    </row>
    <row r="909" spans="2:13" customFormat="1">
      <c r="B909" s="455"/>
      <c r="C909" s="455"/>
      <c r="D909" s="441"/>
      <c r="E909" s="441"/>
      <c r="F909" s="441"/>
      <c r="G909" s="441"/>
      <c r="H909" s="441"/>
      <c r="I909" s="441"/>
      <c r="J909" s="441"/>
      <c r="K909" s="441"/>
      <c r="L909" s="441"/>
      <c r="M909" s="441"/>
    </row>
    <row r="910" spans="2:13" customFormat="1">
      <c r="B910" s="455"/>
      <c r="C910" s="455"/>
      <c r="D910" s="441"/>
      <c r="E910" s="441"/>
      <c r="F910" s="441"/>
      <c r="G910" s="441"/>
      <c r="H910" s="441"/>
      <c r="I910" s="441"/>
      <c r="J910" s="441"/>
      <c r="K910" s="441"/>
      <c r="L910" s="441"/>
      <c r="M910" s="441"/>
    </row>
    <row r="911" spans="2:13" customFormat="1">
      <c r="B911" s="455"/>
      <c r="C911" s="455"/>
      <c r="D911" s="441"/>
      <c r="E911" s="441"/>
      <c r="F911" s="441"/>
      <c r="G911" s="441"/>
      <c r="H911" s="441"/>
      <c r="I911" s="441"/>
      <c r="J911" s="441"/>
      <c r="K911" s="441"/>
      <c r="L911" s="441"/>
      <c r="M911" s="441"/>
    </row>
    <row r="912" spans="2:13" customFormat="1">
      <c r="B912" s="455"/>
      <c r="C912" s="455"/>
      <c r="D912" s="441"/>
      <c r="E912" s="441"/>
      <c r="F912" s="441"/>
      <c r="G912" s="441"/>
      <c r="H912" s="441"/>
      <c r="I912" s="441"/>
      <c r="J912" s="441"/>
      <c r="K912" s="441"/>
      <c r="L912" s="441"/>
      <c r="M912" s="441"/>
    </row>
    <row r="913" spans="2:13" customFormat="1">
      <c r="B913" s="455"/>
      <c r="C913" s="455"/>
      <c r="D913" s="441"/>
      <c r="E913" s="441"/>
      <c r="F913" s="441"/>
      <c r="G913" s="441"/>
      <c r="H913" s="441"/>
      <c r="I913" s="441"/>
      <c r="J913" s="441"/>
      <c r="K913" s="441"/>
      <c r="L913" s="441"/>
      <c r="M913" s="441"/>
    </row>
    <row r="914" spans="2:13" customFormat="1">
      <c r="B914" s="455"/>
      <c r="C914" s="455"/>
      <c r="D914" s="441"/>
      <c r="E914" s="441"/>
      <c r="F914" s="441"/>
      <c r="G914" s="441"/>
      <c r="H914" s="441"/>
      <c r="I914" s="441"/>
      <c r="J914" s="441"/>
      <c r="K914" s="441"/>
      <c r="L914" s="441"/>
      <c r="M914" s="441"/>
    </row>
    <row r="915" spans="2:13" customFormat="1">
      <c r="B915" s="455"/>
      <c r="C915" s="455"/>
      <c r="D915" s="441"/>
      <c r="E915" s="441"/>
      <c r="F915" s="441"/>
      <c r="G915" s="441"/>
      <c r="H915" s="441"/>
      <c r="I915" s="441"/>
      <c r="J915" s="441"/>
      <c r="K915" s="441"/>
      <c r="L915" s="441"/>
      <c r="M915" s="441"/>
    </row>
    <row r="916" spans="2:13" customFormat="1">
      <c r="B916" s="455"/>
      <c r="C916" s="455"/>
      <c r="D916" s="441"/>
      <c r="E916" s="441"/>
      <c r="F916" s="441"/>
      <c r="G916" s="441"/>
      <c r="H916" s="441"/>
      <c r="I916" s="441"/>
      <c r="J916" s="441"/>
      <c r="K916" s="441"/>
      <c r="L916" s="441"/>
      <c r="M916" s="441"/>
    </row>
    <row r="917" spans="2:13" customFormat="1">
      <c r="B917" s="455"/>
      <c r="C917" s="455"/>
      <c r="D917" s="441"/>
      <c r="E917" s="441"/>
      <c r="F917" s="441"/>
      <c r="G917" s="441"/>
      <c r="H917" s="441"/>
      <c r="I917" s="441"/>
      <c r="J917" s="441"/>
      <c r="K917" s="441"/>
      <c r="L917" s="441"/>
      <c r="M917" s="441"/>
    </row>
    <row r="918" spans="2:13" customFormat="1">
      <c r="B918" s="455"/>
      <c r="C918" s="455"/>
      <c r="D918" s="441"/>
      <c r="E918" s="441"/>
      <c r="F918" s="441"/>
      <c r="G918" s="441"/>
      <c r="H918" s="441"/>
      <c r="I918" s="441"/>
      <c r="J918" s="441"/>
      <c r="K918" s="441"/>
      <c r="L918" s="441"/>
      <c r="M918" s="441"/>
    </row>
    <row r="919" spans="2:13" customFormat="1">
      <c r="B919" s="455"/>
      <c r="C919" s="455"/>
      <c r="D919" s="441"/>
      <c r="E919" s="441"/>
      <c r="F919" s="441"/>
      <c r="G919" s="441"/>
      <c r="H919" s="441"/>
      <c r="I919" s="441"/>
      <c r="J919" s="441"/>
      <c r="K919" s="441"/>
      <c r="L919" s="441"/>
      <c r="M919" s="441"/>
    </row>
    <row r="920" spans="2:13" customFormat="1">
      <c r="B920" s="455"/>
      <c r="C920" s="455"/>
      <c r="D920" s="441"/>
      <c r="E920" s="441"/>
      <c r="F920" s="441"/>
      <c r="G920" s="441"/>
      <c r="H920" s="441"/>
      <c r="I920" s="441"/>
      <c r="J920" s="441"/>
      <c r="K920" s="441"/>
      <c r="L920" s="441"/>
      <c r="M920" s="441"/>
    </row>
    <row r="921" spans="2:13" customFormat="1">
      <c r="B921" s="455"/>
      <c r="C921" s="455"/>
      <c r="D921" s="441"/>
      <c r="E921" s="441"/>
      <c r="F921" s="441"/>
      <c r="G921" s="441"/>
      <c r="H921" s="441"/>
      <c r="I921" s="441"/>
      <c r="J921" s="441"/>
      <c r="K921" s="441"/>
      <c r="L921" s="441"/>
      <c r="M921" s="441"/>
    </row>
    <row r="922" spans="2:13" customFormat="1">
      <c r="B922" s="455"/>
      <c r="C922" s="455"/>
      <c r="D922" s="441"/>
      <c r="E922" s="441"/>
      <c r="F922" s="441"/>
      <c r="G922" s="441"/>
      <c r="H922" s="441"/>
      <c r="I922" s="441"/>
      <c r="J922" s="441"/>
      <c r="K922" s="441"/>
      <c r="L922" s="441"/>
      <c r="M922" s="441"/>
    </row>
    <row r="923" spans="2:13" customFormat="1">
      <c r="B923" s="455"/>
      <c r="C923" s="455"/>
      <c r="D923" s="441"/>
      <c r="E923" s="441"/>
      <c r="F923" s="441"/>
      <c r="G923" s="441"/>
      <c r="H923" s="441"/>
      <c r="I923" s="441"/>
      <c r="J923" s="441"/>
      <c r="K923" s="441"/>
      <c r="L923" s="441"/>
      <c r="M923" s="441"/>
    </row>
    <row r="924" spans="2:13" customFormat="1">
      <c r="B924" s="455"/>
      <c r="C924" s="455"/>
      <c r="D924" s="441"/>
      <c r="E924" s="441"/>
      <c r="F924" s="441"/>
      <c r="G924" s="441"/>
      <c r="H924" s="441"/>
      <c r="I924" s="441"/>
      <c r="J924" s="441"/>
      <c r="K924" s="441"/>
      <c r="L924" s="441"/>
      <c r="M924" s="441"/>
    </row>
    <row r="925" spans="2:13" customFormat="1">
      <c r="B925" s="455"/>
      <c r="C925" s="455"/>
      <c r="D925" s="441"/>
      <c r="E925" s="441"/>
      <c r="F925" s="441"/>
      <c r="G925" s="441"/>
      <c r="H925" s="441"/>
      <c r="I925" s="441"/>
      <c r="J925" s="441"/>
      <c r="K925" s="441"/>
      <c r="L925" s="441"/>
      <c r="M925" s="441"/>
    </row>
    <row r="926" spans="2:13" customFormat="1">
      <c r="B926" s="455"/>
      <c r="C926" s="455"/>
      <c r="D926" s="441"/>
      <c r="E926" s="441"/>
      <c r="F926" s="441"/>
      <c r="G926" s="441"/>
      <c r="H926" s="441"/>
      <c r="I926" s="441"/>
      <c r="J926" s="441"/>
      <c r="K926" s="441"/>
      <c r="L926" s="441"/>
      <c r="M926" s="441"/>
    </row>
    <row r="927" spans="2:13" customFormat="1">
      <c r="B927" s="455"/>
      <c r="C927" s="455"/>
      <c r="D927" s="441"/>
      <c r="E927" s="441"/>
      <c r="F927" s="441"/>
      <c r="G927" s="441"/>
      <c r="H927" s="441"/>
      <c r="I927" s="441"/>
      <c r="J927" s="441"/>
      <c r="K927" s="441"/>
      <c r="L927" s="441"/>
      <c r="M927" s="441"/>
    </row>
    <row r="928" spans="2:13" customFormat="1">
      <c r="B928" s="455"/>
      <c r="C928" s="455"/>
      <c r="D928" s="441"/>
      <c r="E928" s="441"/>
      <c r="F928" s="441"/>
      <c r="G928" s="441"/>
      <c r="H928" s="441"/>
      <c r="I928" s="441"/>
      <c r="J928" s="441"/>
      <c r="K928" s="441"/>
      <c r="L928" s="441"/>
      <c r="M928" s="441"/>
    </row>
    <row r="929" spans="2:13" customFormat="1">
      <c r="B929" s="455"/>
      <c r="C929" s="455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</row>
    <row r="930" spans="2:13" customFormat="1">
      <c r="B930" s="455"/>
      <c r="C930" s="455"/>
      <c r="D930" s="441"/>
      <c r="E930" s="441"/>
      <c r="F930" s="441"/>
      <c r="G930" s="441"/>
      <c r="H930" s="441"/>
      <c r="I930" s="441"/>
      <c r="J930" s="441"/>
      <c r="K930" s="441"/>
      <c r="L930" s="441"/>
      <c r="M930" s="441"/>
    </row>
    <row r="931" spans="2:13" customFormat="1">
      <c r="B931" s="455"/>
      <c r="C931" s="455"/>
      <c r="D931" s="441"/>
      <c r="E931" s="441"/>
      <c r="F931" s="441"/>
      <c r="G931" s="441"/>
      <c r="H931" s="441"/>
      <c r="I931" s="441"/>
      <c r="J931" s="441"/>
      <c r="K931" s="441"/>
      <c r="L931" s="441"/>
      <c r="M931" s="441"/>
    </row>
    <row r="932" spans="2:13" customFormat="1">
      <c r="B932" s="455"/>
      <c r="C932" s="455"/>
      <c r="D932" s="441"/>
      <c r="E932" s="441"/>
      <c r="F932" s="441"/>
      <c r="G932" s="441"/>
      <c r="H932" s="441"/>
      <c r="I932" s="441"/>
      <c r="J932" s="441"/>
      <c r="K932" s="441"/>
      <c r="L932" s="441"/>
      <c r="M932" s="441"/>
    </row>
    <row r="933" spans="2:13" customFormat="1">
      <c r="B933" s="455"/>
      <c r="C933" s="455"/>
      <c r="D933" s="441"/>
      <c r="E933" s="441"/>
      <c r="F933" s="441"/>
      <c r="G933" s="441"/>
      <c r="H933" s="441"/>
      <c r="I933" s="441"/>
      <c r="J933" s="441"/>
      <c r="K933" s="441"/>
      <c r="L933" s="441"/>
      <c r="M933" s="441"/>
    </row>
    <row r="934" spans="2:13" customFormat="1">
      <c r="B934" s="455"/>
      <c r="C934" s="455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</row>
    <row r="935" spans="2:13" customFormat="1">
      <c r="B935" s="455"/>
      <c r="C935" s="455"/>
      <c r="D935" s="441"/>
      <c r="E935" s="441"/>
      <c r="F935" s="441"/>
      <c r="G935" s="441"/>
      <c r="H935" s="441"/>
      <c r="I935" s="441"/>
      <c r="J935" s="441"/>
      <c r="K935" s="441"/>
      <c r="L935" s="441"/>
      <c r="M935" s="441"/>
    </row>
    <row r="936" spans="2:13" customFormat="1">
      <c r="B936" s="455"/>
      <c r="C936" s="455"/>
      <c r="D936" s="441"/>
      <c r="E936" s="441"/>
      <c r="F936" s="441"/>
      <c r="G936" s="441"/>
      <c r="H936" s="441"/>
      <c r="I936" s="441"/>
      <c r="J936" s="441"/>
      <c r="K936" s="441"/>
      <c r="L936" s="441"/>
      <c r="M936" s="441"/>
    </row>
    <row r="937" spans="2:13" customFormat="1">
      <c r="B937" s="455"/>
      <c r="C937" s="455"/>
      <c r="D937" s="441"/>
      <c r="E937" s="441"/>
      <c r="F937" s="441"/>
      <c r="G937" s="441"/>
      <c r="H937" s="441"/>
      <c r="I937" s="441"/>
      <c r="J937" s="441"/>
      <c r="K937" s="441"/>
      <c r="L937" s="441"/>
      <c r="M937" s="441"/>
    </row>
    <row r="938" spans="2:13" customFormat="1">
      <c r="B938" s="455"/>
      <c r="C938" s="455"/>
      <c r="D938" s="441"/>
      <c r="E938" s="441"/>
      <c r="F938" s="441"/>
      <c r="G938" s="441"/>
      <c r="H938" s="441"/>
      <c r="I938" s="441"/>
      <c r="J938" s="441"/>
      <c r="K938" s="441"/>
      <c r="L938" s="441"/>
      <c r="M938" s="441"/>
    </row>
    <row r="939" spans="2:13" customFormat="1">
      <c r="B939" s="455"/>
      <c r="C939" s="455"/>
      <c r="D939" s="441"/>
      <c r="E939" s="441"/>
      <c r="F939" s="441"/>
      <c r="G939" s="441"/>
      <c r="H939" s="441"/>
      <c r="I939" s="441"/>
      <c r="J939" s="441"/>
      <c r="K939" s="441"/>
      <c r="L939" s="441"/>
      <c r="M939" s="441"/>
    </row>
    <row r="940" spans="2:13" customFormat="1">
      <c r="B940" s="455"/>
      <c r="C940" s="455"/>
      <c r="D940" s="441"/>
      <c r="E940" s="441"/>
      <c r="F940" s="441"/>
      <c r="G940" s="441"/>
      <c r="H940" s="441"/>
      <c r="I940" s="441"/>
      <c r="J940" s="441"/>
      <c r="K940" s="441"/>
      <c r="L940" s="441"/>
      <c r="M940" s="441"/>
    </row>
    <row r="941" spans="2:13" customFormat="1">
      <c r="B941" s="455"/>
      <c r="C941" s="455"/>
      <c r="D941" s="441"/>
      <c r="E941" s="441"/>
      <c r="F941" s="441"/>
      <c r="G941" s="441"/>
      <c r="H941" s="441"/>
      <c r="I941" s="441"/>
      <c r="J941" s="441"/>
      <c r="K941" s="441"/>
      <c r="L941" s="441"/>
      <c r="M941" s="441"/>
    </row>
    <row r="942" spans="2:13" customFormat="1">
      <c r="B942" s="455"/>
      <c r="C942" s="455"/>
      <c r="D942" s="441"/>
      <c r="E942" s="441"/>
      <c r="F942" s="441"/>
      <c r="G942" s="441"/>
      <c r="H942" s="441"/>
      <c r="I942" s="441"/>
      <c r="J942" s="441"/>
      <c r="K942" s="441"/>
      <c r="L942" s="441"/>
      <c r="M942" s="441"/>
    </row>
    <row r="943" spans="2:13" customFormat="1">
      <c r="B943" s="455"/>
      <c r="C943" s="455"/>
      <c r="D943" s="441"/>
      <c r="E943" s="441"/>
      <c r="F943" s="441"/>
      <c r="G943" s="441"/>
      <c r="H943" s="441"/>
      <c r="I943" s="441"/>
      <c r="J943" s="441"/>
      <c r="K943" s="441"/>
      <c r="L943" s="441"/>
      <c r="M943" s="441"/>
    </row>
    <row r="944" spans="2:13" customFormat="1">
      <c r="B944" s="455"/>
      <c r="C944" s="455"/>
      <c r="D944" s="441"/>
      <c r="E944" s="441"/>
      <c r="F944" s="441"/>
      <c r="G944" s="441"/>
      <c r="H944" s="441"/>
      <c r="I944" s="441"/>
      <c r="J944" s="441"/>
      <c r="K944" s="441"/>
      <c r="L944" s="441"/>
      <c r="M944" s="441"/>
    </row>
    <row r="945" spans="2:13" customFormat="1">
      <c r="B945" s="455"/>
      <c r="C945" s="455"/>
      <c r="D945" s="441"/>
      <c r="E945" s="441"/>
      <c r="F945" s="441"/>
      <c r="G945" s="441"/>
      <c r="H945" s="441"/>
      <c r="I945" s="441"/>
      <c r="J945" s="441"/>
      <c r="K945" s="441"/>
      <c r="L945" s="441"/>
      <c r="M945" s="441"/>
    </row>
    <row r="946" spans="2:13" customFormat="1">
      <c r="B946" s="455"/>
      <c r="C946" s="455"/>
      <c r="D946" s="441"/>
      <c r="E946" s="441"/>
      <c r="F946" s="441"/>
      <c r="G946" s="441"/>
      <c r="H946" s="441"/>
      <c r="I946" s="441"/>
      <c r="J946" s="441"/>
      <c r="K946" s="441"/>
      <c r="L946" s="441"/>
      <c r="M946" s="441"/>
    </row>
    <row r="947" spans="2:13" customFormat="1">
      <c r="B947" s="455"/>
      <c r="C947" s="455"/>
      <c r="D947" s="441"/>
      <c r="E947" s="441"/>
      <c r="F947" s="441"/>
      <c r="G947" s="441"/>
      <c r="H947" s="441"/>
      <c r="I947" s="441"/>
      <c r="J947" s="441"/>
      <c r="K947" s="441"/>
      <c r="L947" s="441"/>
      <c r="M947" s="441"/>
    </row>
    <row r="948" spans="2:13" customFormat="1">
      <c r="B948" s="455"/>
      <c r="C948" s="455"/>
      <c r="D948" s="441"/>
      <c r="E948" s="441"/>
      <c r="F948" s="441"/>
      <c r="G948" s="441"/>
      <c r="H948" s="441"/>
      <c r="I948" s="441"/>
      <c r="J948" s="441"/>
      <c r="K948" s="441"/>
      <c r="L948" s="441"/>
      <c r="M948" s="441"/>
    </row>
    <row r="949" spans="2:13" customFormat="1">
      <c r="B949" s="455"/>
      <c r="C949" s="455"/>
      <c r="D949" s="441"/>
      <c r="E949" s="441"/>
      <c r="F949" s="441"/>
      <c r="G949" s="441"/>
      <c r="H949" s="441"/>
      <c r="I949" s="441"/>
      <c r="J949" s="441"/>
      <c r="K949" s="441"/>
      <c r="L949" s="441"/>
      <c r="M949" s="441"/>
    </row>
    <row r="950" spans="2:13" customFormat="1">
      <c r="B950" s="455"/>
      <c r="C950" s="455"/>
      <c r="D950" s="441"/>
      <c r="E950" s="441"/>
      <c r="F950" s="441"/>
      <c r="G950" s="441"/>
      <c r="H950" s="441"/>
      <c r="I950" s="441"/>
      <c r="J950" s="441"/>
      <c r="K950" s="441"/>
      <c r="L950" s="441"/>
      <c r="M950" s="441"/>
    </row>
    <row r="951" spans="2:13" customFormat="1">
      <c r="B951" s="455"/>
      <c r="C951" s="455"/>
      <c r="D951" s="441"/>
      <c r="E951" s="441"/>
      <c r="F951" s="441"/>
      <c r="G951" s="441"/>
      <c r="H951" s="441"/>
      <c r="I951" s="441"/>
      <c r="J951" s="441"/>
      <c r="K951" s="441"/>
      <c r="L951" s="441"/>
      <c r="M951" s="441"/>
    </row>
    <row r="952" spans="2:13" customFormat="1">
      <c r="B952" s="455"/>
      <c r="C952" s="455"/>
      <c r="D952" s="441"/>
      <c r="E952" s="441"/>
      <c r="F952" s="441"/>
      <c r="G952" s="441"/>
      <c r="H952" s="441"/>
      <c r="I952" s="441"/>
      <c r="J952" s="441"/>
      <c r="K952" s="441"/>
      <c r="L952" s="441"/>
      <c r="M952" s="441"/>
    </row>
    <row r="953" spans="2:13" customFormat="1">
      <c r="B953" s="455"/>
      <c r="C953" s="455"/>
      <c r="D953" s="441"/>
      <c r="E953" s="441"/>
      <c r="F953" s="441"/>
      <c r="G953" s="441"/>
      <c r="H953" s="441"/>
      <c r="I953" s="441"/>
      <c r="J953" s="441"/>
      <c r="K953" s="441"/>
      <c r="L953" s="441"/>
      <c r="M953" s="441"/>
    </row>
    <row r="954" spans="2:13" customFormat="1">
      <c r="B954" s="455"/>
      <c r="C954" s="455"/>
      <c r="D954" s="441"/>
      <c r="E954" s="441"/>
      <c r="F954" s="441"/>
      <c r="G954" s="441"/>
      <c r="H954" s="441"/>
      <c r="I954" s="441"/>
      <c r="J954" s="441"/>
      <c r="K954" s="441"/>
      <c r="L954" s="441"/>
      <c r="M954" s="441"/>
    </row>
    <row r="955" spans="2:13" customFormat="1">
      <c r="B955" s="455"/>
      <c r="C955" s="455"/>
      <c r="D955" s="441"/>
      <c r="E955" s="441"/>
      <c r="F955" s="441"/>
      <c r="G955" s="441"/>
      <c r="H955" s="441"/>
      <c r="I955" s="441"/>
      <c r="J955" s="441"/>
      <c r="K955" s="441"/>
      <c r="L955" s="441"/>
      <c r="M955" s="441"/>
    </row>
    <row r="956" spans="2:13" customFormat="1">
      <c r="B956" s="455"/>
      <c r="C956" s="455"/>
      <c r="D956" s="441"/>
      <c r="E956" s="441"/>
      <c r="F956" s="441"/>
      <c r="G956" s="441"/>
      <c r="H956" s="441"/>
      <c r="I956" s="441"/>
      <c r="J956" s="441"/>
      <c r="K956" s="441"/>
      <c r="L956" s="441"/>
      <c r="M956" s="441"/>
    </row>
    <row r="957" spans="2:13" customFormat="1">
      <c r="B957" s="455"/>
      <c r="C957" s="455"/>
      <c r="D957" s="441"/>
      <c r="E957" s="441"/>
      <c r="F957" s="441"/>
      <c r="G957" s="441"/>
      <c r="H957" s="441"/>
      <c r="I957" s="441"/>
      <c r="J957" s="441"/>
      <c r="K957" s="441"/>
      <c r="L957" s="441"/>
      <c r="M957" s="441"/>
    </row>
    <row r="958" spans="2:13" customFormat="1">
      <c r="B958" s="455"/>
      <c r="C958" s="455"/>
      <c r="D958" s="441"/>
      <c r="E958" s="441"/>
      <c r="F958" s="441"/>
      <c r="G958" s="441"/>
      <c r="H958" s="441"/>
      <c r="I958" s="441"/>
      <c r="J958" s="441"/>
      <c r="K958" s="441"/>
      <c r="L958" s="441"/>
      <c r="M958" s="441"/>
    </row>
    <row r="959" spans="2:13" customFormat="1">
      <c r="B959" s="455"/>
      <c r="C959" s="455"/>
      <c r="D959" s="441"/>
      <c r="E959" s="441"/>
      <c r="F959" s="441"/>
      <c r="G959" s="441"/>
      <c r="H959" s="441"/>
      <c r="I959" s="441"/>
      <c r="J959" s="441"/>
      <c r="K959" s="441"/>
      <c r="L959" s="441"/>
      <c r="M959" s="441"/>
    </row>
    <row r="960" spans="2:13" customFormat="1">
      <c r="B960" s="455"/>
      <c r="C960" s="455"/>
      <c r="D960" s="441"/>
      <c r="E960" s="441"/>
      <c r="F960" s="441"/>
      <c r="G960" s="441"/>
      <c r="H960" s="441"/>
      <c r="I960" s="441"/>
      <c r="J960" s="441"/>
      <c r="K960" s="441"/>
      <c r="L960" s="441"/>
      <c r="M960" s="441"/>
    </row>
    <row r="961" spans="2:13" customFormat="1">
      <c r="B961" s="455"/>
      <c r="C961" s="455"/>
      <c r="D961" s="441"/>
      <c r="E961" s="441"/>
      <c r="F961" s="441"/>
      <c r="G961" s="441"/>
      <c r="H961" s="441"/>
      <c r="I961" s="441"/>
      <c r="J961" s="441"/>
      <c r="K961" s="441"/>
      <c r="L961" s="441"/>
      <c r="M961" s="441"/>
    </row>
    <row r="962" spans="2:13" customFormat="1">
      <c r="B962" s="455"/>
      <c r="C962" s="455"/>
      <c r="D962" s="441"/>
      <c r="E962" s="441"/>
      <c r="F962" s="441"/>
      <c r="G962" s="441"/>
      <c r="H962" s="441"/>
      <c r="I962" s="441"/>
      <c r="J962" s="441"/>
      <c r="K962" s="441"/>
      <c r="L962" s="441"/>
      <c r="M962" s="441"/>
    </row>
    <row r="963" spans="2:13" customFormat="1">
      <c r="B963" s="455"/>
      <c r="C963" s="455"/>
      <c r="D963" s="441"/>
      <c r="E963" s="441"/>
      <c r="F963" s="441"/>
      <c r="G963" s="441"/>
      <c r="H963" s="441"/>
      <c r="I963" s="441"/>
      <c r="J963" s="441"/>
      <c r="K963" s="441"/>
      <c r="L963" s="441"/>
      <c r="M963" s="441"/>
    </row>
    <row r="964" spans="2:13" customFormat="1">
      <c r="B964" s="455"/>
      <c r="C964" s="455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</row>
    <row r="965" spans="2:13" customFormat="1">
      <c r="B965" s="455"/>
      <c r="C965" s="455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</row>
    <row r="966" spans="2:13" customFormat="1">
      <c r="B966" s="455"/>
      <c r="C966" s="455"/>
      <c r="D966" s="441"/>
      <c r="E966" s="441"/>
      <c r="F966" s="441"/>
      <c r="G966" s="441"/>
      <c r="H966" s="441"/>
      <c r="I966" s="441"/>
      <c r="J966" s="441"/>
      <c r="K966" s="441"/>
      <c r="L966" s="441"/>
      <c r="M966" s="441"/>
    </row>
    <row r="967" spans="2:13" customFormat="1">
      <c r="B967" s="455"/>
      <c r="C967" s="455"/>
      <c r="D967" s="441"/>
      <c r="E967" s="441"/>
      <c r="F967" s="441"/>
      <c r="G967" s="441"/>
      <c r="H967" s="441"/>
      <c r="I967" s="441"/>
      <c r="J967" s="441"/>
      <c r="K967" s="441"/>
      <c r="L967" s="441"/>
      <c r="M967" s="441"/>
    </row>
    <row r="968" spans="2:13" customFormat="1">
      <c r="B968" s="455"/>
      <c r="C968" s="455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</row>
    <row r="969" spans="2:13" customFormat="1">
      <c r="B969" s="455"/>
      <c r="C969" s="455"/>
      <c r="D969" s="441"/>
      <c r="E969" s="441"/>
      <c r="F969" s="441"/>
      <c r="G969" s="441"/>
      <c r="H969" s="441"/>
      <c r="I969" s="441"/>
      <c r="J969" s="441"/>
      <c r="K969" s="441"/>
      <c r="L969" s="441"/>
      <c r="M969" s="441"/>
    </row>
    <row r="970" spans="2:13" customFormat="1">
      <c r="B970" s="455"/>
      <c r="C970" s="455"/>
      <c r="D970" s="441"/>
      <c r="E970" s="441"/>
      <c r="F970" s="441"/>
      <c r="G970" s="441"/>
      <c r="H970" s="441"/>
      <c r="I970" s="441"/>
      <c r="J970" s="441"/>
      <c r="K970" s="441"/>
      <c r="L970" s="441"/>
      <c r="M970" s="441"/>
    </row>
    <row r="971" spans="2:13" customFormat="1">
      <c r="B971" s="455"/>
      <c r="C971" s="455"/>
      <c r="D971" s="441"/>
      <c r="E971" s="441"/>
      <c r="F971" s="441"/>
      <c r="G971" s="441"/>
      <c r="H971" s="441"/>
      <c r="I971" s="441"/>
      <c r="J971" s="441"/>
      <c r="K971" s="441"/>
      <c r="L971" s="441"/>
      <c r="M971" s="441"/>
    </row>
    <row r="972" spans="2:13" customFormat="1">
      <c r="B972" s="455"/>
      <c r="C972" s="455"/>
      <c r="D972" s="441"/>
      <c r="E972" s="441"/>
      <c r="F972" s="441"/>
      <c r="G972" s="441"/>
      <c r="H972" s="441"/>
      <c r="I972" s="441"/>
      <c r="J972" s="441"/>
      <c r="K972" s="441"/>
      <c r="L972" s="441"/>
      <c r="M972" s="441"/>
    </row>
    <row r="973" spans="2:13" customFormat="1">
      <c r="B973" s="455"/>
      <c r="C973" s="455"/>
      <c r="D973" s="441"/>
      <c r="E973" s="441"/>
      <c r="F973" s="441"/>
      <c r="G973" s="441"/>
      <c r="H973" s="441"/>
      <c r="I973" s="441"/>
      <c r="J973" s="441"/>
      <c r="K973" s="441"/>
      <c r="L973" s="441"/>
      <c r="M973" s="441"/>
    </row>
    <row r="974" spans="2:13" customFormat="1">
      <c r="B974" s="455"/>
      <c r="C974" s="455"/>
      <c r="D974" s="441"/>
      <c r="E974" s="441"/>
      <c r="F974" s="441"/>
      <c r="G974" s="441"/>
      <c r="H974" s="441"/>
      <c r="I974" s="441"/>
      <c r="J974" s="441"/>
      <c r="K974" s="441"/>
      <c r="L974" s="441"/>
      <c r="M974" s="441"/>
    </row>
    <row r="975" spans="2:13" customFormat="1">
      <c r="B975" s="455"/>
      <c r="C975" s="455"/>
      <c r="D975" s="441"/>
      <c r="E975" s="441"/>
      <c r="F975" s="441"/>
      <c r="G975" s="441"/>
      <c r="H975" s="441"/>
      <c r="I975" s="441"/>
      <c r="J975" s="441"/>
      <c r="K975" s="441"/>
      <c r="L975" s="441"/>
      <c r="M975" s="441"/>
    </row>
    <row r="976" spans="2:13" customFormat="1">
      <c r="B976" s="455"/>
      <c r="C976" s="455"/>
      <c r="D976" s="441"/>
      <c r="E976" s="441"/>
      <c r="F976" s="441"/>
      <c r="G976" s="441"/>
      <c r="H976" s="441"/>
      <c r="I976" s="441"/>
      <c r="J976" s="441"/>
      <c r="K976" s="441"/>
      <c r="L976" s="441"/>
      <c r="M976" s="441"/>
    </row>
    <row r="977" spans="2:13" customFormat="1">
      <c r="B977" s="455"/>
      <c r="C977" s="455"/>
      <c r="D977" s="441"/>
      <c r="E977" s="441"/>
      <c r="F977" s="441"/>
      <c r="G977" s="441"/>
      <c r="H977" s="441"/>
      <c r="I977" s="441"/>
      <c r="J977" s="441"/>
      <c r="K977" s="441"/>
      <c r="L977" s="441"/>
      <c r="M977" s="441"/>
    </row>
    <row r="978" spans="2:13" customFormat="1">
      <c r="B978" s="455"/>
      <c r="C978" s="455"/>
      <c r="D978" s="441"/>
      <c r="E978" s="441"/>
      <c r="F978" s="441"/>
      <c r="G978" s="441"/>
      <c r="H978" s="441"/>
      <c r="I978" s="441"/>
      <c r="J978" s="441"/>
      <c r="K978" s="441"/>
      <c r="L978" s="441"/>
      <c r="M978" s="441"/>
    </row>
    <row r="979" spans="2:13" customFormat="1">
      <c r="B979" s="455"/>
      <c r="C979" s="455"/>
      <c r="D979" s="441"/>
      <c r="E979" s="441"/>
      <c r="F979" s="441"/>
      <c r="G979" s="441"/>
      <c r="H979" s="441"/>
      <c r="I979" s="441"/>
      <c r="J979" s="441"/>
      <c r="K979" s="441"/>
      <c r="L979" s="441"/>
      <c r="M979" s="441"/>
    </row>
    <row r="980" spans="2:13" customFormat="1">
      <c r="B980" s="455"/>
      <c r="C980" s="455"/>
      <c r="D980" s="441"/>
      <c r="E980" s="441"/>
      <c r="F980" s="441"/>
      <c r="G980" s="441"/>
      <c r="H980" s="441"/>
      <c r="I980" s="441"/>
      <c r="J980" s="441"/>
      <c r="K980" s="441"/>
      <c r="L980" s="441"/>
      <c r="M980" s="441"/>
    </row>
    <row r="981" spans="2:13" customFormat="1">
      <c r="B981" s="455"/>
      <c r="C981" s="455"/>
      <c r="D981" s="441"/>
      <c r="E981" s="441"/>
      <c r="F981" s="441"/>
      <c r="G981" s="441"/>
      <c r="H981" s="441"/>
      <c r="I981" s="441"/>
      <c r="J981" s="441"/>
      <c r="K981" s="441"/>
      <c r="L981" s="441"/>
      <c r="M981" s="441"/>
    </row>
    <row r="982" spans="2:13" customFormat="1">
      <c r="B982" s="455"/>
      <c r="C982" s="455"/>
      <c r="D982" s="441"/>
      <c r="E982" s="441"/>
      <c r="F982" s="441"/>
      <c r="G982" s="441"/>
      <c r="H982" s="441"/>
      <c r="I982" s="441"/>
      <c r="J982" s="441"/>
      <c r="K982" s="441"/>
      <c r="L982" s="441"/>
      <c r="M982" s="441"/>
    </row>
    <row r="983" spans="2:13" customFormat="1">
      <c r="B983" s="455"/>
      <c r="C983" s="455"/>
      <c r="D983" s="441"/>
      <c r="E983" s="441"/>
      <c r="F983" s="441"/>
      <c r="G983" s="441"/>
      <c r="H983" s="441"/>
      <c r="I983" s="441"/>
      <c r="J983" s="441"/>
      <c r="K983" s="441"/>
      <c r="L983" s="441"/>
      <c r="M983" s="441"/>
    </row>
    <row r="984" spans="2:13" customFormat="1">
      <c r="B984" s="455"/>
      <c r="C984" s="455"/>
      <c r="D984" s="441"/>
      <c r="E984" s="441"/>
      <c r="F984" s="441"/>
      <c r="G984" s="441"/>
      <c r="H984" s="441"/>
      <c r="I984" s="441"/>
      <c r="J984" s="441"/>
      <c r="K984" s="441"/>
      <c r="L984" s="441"/>
      <c r="M984" s="441"/>
    </row>
    <row r="985" spans="2:13" customFormat="1">
      <c r="B985" s="455"/>
      <c r="C985" s="455"/>
      <c r="D985" s="441"/>
      <c r="E985" s="441"/>
      <c r="F985" s="441"/>
      <c r="G985" s="441"/>
      <c r="H985" s="441"/>
      <c r="I985" s="441"/>
      <c r="J985" s="441"/>
      <c r="K985" s="441"/>
      <c r="L985" s="441"/>
      <c r="M985" s="441"/>
    </row>
    <row r="986" spans="2:13" customFormat="1">
      <c r="B986" s="455"/>
      <c r="C986" s="455"/>
      <c r="D986" s="441"/>
      <c r="E986" s="441"/>
      <c r="F986" s="441"/>
      <c r="G986" s="441"/>
      <c r="H986" s="441"/>
      <c r="I986" s="441"/>
      <c r="J986" s="441"/>
      <c r="K986" s="441"/>
      <c r="L986" s="441"/>
      <c r="M986" s="441"/>
    </row>
    <row r="987" spans="2:13" customFormat="1">
      <c r="B987" s="455"/>
      <c r="C987" s="455"/>
      <c r="D987" s="441"/>
      <c r="E987" s="441"/>
      <c r="F987" s="441"/>
      <c r="G987" s="441"/>
      <c r="H987" s="441"/>
      <c r="I987" s="441"/>
      <c r="J987" s="441"/>
      <c r="K987" s="441"/>
      <c r="L987" s="441"/>
      <c r="M987" s="441"/>
    </row>
    <row r="988" spans="2:13" customFormat="1">
      <c r="B988" s="455"/>
      <c r="C988" s="455"/>
      <c r="D988" s="441"/>
      <c r="E988" s="441"/>
      <c r="F988" s="441"/>
      <c r="G988" s="441"/>
      <c r="H988" s="441"/>
      <c r="I988" s="441"/>
      <c r="J988" s="441"/>
      <c r="K988" s="441"/>
      <c r="L988" s="441"/>
      <c r="M988" s="441"/>
    </row>
    <row r="989" spans="2:13" customFormat="1">
      <c r="B989" s="455"/>
      <c r="C989" s="455"/>
      <c r="D989" s="441"/>
      <c r="E989" s="441"/>
      <c r="F989" s="441"/>
      <c r="G989" s="441"/>
      <c r="H989" s="441"/>
      <c r="I989" s="441"/>
      <c r="J989" s="441"/>
      <c r="K989" s="441"/>
      <c r="L989" s="441"/>
      <c r="M989" s="441"/>
    </row>
    <row r="990" spans="2:13" customFormat="1">
      <c r="B990" s="455"/>
      <c r="C990" s="455"/>
      <c r="D990" s="441"/>
      <c r="E990" s="441"/>
      <c r="F990" s="441"/>
      <c r="G990" s="441"/>
      <c r="H990" s="441"/>
      <c r="I990" s="441"/>
      <c r="J990" s="441"/>
      <c r="K990" s="441"/>
      <c r="L990" s="441"/>
      <c r="M990" s="441"/>
    </row>
    <row r="991" spans="2:13" customFormat="1">
      <c r="B991" s="455"/>
      <c r="C991" s="455"/>
      <c r="D991" s="441"/>
      <c r="E991" s="441"/>
      <c r="F991" s="441"/>
      <c r="G991" s="441"/>
      <c r="H991" s="441"/>
      <c r="I991" s="441"/>
      <c r="J991" s="441"/>
      <c r="K991" s="441"/>
      <c r="L991" s="441"/>
      <c r="M991" s="441"/>
    </row>
    <row r="992" spans="2:13" customFormat="1">
      <c r="B992" s="455"/>
      <c r="C992" s="455"/>
      <c r="D992" s="441"/>
      <c r="E992" s="441"/>
      <c r="F992" s="441"/>
      <c r="G992" s="441"/>
      <c r="H992" s="441"/>
      <c r="I992" s="441"/>
      <c r="J992" s="441"/>
      <c r="K992" s="441"/>
      <c r="L992" s="441"/>
      <c r="M992" s="441"/>
    </row>
    <row r="993" spans="2:13" customFormat="1">
      <c r="B993" s="455"/>
      <c r="C993" s="455"/>
      <c r="D993" s="441"/>
      <c r="E993" s="441"/>
      <c r="F993" s="441"/>
      <c r="G993" s="441"/>
      <c r="H993" s="441"/>
      <c r="I993" s="441"/>
      <c r="J993" s="441"/>
      <c r="K993" s="441"/>
      <c r="L993" s="441"/>
      <c r="M993" s="441"/>
    </row>
    <row r="994" spans="2:13" customFormat="1">
      <c r="B994" s="455"/>
      <c r="C994" s="455"/>
      <c r="D994" s="441"/>
      <c r="E994" s="441"/>
      <c r="F994" s="441"/>
      <c r="G994" s="441"/>
      <c r="H994" s="441"/>
      <c r="I994" s="441"/>
      <c r="J994" s="441"/>
      <c r="K994" s="441"/>
      <c r="L994" s="441"/>
      <c r="M994" s="441"/>
    </row>
    <row r="995" spans="2:13" customFormat="1">
      <c r="B995" s="455"/>
      <c r="C995" s="455"/>
      <c r="D995" s="441"/>
      <c r="E995" s="441"/>
      <c r="F995" s="441"/>
      <c r="G995" s="441"/>
      <c r="H995" s="441"/>
      <c r="I995" s="441"/>
      <c r="J995" s="441"/>
      <c r="K995" s="441"/>
      <c r="L995" s="441"/>
      <c r="M995" s="441"/>
    </row>
    <row r="996" spans="2:13" customFormat="1">
      <c r="B996" s="455"/>
      <c r="C996" s="455"/>
      <c r="D996" s="441"/>
      <c r="E996" s="441"/>
      <c r="F996" s="441"/>
      <c r="G996" s="441"/>
      <c r="H996" s="441"/>
      <c r="I996" s="441"/>
      <c r="J996" s="441"/>
      <c r="K996" s="441"/>
      <c r="L996" s="441"/>
      <c r="M996" s="441"/>
    </row>
    <row r="997" spans="2:13" customFormat="1">
      <c r="B997" s="455"/>
      <c r="C997" s="455"/>
      <c r="D997" s="441"/>
      <c r="E997" s="441"/>
      <c r="F997" s="441"/>
      <c r="G997" s="441"/>
      <c r="H997" s="441"/>
      <c r="I997" s="441"/>
      <c r="J997" s="441"/>
      <c r="K997" s="441"/>
      <c r="L997" s="441"/>
      <c r="M997" s="441"/>
    </row>
    <row r="998" spans="2:13" customFormat="1">
      <c r="B998" s="455"/>
      <c r="C998" s="455"/>
      <c r="D998" s="441"/>
      <c r="E998" s="441"/>
      <c r="F998" s="441"/>
      <c r="G998" s="441"/>
      <c r="H998" s="441"/>
      <c r="I998" s="441"/>
      <c r="J998" s="441"/>
      <c r="K998" s="441"/>
      <c r="L998" s="441"/>
      <c r="M998" s="441"/>
    </row>
    <row r="999" spans="2:13" customFormat="1">
      <c r="B999" s="455"/>
      <c r="C999" s="455"/>
      <c r="D999" s="441"/>
      <c r="E999" s="441"/>
      <c r="F999" s="441"/>
      <c r="G999" s="441"/>
      <c r="H999" s="441"/>
      <c r="I999" s="441"/>
      <c r="J999" s="441"/>
      <c r="K999" s="441"/>
      <c r="L999" s="441"/>
      <c r="M999" s="441"/>
    </row>
    <row r="1000" spans="2:13" customFormat="1">
      <c r="B1000" s="455"/>
      <c r="C1000" s="455"/>
      <c r="D1000" s="441"/>
      <c r="E1000" s="441"/>
      <c r="F1000" s="441"/>
      <c r="G1000" s="441"/>
      <c r="H1000" s="441"/>
      <c r="I1000" s="441"/>
      <c r="J1000" s="441"/>
      <c r="K1000" s="441"/>
      <c r="L1000" s="441"/>
      <c r="M1000" s="441"/>
    </row>
    <row r="1001" spans="2:13" customFormat="1">
      <c r="B1001" s="455"/>
      <c r="C1001" s="455"/>
      <c r="D1001" s="441"/>
      <c r="E1001" s="441"/>
      <c r="F1001" s="441"/>
      <c r="G1001" s="441"/>
      <c r="H1001" s="441"/>
      <c r="I1001" s="441"/>
      <c r="J1001" s="441"/>
      <c r="K1001" s="441"/>
      <c r="L1001" s="441"/>
      <c r="M1001" s="441"/>
    </row>
    <row r="1002" spans="2:13" customFormat="1">
      <c r="B1002" s="455"/>
      <c r="C1002" s="455"/>
      <c r="D1002" s="441"/>
      <c r="E1002" s="441"/>
      <c r="F1002" s="441"/>
      <c r="G1002" s="441"/>
      <c r="H1002" s="441"/>
      <c r="I1002" s="441"/>
      <c r="J1002" s="441"/>
      <c r="K1002" s="441"/>
      <c r="L1002" s="441"/>
      <c r="M1002" s="441"/>
    </row>
    <row r="1003" spans="2:13" customFormat="1">
      <c r="B1003" s="455"/>
      <c r="C1003" s="455"/>
      <c r="D1003" s="441"/>
      <c r="E1003" s="441"/>
      <c r="F1003" s="441"/>
      <c r="G1003" s="441"/>
      <c r="H1003" s="441"/>
      <c r="I1003" s="441"/>
      <c r="J1003" s="441"/>
      <c r="K1003" s="441"/>
      <c r="L1003" s="441"/>
      <c r="M1003" s="441"/>
    </row>
    <row r="1004" spans="2:13" customFormat="1">
      <c r="B1004" s="455"/>
      <c r="C1004" s="455"/>
      <c r="D1004" s="441"/>
      <c r="E1004" s="441"/>
      <c r="F1004" s="441"/>
      <c r="G1004" s="441"/>
      <c r="H1004" s="441"/>
      <c r="I1004" s="441"/>
      <c r="J1004" s="441"/>
      <c r="K1004" s="441"/>
      <c r="L1004" s="441"/>
      <c r="M1004" s="441"/>
    </row>
    <row r="1005" spans="2:13" customFormat="1">
      <c r="B1005" s="455"/>
      <c r="C1005" s="455"/>
      <c r="D1005" s="441"/>
      <c r="E1005" s="441"/>
      <c r="F1005" s="441"/>
      <c r="G1005" s="441"/>
      <c r="H1005" s="441"/>
      <c r="I1005" s="441"/>
      <c r="J1005" s="441"/>
      <c r="K1005" s="441"/>
      <c r="L1005" s="441"/>
      <c r="M1005" s="441"/>
    </row>
    <row r="1006" spans="2:13" customFormat="1">
      <c r="B1006" s="455"/>
      <c r="C1006" s="455"/>
      <c r="D1006" s="441"/>
      <c r="E1006" s="441"/>
      <c r="F1006" s="441"/>
      <c r="G1006" s="441"/>
      <c r="H1006" s="441"/>
      <c r="I1006" s="441"/>
      <c r="J1006" s="441"/>
      <c r="K1006" s="441"/>
      <c r="L1006" s="441"/>
      <c r="M1006" s="441"/>
    </row>
    <row r="1007" spans="2:13" customFormat="1">
      <c r="B1007" s="455"/>
      <c r="C1007" s="455"/>
      <c r="D1007" s="441"/>
      <c r="E1007" s="441"/>
      <c r="F1007" s="441"/>
      <c r="G1007" s="441"/>
      <c r="H1007" s="441"/>
      <c r="I1007" s="441"/>
      <c r="J1007" s="441"/>
      <c r="K1007" s="441"/>
      <c r="L1007" s="441"/>
      <c r="M1007" s="441"/>
    </row>
    <row r="1008" spans="2:13" customFormat="1">
      <c r="B1008" s="455"/>
      <c r="C1008" s="455"/>
      <c r="D1008" s="441"/>
      <c r="E1008" s="441"/>
      <c r="F1008" s="441"/>
      <c r="G1008" s="441"/>
      <c r="H1008" s="441"/>
      <c r="I1008" s="441"/>
      <c r="J1008" s="441"/>
      <c r="K1008" s="441"/>
      <c r="L1008" s="441"/>
      <c r="M1008" s="441"/>
    </row>
    <row r="1009" spans="2:13" customFormat="1">
      <c r="B1009" s="455"/>
      <c r="C1009" s="455"/>
      <c r="D1009" s="441"/>
      <c r="E1009" s="441"/>
      <c r="F1009" s="441"/>
      <c r="G1009" s="441"/>
      <c r="H1009" s="441"/>
      <c r="I1009" s="441"/>
      <c r="J1009" s="441"/>
      <c r="K1009" s="441"/>
      <c r="L1009" s="441"/>
      <c r="M1009" s="441"/>
    </row>
    <row r="1010" spans="2:13" customFormat="1">
      <c r="B1010" s="455"/>
      <c r="C1010" s="455"/>
      <c r="D1010" s="441"/>
      <c r="E1010" s="441"/>
      <c r="F1010" s="441"/>
      <c r="G1010" s="441"/>
      <c r="H1010" s="441"/>
      <c r="I1010" s="441"/>
      <c r="J1010" s="441"/>
      <c r="K1010" s="441"/>
      <c r="L1010" s="441"/>
      <c r="M1010" s="441"/>
    </row>
    <row r="1011" spans="2:13" customFormat="1">
      <c r="B1011" s="455"/>
      <c r="C1011" s="455"/>
      <c r="D1011" s="441"/>
      <c r="E1011" s="441"/>
      <c r="F1011" s="441"/>
      <c r="G1011" s="441"/>
      <c r="H1011" s="441"/>
      <c r="I1011" s="441"/>
      <c r="J1011" s="441"/>
      <c r="K1011" s="441"/>
      <c r="L1011" s="441"/>
      <c r="M1011" s="441"/>
    </row>
    <row r="1012" spans="2:13" customFormat="1">
      <c r="B1012" s="455"/>
      <c r="C1012" s="455"/>
      <c r="D1012" s="441"/>
      <c r="E1012" s="441"/>
      <c r="F1012" s="441"/>
      <c r="G1012" s="441"/>
      <c r="H1012" s="441"/>
      <c r="I1012" s="441"/>
      <c r="J1012" s="441"/>
      <c r="K1012" s="441"/>
      <c r="L1012" s="441"/>
      <c r="M1012" s="441"/>
    </row>
    <row r="1013" spans="2:13" customFormat="1">
      <c r="B1013" s="455"/>
      <c r="C1013" s="455"/>
      <c r="D1013" s="441"/>
      <c r="E1013" s="441"/>
      <c r="F1013" s="441"/>
      <c r="G1013" s="441"/>
      <c r="H1013" s="441"/>
      <c r="I1013" s="441"/>
      <c r="J1013" s="441"/>
      <c r="K1013" s="441"/>
      <c r="L1013" s="441"/>
      <c r="M1013" s="441"/>
    </row>
    <row r="1014" spans="2:13" customFormat="1">
      <c r="B1014" s="455"/>
      <c r="C1014" s="455"/>
      <c r="D1014" s="441"/>
      <c r="E1014" s="441"/>
      <c r="F1014" s="441"/>
      <c r="G1014" s="441"/>
      <c r="H1014" s="441"/>
      <c r="I1014" s="441"/>
      <c r="J1014" s="441"/>
      <c r="K1014" s="441"/>
      <c r="L1014" s="441"/>
      <c r="M1014" s="441"/>
    </row>
    <row r="1015" spans="2:13" customFormat="1">
      <c r="B1015" s="455"/>
      <c r="C1015" s="455"/>
      <c r="D1015" s="441"/>
      <c r="E1015" s="441"/>
      <c r="F1015" s="441"/>
      <c r="G1015" s="441"/>
      <c r="H1015" s="441"/>
      <c r="I1015" s="441"/>
      <c r="J1015" s="441"/>
      <c r="K1015" s="441"/>
      <c r="L1015" s="441"/>
      <c r="M1015" s="441"/>
    </row>
    <row r="1016" spans="2:13" customFormat="1">
      <c r="B1016" s="455"/>
      <c r="C1016" s="455"/>
      <c r="D1016" s="441"/>
      <c r="E1016" s="441"/>
      <c r="F1016" s="441"/>
      <c r="G1016" s="441"/>
      <c r="H1016" s="441"/>
      <c r="I1016" s="441"/>
      <c r="J1016" s="441"/>
      <c r="K1016" s="441"/>
      <c r="L1016" s="441"/>
      <c r="M1016" s="441"/>
    </row>
    <row r="1017" spans="2:13" customFormat="1">
      <c r="B1017" s="455"/>
      <c r="C1017" s="455"/>
      <c r="D1017" s="441"/>
      <c r="E1017" s="441"/>
      <c r="F1017" s="441"/>
      <c r="G1017" s="441"/>
      <c r="H1017" s="441"/>
      <c r="I1017" s="441"/>
      <c r="J1017" s="441"/>
      <c r="K1017" s="441"/>
      <c r="L1017" s="441"/>
      <c r="M1017" s="441"/>
    </row>
    <row r="1018" spans="2:13" customFormat="1">
      <c r="B1018" s="455"/>
      <c r="C1018" s="455"/>
      <c r="D1018" s="441"/>
      <c r="E1018" s="441"/>
      <c r="F1018" s="441"/>
      <c r="G1018" s="441"/>
      <c r="H1018" s="441"/>
      <c r="I1018" s="441"/>
      <c r="J1018" s="441"/>
      <c r="K1018" s="441"/>
      <c r="L1018" s="441"/>
      <c r="M1018" s="441"/>
    </row>
    <row r="1019" spans="2:13" customFormat="1">
      <c r="B1019" s="455"/>
      <c r="C1019" s="455"/>
      <c r="D1019" s="441"/>
      <c r="E1019" s="441"/>
      <c r="F1019" s="441"/>
      <c r="G1019" s="441"/>
      <c r="H1019" s="441"/>
      <c r="I1019" s="441"/>
      <c r="J1019" s="441"/>
      <c r="K1019" s="441"/>
      <c r="L1019" s="441"/>
      <c r="M1019" s="441"/>
    </row>
    <row r="1020" spans="2:13" customFormat="1">
      <c r="B1020" s="455"/>
      <c r="C1020" s="455"/>
      <c r="D1020" s="441"/>
      <c r="E1020" s="441"/>
      <c r="F1020" s="441"/>
      <c r="G1020" s="441"/>
      <c r="H1020" s="441"/>
      <c r="I1020" s="441"/>
      <c r="J1020" s="441"/>
      <c r="K1020" s="441"/>
      <c r="L1020" s="441"/>
      <c r="M1020" s="441"/>
    </row>
    <row r="1021" spans="2:13" customFormat="1">
      <c r="B1021" s="455"/>
      <c r="C1021" s="455"/>
      <c r="D1021" s="441"/>
      <c r="E1021" s="441"/>
      <c r="F1021" s="441"/>
      <c r="G1021" s="441"/>
      <c r="H1021" s="441"/>
      <c r="I1021" s="441"/>
      <c r="J1021" s="441"/>
      <c r="K1021" s="441"/>
      <c r="L1021" s="441"/>
      <c r="M1021" s="441"/>
    </row>
    <row r="1022" spans="2:13" customFormat="1">
      <c r="B1022" s="455"/>
      <c r="C1022" s="455"/>
      <c r="D1022" s="441"/>
      <c r="E1022" s="441"/>
      <c r="F1022" s="441"/>
      <c r="G1022" s="441"/>
      <c r="H1022" s="441"/>
      <c r="I1022" s="441"/>
      <c r="J1022" s="441"/>
      <c r="K1022" s="441"/>
      <c r="L1022" s="441"/>
      <c r="M1022" s="441"/>
    </row>
    <row r="1023" spans="2:13" customFormat="1">
      <c r="B1023" s="455"/>
      <c r="C1023" s="455"/>
      <c r="D1023" s="441"/>
      <c r="E1023" s="441"/>
      <c r="F1023" s="441"/>
      <c r="G1023" s="441"/>
      <c r="H1023" s="441"/>
      <c r="I1023" s="441"/>
      <c r="J1023" s="441"/>
      <c r="K1023" s="441"/>
      <c r="L1023" s="441"/>
      <c r="M1023" s="441"/>
    </row>
    <row r="1024" spans="2:13" customFormat="1">
      <c r="B1024" s="455"/>
      <c r="C1024" s="455"/>
      <c r="D1024" s="441"/>
      <c r="E1024" s="441"/>
      <c r="F1024" s="441"/>
      <c r="G1024" s="441"/>
      <c r="H1024" s="441"/>
      <c r="I1024" s="441"/>
      <c r="J1024" s="441"/>
      <c r="K1024" s="441"/>
      <c r="L1024" s="441"/>
      <c r="M1024" s="441"/>
    </row>
    <row r="1025" spans="2:13" customFormat="1">
      <c r="B1025" s="455"/>
      <c r="C1025" s="455"/>
      <c r="D1025" s="441"/>
      <c r="E1025" s="441"/>
      <c r="F1025" s="441"/>
      <c r="G1025" s="441"/>
      <c r="H1025" s="441"/>
      <c r="I1025" s="441"/>
      <c r="J1025" s="441"/>
      <c r="K1025" s="441"/>
      <c r="L1025" s="441"/>
      <c r="M1025" s="441"/>
    </row>
    <row r="1026" spans="2:13" customFormat="1">
      <c r="B1026" s="455"/>
      <c r="C1026" s="455"/>
      <c r="D1026" s="441"/>
      <c r="E1026" s="441"/>
      <c r="F1026" s="441"/>
      <c r="G1026" s="441"/>
      <c r="H1026" s="441"/>
      <c r="I1026" s="441"/>
      <c r="J1026" s="441"/>
      <c r="K1026" s="441"/>
      <c r="L1026" s="441"/>
      <c r="M1026" s="441"/>
    </row>
    <row r="1027" spans="2:13" customFormat="1">
      <c r="B1027" s="455"/>
      <c r="C1027" s="455"/>
      <c r="D1027" s="441"/>
      <c r="E1027" s="441"/>
      <c r="F1027" s="441"/>
      <c r="G1027" s="441"/>
      <c r="H1027" s="441"/>
      <c r="I1027" s="441"/>
      <c r="J1027" s="441"/>
      <c r="K1027" s="441"/>
      <c r="L1027" s="441"/>
      <c r="M1027" s="441"/>
    </row>
    <row r="1028" spans="2:13" customFormat="1">
      <c r="B1028" s="455"/>
      <c r="C1028" s="455"/>
      <c r="D1028" s="441"/>
      <c r="E1028" s="441"/>
      <c r="F1028" s="441"/>
      <c r="G1028" s="441"/>
      <c r="H1028" s="441"/>
      <c r="I1028" s="441"/>
      <c r="J1028" s="441"/>
      <c r="K1028" s="441"/>
      <c r="L1028" s="441"/>
      <c r="M1028" s="441"/>
    </row>
    <row r="1029" spans="2:13" customFormat="1">
      <c r="B1029" s="455"/>
      <c r="C1029" s="455"/>
      <c r="D1029" s="441"/>
      <c r="E1029" s="441"/>
      <c r="F1029" s="441"/>
      <c r="G1029" s="441"/>
      <c r="H1029" s="441"/>
      <c r="I1029" s="441"/>
      <c r="J1029" s="441"/>
      <c r="K1029" s="441"/>
      <c r="L1029" s="441"/>
      <c r="M1029" s="441"/>
    </row>
    <row r="1030" spans="2:13" customFormat="1">
      <c r="B1030" s="455"/>
      <c r="C1030" s="455"/>
      <c r="D1030" s="441"/>
      <c r="E1030" s="441"/>
      <c r="F1030" s="441"/>
      <c r="G1030" s="441"/>
      <c r="H1030" s="441"/>
      <c r="I1030" s="441"/>
      <c r="J1030" s="441"/>
      <c r="K1030" s="441"/>
      <c r="L1030" s="441"/>
      <c r="M1030" s="441"/>
    </row>
    <row r="1031" spans="2:13" customFormat="1">
      <c r="B1031" s="455"/>
      <c r="C1031" s="455"/>
      <c r="D1031" s="441"/>
      <c r="E1031" s="441"/>
      <c r="F1031" s="441"/>
      <c r="G1031" s="441"/>
      <c r="H1031" s="441"/>
      <c r="I1031" s="441"/>
      <c r="J1031" s="441"/>
      <c r="K1031" s="441"/>
      <c r="L1031" s="441"/>
      <c r="M1031" s="441"/>
    </row>
    <row r="1032" spans="2:13" customFormat="1">
      <c r="B1032" s="455"/>
      <c r="C1032" s="455"/>
      <c r="D1032" s="441"/>
      <c r="E1032" s="441"/>
      <c r="F1032" s="441"/>
      <c r="G1032" s="441"/>
      <c r="H1032" s="441"/>
      <c r="I1032" s="441"/>
      <c r="J1032" s="441"/>
      <c r="K1032" s="441"/>
      <c r="L1032" s="441"/>
      <c r="M1032" s="441"/>
    </row>
    <row r="1033" spans="2:13" customFormat="1">
      <c r="B1033" s="455"/>
      <c r="C1033" s="455"/>
      <c r="D1033" s="441"/>
      <c r="E1033" s="441"/>
      <c r="F1033" s="441"/>
      <c r="G1033" s="441"/>
      <c r="H1033" s="441"/>
      <c r="I1033" s="441"/>
      <c r="J1033" s="441"/>
      <c r="K1033" s="441"/>
      <c r="L1033" s="441"/>
      <c r="M1033" s="441"/>
    </row>
    <row r="1034" spans="2:13" customFormat="1">
      <c r="B1034" s="455"/>
      <c r="C1034" s="455"/>
      <c r="D1034" s="441"/>
      <c r="E1034" s="441"/>
      <c r="F1034" s="441"/>
      <c r="G1034" s="441"/>
      <c r="H1034" s="441"/>
      <c r="I1034" s="441"/>
      <c r="J1034" s="441"/>
      <c r="K1034" s="441"/>
      <c r="L1034" s="441"/>
      <c r="M1034" s="441"/>
    </row>
    <row r="1035" spans="2:13" customFormat="1">
      <c r="B1035" s="455"/>
      <c r="C1035" s="455"/>
      <c r="D1035" s="441"/>
      <c r="E1035" s="441"/>
      <c r="F1035" s="441"/>
      <c r="G1035" s="441"/>
      <c r="H1035" s="441"/>
      <c r="I1035" s="441"/>
      <c r="J1035" s="441"/>
      <c r="K1035" s="441"/>
      <c r="L1035" s="441"/>
      <c r="M1035" s="441"/>
    </row>
    <row r="1036" spans="2:13" customFormat="1">
      <c r="B1036" s="455"/>
      <c r="C1036" s="455"/>
      <c r="D1036" s="441"/>
      <c r="E1036" s="441"/>
      <c r="F1036" s="441"/>
      <c r="G1036" s="441"/>
      <c r="H1036" s="441"/>
      <c r="I1036" s="441"/>
      <c r="J1036" s="441"/>
      <c r="K1036" s="441"/>
      <c r="L1036" s="441"/>
      <c r="M1036" s="441"/>
    </row>
    <row r="1037" spans="2:13" customFormat="1">
      <c r="B1037" s="455"/>
      <c r="C1037" s="455"/>
      <c r="D1037" s="441"/>
      <c r="E1037" s="441"/>
      <c r="F1037" s="441"/>
      <c r="G1037" s="441"/>
      <c r="H1037" s="441"/>
      <c r="I1037" s="441"/>
      <c r="J1037" s="441"/>
      <c r="K1037" s="441"/>
      <c r="L1037" s="441"/>
      <c r="M1037" s="441"/>
    </row>
    <row r="1038" spans="2:13" customFormat="1">
      <c r="B1038" s="455"/>
      <c r="C1038" s="455"/>
      <c r="D1038" s="441"/>
      <c r="E1038" s="441"/>
      <c r="F1038" s="441"/>
      <c r="G1038" s="441"/>
      <c r="H1038" s="441"/>
      <c r="I1038" s="441"/>
      <c r="J1038" s="441"/>
      <c r="K1038" s="441"/>
      <c r="L1038" s="441"/>
      <c r="M1038" s="441"/>
    </row>
    <row r="1039" spans="2:13" customFormat="1">
      <c r="B1039" s="455"/>
      <c r="C1039" s="455"/>
      <c r="D1039" s="441"/>
      <c r="E1039" s="441"/>
      <c r="F1039" s="441"/>
      <c r="G1039" s="441"/>
      <c r="H1039" s="441"/>
      <c r="I1039" s="441"/>
      <c r="J1039" s="441"/>
      <c r="K1039" s="441"/>
      <c r="L1039" s="441"/>
      <c r="M1039" s="441"/>
    </row>
    <row r="1040" spans="2:13" customFormat="1">
      <c r="B1040" s="455"/>
      <c r="C1040" s="455"/>
      <c r="D1040" s="441"/>
      <c r="E1040" s="441"/>
      <c r="F1040" s="441"/>
      <c r="G1040" s="441"/>
      <c r="H1040" s="441"/>
      <c r="I1040" s="441"/>
      <c r="J1040" s="441"/>
      <c r="K1040" s="441"/>
      <c r="L1040" s="441"/>
      <c r="M1040" s="441"/>
    </row>
    <row r="1041" spans="2:13" customFormat="1">
      <c r="B1041" s="455"/>
      <c r="C1041" s="455"/>
      <c r="D1041" s="441"/>
      <c r="E1041" s="441"/>
      <c r="F1041" s="441"/>
      <c r="G1041" s="441"/>
      <c r="H1041" s="441"/>
      <c r="I1041" s="441"/>
      <c r="J1041" s="441"/>
      <c r="K1041" s="441"/>
      <c r="L1041" s="441"/>
      <c r="M1041" s="441"/>
    </row>
    <row r="1042" spans="2:13" customFormat="1">
      <c r="B1042" s="455"/>
      <c r="C1042" s="455"/>
      <c r="D1042" s="441"/>
      <c r="E1042" s="441"/>
      <c r="F1042" s="441"/>
      <c r="G1042" s="441"/>
      <c r="H1042" s="441"/>
      <c r="I1042" s="441"/>
      <c r="J1042" s="441"/>
      <c r="K1042" s="441"/>
      <c r="L1042" s="441"/>
      <c r="M1042" s="441"/>
    </row>
    <row r="1043" spans="2:13" customFormat="1">
      <c r="B1043" s="455"/>
      <c r="C1043" s="455"/>
      <c r="D1043" s="441"/>
      <c r="E1043" s="441"/>
      <c r="F1043" s="441"/>
      <c r="G1043" s="441"/>
      <c r="H1043" s="441"/>
      <c r="I1043" s="441"/>
      <c r="J1043" s="441"/>
      <c r="K1043" s="441"/>
      <c r="L1043" s="441"/>
      <c r="M1043" s="441"/>
    </row>
    <row r="1044" spans="2:13" customFormat="1">
      <c r="B1044" s="455"/>
      <c r="C1044" s="455"/>
      <c r="D1044" s="441"/>
      <c r="E1044" s="441"/>
      <c r="F1044" s="441"/>
      <c r="G1044" s="441"/>
      <c r="H1044" s="441"/>
      <c r="I1044" s="441"/>
      <c r="J1044" s="441"/>
      <c r="K1044" s="441"/>
      <c r="L1044" s="441"/>
      <c r="M1044" s="441"/>
    </row>
    <row r="1045" spans="2:13" customFormat="1">
      <c r="B1045" s="455"/>
      <c r="C1045" s="455"/>
      <c r="D1045" s="441"/>
      <c r="E1045" s="441"/>
      <c r="F1045" s="441"/>
      <c r="G1045" s="441"/>
      <c r="H1045" s="441"/>
      <c r="I1045" s="441"/>
      <c r="J1045" s="441"/>
      <c r="K1045" s="441"/>
      <c r="L1045" s="441"/>
      <c r="M1045" s="441"/>
    </row>
    <row r="1046" spans="2:13" customFormat="1">
      <c r="B1046" s="455"/>
      <c r="C1046" s="455"/>
      <c r="D1046" s="441"/>
      <c r="E1046" s="441"/>
      <c r="F1046" s="441"/>
      <c r="G1046" s="441"/>
      <c r="H1046" s="441"/>
      <c r="I1046" s="441"/>
      <c r="J1046" s="441"/>
      <c r="K1046" s="441"/>
      <c r="L1046" s="441"/>
      <c r="M1046" s="441"/>
    </row>
    <row r="1047" spans="2:13" customFormat="1">
      <c r="B1047" s="455"/>
      <c r="C1047" s="455"/>
      <c r="D1047" s="441"/>
      <c r="E1047" s="441"/>
      <c r="F1047" s="441"/>
      <c r="G1047" s="441"/>
      <c r="H1047" s="441"/>
      <c r="I1047" s="441"/>
      <c r="J1047" s="441"/>
      <c r="K1047" s="441"/>
      <c r="L1047" s="441"/>
      <c r="M1047" s="441"/>
    </row>
    <row r="1048" spans="2:13" customFormat="1">
      <c r="B1048" s="455"/>
      <c r="C1048" s="455"/>
      <c r="D1048" s="441"/>
      <c r="E1048" s="441"/>
      <c r="F1048" s="441"/>
      <c r="G1048" s="441"/>
      <c r="H1048" s="441"/>
      <c r="I1048" s="441"/>
      <c r="J1048" s="441"/>
      <c r="K1048" s="441"/>
      <c r="L1048" s="441"/>
      <c r="M1048" s="441"/>
    </row>
    <row r="1049" spans="2:13" customFormat="1">
      <c r="B1049" s="455"/>
      <c r="C1049" s="455"/>
      <c r="D1049" s="441"/>
      <c r="E1049" s="441"/>
      <c r="F1049" s="441"/>
      <c r="G1049" s="441"/>
      <c r="H1049" s="441"/>
      <c r="I1049" s="441"/>
      <c r="J1049" s="441"/>
      <c r="K1049" s="441"/>
      <c r="L1049" s="441"/>
      <c r="M1049" s="441"/>
    </row>
    <row r="1050" spans="2:13" customFormat="1">
      <c r="B1050" s="455"/>
      <c r="C1050" s="455"/>
      <c r="D1050" s="441"/>
      <c r="E1050" s="441"/>
      <c r="F1050" s="441"/>
      <c r="G1050" s="441"/>
      <c r="H1050" s="441"/>
      <c r="I1050" s="441"/>
      <c r="J1050" s="441"/>
      <c r="K1050" s="441"/>
      <c r="L1050" s="441"/>
      <c r="M1050" s="441"/>
    </row>
    <row r="1051" spans="2:13" customFormat="1">
      <c r="B1051" s="455"/>
      <c r="C1051" s="455"/>
      <c r="D1051" s="441"/>
      <c r="E1051" s="441"/>
      <c r="F1051" s="441"/>
      <c r="G1051" s="441"/>
      <c r="H1051" s="441"/>
      <c r="I1051" s="441"/>
      <c r="J1051" s="441"/>
      <c r="K1051" s="441"/>
      <c r="L1051" s="441"/>
      <c r="M1051" s="441"/>
    </row>
    <row r="1052" spans="2:13" customFormat="1">
      <c r="B1052" s="455"/>
      <c r="C1052" s="455"/>
      <c r="D1052" s="441"/>
      <c r="E1052" s="441"/>
      <c r="F1052" s="441"/>
      <c r="G1052" s="441"/>
      <c r="H1052" s="441"/>
      <c r="I1052" s="441"/>
      <c r="J1052" s="441"/>
      <c r="K1052" s="441"/>
      <c r="L1052" s="441"/>
      <c r="M1052" s="441"/>
    </row>
    <row r="1053" spans="2:13" customFormat="1">
      <c r="B1053" s="455"/>
      <c r="C1053" s="455"/>
      <c r="D1053" s="441"/>
      <c r="E1053" s="441"/>
      <c r="F1053" s="441"/>
      <c r="G1053" s="441"/>
      <c r="H1053" s="441"/>
      <c r="I1053" s="441"/>
      <c r="J1053" s="441"/>
      <c r="K1053" s="441"/>
      <c r="L1053" s="441"/>
      <c r="M1053" s="441"/>
    </row>
    <row r="1054" spans="2:13" customFormat="1">
      <c r="B1054" s="455"/>
      <c r="C1054" s="455"/>
      <c r="D1054" s="441"/>
      <c r="E1054" s="441"/>
      <c r="F1054" s="441"/>
      <c r="G1054" s="441"/>
      <c r="H1054" s="441"/>
      <c r="I1054" s="441"/>
      <c r="J1054" s="441"/>
      <c r="K1054" s="441"/>
      <c r="L1054" s="441"/>
      <c r="M1054" s="441"/>
    </row>
    <row r="1055" spans="2:13" customFormat="1">
      <c r="B1055" s="455"/>
      <c r="C1055" s="455"/>
      <c r="D1055" s="441"/>
      <c r="E1055" s="441"/>
      <c r="F1055" s="441"/>
      <c r="G1055" s="441"/>
      <c r="H1055" s="441"/>
      <c r="I1055" s="441"/>
      <c r="J1055" s="441"/>
      <c r="K1055" s="441"/>
      <c r="L1055" s="441"/>
      <c r="M1055" s="441"/>
    </row>
    <row r="1056" spans="2:13" customFormat="1">
      <c r="B1056" s="455"/>
      <c r="C1056" s="455"/>
      <c r="D1056" s="441"/>
      <c r="E1056" s="441"/>
      <c r="F1056" s="441"/>
      <c r="G1056" s="441"/>
      <c r="H1056" s="441"/>
      <c r="I1056" s="441"/>
      <c r="J1056" s="441"/>
      <c r="K1056" s="441"/>
      <c r="L1056" s="441"/>
      <c r="M1056" s="441"/>
    </row>
    <row r="1057" spans="2:13" customFormat="1">
      <c r="B1057" s="455"/>
      <c r="C1057" s="455"/>
      <c r="D1057" s="441"/>
      <c r="E1057" s="441"/>
      <c r="F1057" s="441"/>
      <c r="G1057" s="441"/>
      <c r="H1057" s="441"/>
      <c r="I1057" s="441"/>
      <c r="J1057" s="441"/>
      <c r="K1057" s="441"/>
      <c r="L1057" s="441"/>
      <c r="M1057" s="441"/>
    </row>
    <row r="1058" spans="2:13" customFormat="1">
      <c r="B1058" s="455"/>
      <c r="C1058" s="455"/>
      <c r="D1058" s="441"/>
      <c r="E1058" s="441"/>
      <c r="F1058" s="441"/>
      <c r="G1058" s="441"/>
      <c r="H1058" s="441"/>
      <c r="I1058" s="441"/>
      <c r="J1058" s="441"/>
      <c r="K1058" s="441"/>
      <c r="L1058" s="441"/>
      <c r="M1058" s="441"/>
    </row>
    <row r="1059" spans="2:13" customFormat="1">
      <c r="B1059" s="455"/>
      <c r="C1059" s="455"/>
      <c r="D1059" s="441"/>
      <c r="E1059" s="441"/>
      <c r="F1059" s="441"/>
      <c r="G1059" s="441"/>
      <c r="H1059" s="441"/>
      <c r="I1059" s="441"/>
      <c r="J1059" s="441"/>
      <c r="K1059" s="441"/>
      <c r="L1059" s="441"/>
      <c r="M1059" s="441"/>
    </row>
    <row r="1060" spans="2:13" customFormat="1">
      <c r="B1060" s="455"/>
      <c r="C1060" s="455"/>
      <c r="D1060" s="441"/>
      <c r="E1060" s="441"/>
      <c r="F1060" s="441"/>
      <c r="G1060" s="441"/>
      <c r="H1060" s="441"/>
      <c r="I1060" s="441"/>
      <c r="J1060" s="441"/>
      <c r="K1060" s="441"/>
      <c r="L1060" s="441"/>
      <c r="M1060" s="441"/>
    </row>
    <row r="1061" spans="2:13" customFormat="1">
      <c r="B1061" s="455"/>
      <c r="C1061" s="455"/>
      <c r="D1061" s="441"/>
      <c r="E1061" s="441"/>
      <c r="F1061" s="441"/>
      <c r="G1061" s="441"/>
      <c r="H1061" s="441"/>
      <c r="I1061" s="441"/>
      <c r="J1061" s="441"/>
      <c r="K1061" s="441"/>
      <c r="L1061" s="441"/>
      <c r="M1061" s="441"/>
    </row>
    <row r="1062" spans="2:13" customFormat="1">
      <c r="B1062" s="455"/>
      <c r="C1062" s="455"/>
      <c r="D1062" s="441"/>
      <c r="E1062" s="441"/>
      <c r="F1062" s="441"/>
      <c r="G1062" s="441"/>
      <c r="H1062" s="441"/>
      <c r="I1062" s="441"/>
      <c r="J1062" s="441"/>
      <c r="K1062" s="441"/>
      <c r="L1062" s="441"/>
      <c r="M1062" s="441"/>
    </row>
    <row r="1063" spans="2:13" customFormat="1">
      <c r="B1063" s="455"/>
      <c r="C1063" s="455"/>
      <c r="D1063" s="441"/>
      <c r="E1063" s="441"/>
      <c r="F1063" s="441"/>
      <c r="G1063" s="441"/>
      <c r="H1063" s="441"/>
      <c r="I1063" s="441"/>
      <c r="J1063" s="441"/>
      <c r="K1063" s="441"/>
      <c r="L1063" s="441"/>
      <c r="M1063" s="441"/>
    </row>
    <row r="1064" spans="2:13" customFormat="1">
      <c r="B1064" s="455"/>
      <c r="C1064" s="455"/>
      <c r="D1064" s="441"/>
      <c r="E1064" s="441"/>
      <c r="F1064" s="441"/>
      <c r="G1064" s="441"/>
      <c r="H1064" s="441"/>
      <c r="I1064" s="441"/>
      <c r="J1064" s="441"/>
      <c r="K1064" s="441"/>
      <c r="L1064" s="441"/>
      <c r="M1064" s="441"/>
    </row>
    <row r="1065" spans="2:13" customFormat="1">
      <c r="B1065" s="455"/>
      <c r="C1065" s="455"/>
      <c r="D1065" s="441"/>
      <c r="E1065" s="441"/>
      <c r="F1065" s="441"/>
      <c r="G1065" s="441"/>
      <c r="H1065" s="441"/>
      <c r="I1065" s="441"/>
      <c r="J1065" s="441"/>
      <c r="K1065" s="441"/>
      <c r="L1065" s="441"/>
      <c r="M1065" s="441"/>
    </row>
    <row r="1066" spans="2:13" customFormat="1">
      <c r="B1066" s="455"/>
      <c r="C1066" s="455"/>
      <c r="D1066" s="441"/>
      <c r="E1066" s="441"/>
      <c r="F1066" s="441"/>
      <c r="G1066" s="441"/>
      <c r="H1066" s="441"/>
      <c r="I1066" s="441"/>
      <c r="J1066" s="441"/>
      <c r="K1066" s="441"/>
      <c r="L1066" s="441"/>
      <c r="M1066" s="441"/>
    </row>
    <row r="1067" spans="2:13" customFormat="1">
      <c r="B1067" s="455"/>
      <c r="C1067" s="455"/>
      <c r="D1067" s="441"/>
      <c r="E1067" s="441"/>
      <c r="F1067" s="441"/>
      <c r="G1067" s="441"/>
      <c r="H1067" s="441"/>
      <c r="I1067" s="441"/>
      <c r="J1067" s="441"/>
      <c r="K1067" s="441"/>
      <c r="L1067" s="441"/>
      <c r="M1067" s="441"/>
    </row>
    <row r="1068" spans="2:13" customFormat="1">
      <c r="B1068" s="455"/>
      <c r="C1068" s="455"/>
      <c r="D1068" s="441"/>
      <c r="E1068" s="441"/>
      <c r="F1068" s="441"/>
      <c r="G1068" s="441"/>
      <c r="H1068" s="441"/>
      <c r="I1068" s="441"/>
      <c r="J1068" s="441"/>
      <c r="K1068" s="441"/>
      <c r="L1068" s="441"/>
      <c r="M1068" s="441"/>
    </row>
    <row r="1069" spans="2:13" customFormat="1">
      <c r="B1069" s="455"/>
      <c r="C1069" s="455"/>
      <c r="D1069" s="441"/>
      <c r="E1069" s="441"/>
      <c r="F1069" s="441"/>
      <c r="G1069" s="441"/>
      <c r="H1069" s="441"/>
      <c r="I1069" s="441"/>
      <c r="J1069" s="441"/>
      <c r="K1069" s="441"/>
      <c r="L1069" s="441"/>
      <c r="M1069" s="441"/>
    </row>
    <row r="1070" spans="2:13" customFormat="1">
      <c r="B1070" s="455"/>
      <c r="C1070" s="455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</row>
    <row r="1071" spans="2:13" customFormat="1">
      <c r="B1071" s="455"/>
      <c r="C1071" s="455"/>
      <c r="D1071" s="441"/>
      <c r="E1071" s="441"/>
      <c r="F1071" s="441"/>
      <c r="G1071" s="441"/>
      <c r="H1071" s="441"/>
      <c r="I1071" s="441"/>
      <c r="J1071" s="441"/>
      <c r="K1071" s="441"/>
      <c r="L1071" s="441"/>
      <c r="M1071" s="441"/>
    </row>
    <row r="1072" spans="2:13" customFormat="1">
      <c r="B1072" s="455"/>
      <c r="C1072" s="455"/>
      <c r="D1072" s="441"/>
      <c r="E1072" s="441"/>
      <c r="F1072" s="441"/>
      <c r="G1072" s="441"/>
      <c r="H1072" s="441"/>
      <c r="I1072" s="441"/>
      <c r="J1072" s="441"/>
      <c r="K1072" s="441"/>
      <c r="L1072" s="441"/>
      <c r="M1072" s="441"/>
    </row>
    <row r="1073" spans="2:13" customFormat="1">
      <c r="B1073" s="455"/>
      <c r="C1073" s="455"/>
      <c r="D1073" s="441"/>
      <c r="E1073" s="441"/>
      <c r="F1073" s="441"/>
      <c r="G1073" s="441"/>
      <c r="H1073" s="441"/>
      <c r="I1073" s="441"/>
      <c r="J1073" s="441"/>
      <c r="K1073" s="441"/>
      <c r="L1073" s="441"/>
      <c r="M1073" s="441"/>
    </row>
    <row r="1074" spans="2:13" customFormat="1">
      <c r="B1074" s="455"/>
      <c r="C1074" s="455"/>
      <c r="D1074" s="441"/>
      <c r="E1074" s="441"/>
      <c r="F1074" s="441"/>
      <c r="G1074" s="441"/>
      <c r="H1074" s="441"/>
      <c r="I1074" s="441"/>
      <c r="J1074" s="441"/>
      <c r="K1074" s="441"/>
      <c r="L1074" s="441"/>
      <c r="M1074" s="441"/>
    </row>
    <row r="1075" spans="2:13" customFormat="1">
      <c r="B1075" s="455"/>
      <c r="C1075" s="455"/>
      <c r="D1075" s="441"/>
      <c r="E1075" s="441"/>
      <c r="F1075" s="441"/>
      <c r="G1075" s="441"/>
      <c r="H1075" s="441"/>
      <c r="I1075" s="441"/>
      <c r="J1075" s="441"/>
      <c r="K1075" s="441"/>
      <c r="L1075" s="441"/>
      <c r="M1075" s="441"/>
    </row>
    <row r="1076" spans="2:13" customFormat="1">
      <c r="B1076" s="455"/>
      <c r="C1076" s="455"/>
      <c r="D1076" s="441"/>
      <c r="E1076" s="441"/>
      <c r="F1076" s="441"/>
      <c r="G1076" s="441"/>
      <c r="H1076" s="441"/>
      <c r="I1076" s="441"/>
      <c r="J1076" s="441"/>
      <c r="K1076" s="441"/>
      <c r="L1076" s="441"/>
      <c r="M1076" s="441"/>
    </row>
    <row r="1077" spans="2:13" customFormat="1">
      <c r="B1077" s="455"/>
      <c r="C1077" s="455"/>
      <c r="D1077" s="441"/>
      <c r="E1077" s="441"/>
      <c r="F1077" s="441"/>
      <c r="G1077" s="441"/>
      <c r="H1077" s="441"/>
      <c r="I1077" s="441"/>
      <c r="J1077" s="441"/>
      <c r="K1077" s="441"/>
      <c r="L1077" s="441"/>
      <c r="M1077" s="441"/>
    </row>
    <row r="1078" spans="2:13" customFormat="1">
      <c r="B1078" s="455"/>
      <c r="C1078" s="455"/>
      <c r="D1078" s="441"/>
      <c r="E1078" s="441"/>
      <c r="F1078" s="441"/>
      <c r="G1078" s="441"/>
      <c r="H1078" s="441"/>
      <c r="I1078" s="441"/>
      <c r="J1078" s="441"/>
      <c r="K1078" s="441"/>
      <c r="L1078" s="441"/>
      <c r="M1078" s="441"/>
    </row>
    <row r="1079" spans="2:13" customFormat="1">
      <c r="B1079" s="455"/>
      <c r="C1079" s="455"/>
      <c r="D1079" s="441"/>
      <c r="E1079" s="441"/>
      <c r="F1079" s="441"/>
      <c r="G1079" s="441"/>
      <c r="H1079" s="441"/>
      <c r="I1079" s="441"/>
      <c r="J1079" s="441"/>
      <c r="K1079" s="441"/>
      <c r="L1079" s="441"/>
      <c r="M1079" s="441"/>
    </row>
    <row r="1080" spans="2:13" customFormat="1">
      <c r="B1080" s="455"/>
      <c r="C1080" s="455"/>
      <c r="D1080" s="441"/>
      <c r="E1080" s="441"/>
      <c r="F1080" s="441"/>
      <c r="G1080" s="441"/>
      <c r="H1080" s="441"/>
      <c r="I1080" s="441"/>
      <c r="J1080" s="441"/>
      <c r="K1080" s="441"/>
      <c r="L1080" s="441"/>
      <c r="M1080" s="441"/>
    </row>
    <row r="1081" spans="2:13" customFormat="1">
      <c r="B1081" s="455"/>
      <c r="C1081" s="455"/>
      <c r="D1081" s="441"/>
      <c r="E1081" s="441"/>
      <c r="F1081" s="441"/>
      <c r="G1081" s="441"/>
      <c r="H1081" s="441"/>
      <c r="I1081" s="441"/>
      <c r="J1081" s="441"/>
      <c r="K1081" s="441"/>
      <c r="L1081" s="441"/>
      <c r="M1081" s="441"/>
    </row>
    <row r="1082" spans="2:13" customFormat="1">
      <c r="B1082" s="455"/>
      <c r="C1082" s="455"/>
      <c r="D1082" s="441"/>
      <c r="E1082" s="441"/>
      <c r="F1082" s="441"/>
      <c r="G1082" s="441"/>
      <c r="H1082" s="441"/>
      <c r="I1082" s="441"/>
      <c r="J1082" s="441"/>
      <c r="K1082" s="441"/>
      <c r="L1082" s="441"/>
      <c r="M1082" s="441"/>
    </row>
    <row r="1083" spans="2:13" customFormat="1">
      <c r="B1083" s="455"/>
      <c r="C1083" s="455"/>
      <c r="D1083" s="441"/>
      <c r="E1083" s="441"/>
      <c r="F1083" s="441"/>
      <c r="G1083" s="441"/>
      <c r="H1083" s="441"/>
      <c r="I1083" s="441"/>
      <c r="J1083" s="441"/>
      <c r="K1083" s="441"/>
      <c r="L1083" s="441"/>
      <c r="M1083" s="441"/>
    </row>
    <row r="1084" spans="2:13" customFormat="1">
      <c r="B1084" s="455"/>
      <c r="C1084" s="455"/>
      <c r="D1084" s="441"/>
      <c r="E1084" s="441"/>
      <c r="F1084" s="441"/>
      <c r="G1084" s="441"/>
      <c r="H1084" s="441"/>
      <c r="I1084" s="441"/>
      <c r="J1084" s="441"/>
      <c r="K1084" s="441"/>
      <c r="L1084" s="441"/>
      <c r="M1084" s="441"/>
    </row>
    <row r="1085" spans="2:13" customFormat="1">
      <c r="B1085" s="455"/>
      <c r="C1085" s="455"/>
      <c r="D1085" s="441"/>
      <c r="E1085" s="441"/>
      <c r="F1085" s="441"/>
      <c r="G1085" s="441"/>
      <c r="H1085" s="441"/>
      <c r="I1085" s="441"/>
      <c r="J1085" s="441"/>
      <c r="K1085" s="441"/>
      <c r="L1085" s="441"/>
      <c r="M1085" s="441"/>
    </row>
    <row r="1086" spans="2:13" customFormat="1">
      <c r="B1086" s="455"/>
      <c r="C1086" s="455"/>
      <c r="D1086" s="441"/>
      <c r="E1086" s="441"/>
      <c r="F1086" s="441"/>
      <c r="G1086" s="441"/>
      <c r="H1086" s="441"/>
      <c r="I1086" s="441"/>
      <c r="J1086" s="441"/>
      <c r="K1086" s="441"/>
      <c r="L1086" s="441"/>
      <c r="M1086" s="441"/>
    </row>
    <row r="1087" spans="2:13" customFormat="1">
      <c r="B1087" s="455"/>
      <c r="C1087" s="455"/>
      <c r="D1087" s="441"/>
      <c r="E1087" s="441"/>
      <c r="F1087" s="441"/>
      <c r="G1087" s="441"/>
      <c r="H1087" s="441"/>
      <c r="I1087" s="441"/>
      <c r="J1087" s="441"/>
      <c r="K1087" s="441"/>
      <c r="L1087" s="441"/>
      <c r="M1087" s="441"/>
    </row>
    <row r="1088" spans="2:13" customFormat="1">
      <c r="B1088" s="455"/>
      <c r="C1088" s="455"/>
      <c r="D1088" s="441"/>
      <c r="E1088" s="441"/>
      <c r="F1088" s="441"/>
      <c r="G1088" s="441"/>
      <c r="H1088" s="441"/>
      <c r="I1088" s="441"/>
      <c r="J1088" s="441"/>
      <c r="K1088" s="441"/>
      <c r="L1088" s="441"/>
      <c r="M1088" s="441"/>
    </row>
    <row r="1089" spans="2:13" customFormat="1">
      <c r="B1089" s="455"/>
      <c r="C1089" s="455"/>
      <c r="D1089" s="441"/>
      <c r="E1089" s="441"/>
      <c r="F1089" s="441"/>
      <c r="G1089" s="441"/>
      <c r="H1089" s="441"/>
      <c r="I1089" s="441"/>
      <c r="J1089" s="441"/>
      <c r="K1089" s="441"/>
      <c r="L1089" s="441"/>
      <c r="M1089" s="441"/>
    </row>
    <row r="1090" spans="2:13" customFormat="1">
      <c r="B1090" s="455"/>
      <c r="C1090" s="455"/>
      <c r="D1090" s="441"/>
      <c r="E1090" s="441"/>
      <c r="F1090" s="441"/>
      <c r="G1090" s="441"/>
      <c r="H1090" s="441"/>
      <c r="I1090" s="441"/>
      <c r="J1090" s="441"/>
      <c r="K1090" s="441"/>
      <c r="L1090" s="441"/>
      <c r="M1090" s="441"/>
    </row>
    <row r="1091" spans="2:13" customFormat="1">
      <c r="B1091" s="455"/>
      <c r="C1091" s="455"/>
      <c r="D1091" s="441"/>
      <c r="E1091" s="441"/>
      <c r="F1091" s="441"/>
      <c r="G1091" s="441"/>
      <c r="H1091" s="441"/>
      <c r="I1091" s="441"/>
      <c r="J1091" s="441"/>
      <c r="K1091" s="441"/>
      <c r="L1091" s="441"/>
      <c r="M1091" s="441"/>
    </row>
    <row r="1092" spans="2:13" customFormat="1">
      <c r="B1092" s="455"/>
      <c r="C1092" s="455"/>
      <c r="D1092" s="441"/>
      <c r="E1092" s="441"/>
      <c r="F1092" s="441"/>
      <c r="G1092" s="441"/>
      <c r="H1092" s="441"/>
      <c r="I1092" s="441"/>
      <c r="J1092" s="441"/>
      <c r="K1092" s="441"/>
      <c r="L1092" s="441"/>
      <c r="M1092" s="441"/>
    </row>
    <row r="1093" spans="2:13" customFormat="1">
      <c r="B1093" s="455"/>
      <c r="C1093" s="455"/>
      <c r="D1093" s="441"/>
      <c r="E1093" s="441"/>
      <c r="F1093" s="441"/>
      <c r="G1093" s="441"/>
      <c r="H1093" s="441"/>
      <c r="I1093" s="441"/>
      <c r="J1093" s="441"/>
      <c r="K1093" s="441"/>
      <c r="L1093" s="441"/>
      <c r="M1093" s="441"/>
    </row>
    <row r="1094" spans="2:13" customFormat="1">
      <c r="B1094" s="455"/>
      <c r="C1094" s="455"/>
      <c r="D1094" s="441"/>
      <c r="E1094" s="441"/>
      <c r="F1094" s="441"/>
      <c r="G1094" s="441"/>
      <c r="H1094" s="441"/>
      <c r="I1094" s="441"/>
      <c r="J1094" s="441"/>
      <c r="K1094" s="441"/>
      <c r="L1094" s="441"/>
      <c r="M1094" s="441"/>
    </row>
    <row r="1095" spans="2:13" customFormat="1">
      <c r="B1095" s="455"/>
      <c r="C1095" s="455"/>
      <c r="D1095" s="441"/>
      <c r="E1095" s="441"/>
      <c r="F1095" s="441"/>
      <c r="G1095" s="441"/>
      <c r="H1095" s="441"/>
      <c r="I1095" s="441"/>
      <c r="J1095" s="441"/>
      <c r="K1095" s="441"/>
      <c r="L1095" s="441"/>
      <c r="M1095" s="441"/>
    </row>
    <row r="1096" spans="2:13" customFormat="1">
      <c r="B1096" s="455"/>
      <c r="C1096" s="455"/>
      <c r="D1096" s="441"/>
      <c r="E1096" s="441"/>
      <c r="F1096" s="441"/>
      <c r="G1096" s="441"/>
      <c r="H1096" s="441"/>
      <c r="I1096" s="441"/>
      <c r="J1096" s="441"/>
      <c r="K1096" s="441"/>
      <c r="L1096" s="441"/>
      <c r="M1096" s="441"/>
    </row>
    <row r="1097" spans="2:13" customFormat="1">
      <c r="B1097" s="455"/>
      <c r="C1097" s="455"/>
      <c r="D1097" s="441"/>
      <c r="E1097" s="441"/>
      <c r="F1097" s="441"/>
      <c r="G1097" s="441"/>
      <c r="H1097" s="441"/>
      <c r="I1097" s="441"/>
      <c r="J1097" s="441"/>
      <c r="K1097" s="441"/>
      <c r="L1097" s="441"/>
      <c r="M1097" s="441"/>
    </row>
    <row r="1098" spans="2:13" customFormat="1">
      <c r="B1098" s="455"/>
      <c r="C1098" s="455"/>
      <c r="D1098" s="441"/>
      <c r="E1098" s="441"/>
      <c r="F1098" s="441"/>
      <c r="G1098" s="441"/>
      <c r="H1098" s="441"/>
      <c r="I1098" s="441"/>
      <c r="J1098" s="441"/>
      <c r="K1098" s="441"/>
      <c r="L1098" s="441"/>
      <c r="M1098" s="441"/>
    </row>
    <row r="1099" spans="2:13" customFormat="1">
      <c r="B1099" s="455"/>
      <c r="C1099" s="455"/>
      <c r="D1099" s="441"/>
      <c r="E1099" s="441"/>
      <c r="F1099" s="441"/>
      <c r="G1099" s="441"/>
      <c r="H1099" s="441"/>
      <c r="I1099" s="441"/>
      <c r="J1099" s="441"/>
      <c r="K1099" s="441"/>
      <c r="L1099" s="441"/>
      <c r="M1099" s="441"/>
    </row>
    <row r="1100" spans="2:13" customFormat="1">
      <c r="B1100" s="455"/>
      <c r="C1100" s="455"/>
      <c r="D1100" s="441"/>
      <c r="E1100" s="441"/>
      <c r="F1100" s="441"/>
      <c r="G1100" s="441"/>
      <c r="H1100" s="441"/>
      <c r="I1100" s="441"/>
      <c r="J1100" s="441"/>
      <c r="K1100" s="441"/>
      <c r="L1100" s="441"/>
      <c r="M1100" s="441"/>
    </row>
    <row r="1101" spans="2:13" customFormat="1">
      <c r="B1101" s="455"/>
      <c r="C1101" s="455"/>
      <c r="D1101" s="441"/>
      <c r="E1101" s="441"/>
      <c r="F1101" s="441"/>
      <c r="G1101" s="441"/>
      <c r="H1101" s="441"/>
      <c r="I1101" s="441"/>
      <c r="J1101" s="441"/>
      <c r="K1101" s="441"/>
      <c r="L1101" s="441"/>
      <c r="M1101" s="441"/>
    </row>
    <row r="1102" spans="2:13" customFormat="1">
      <c r="B1102" s="455"/>
      <c r="C1102" s="455"/>
      <c r="D1102" s="441"/>
      <c r="E1102" s="441"/>
      <c r="F1102" s="441"/>
      <c r="G1102" s="441"/>
      <c r="H1102" s="441"/>
      <c r="I1102" s="441"/>
      <c r="J1102" s="441"/>
      <c r="K1102" s="441"/>
      <c r="L1102" s="441"/>
      <c r="M1102" s="441"/>
    </row>
    <row r="1103" spans="2:13" customFormat="1">
      <c r="B1103" s="455"/>
      <c r="C1103" s="455"/>
      <c r="D1103" s="441"/>
      <c r="E1103" s="441"/>
      <c r="F1103" s="441"/>
      <c r="G1103" s="441"/>
      <c r="H1103" s="441"/>
      <c r="I1103" s="441"/>
      <c r="J1103" s="441"/>
      <c r="K1103" s="441"/>
      <c r="L1103" s="441"/>
      <c r="M1103" s="441"/>
    </row>
    <row r="1104" spans="2:13" customFormat="1">
      <c r="B1104" s="455"/>
      <c r="C1104" s="455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</row>
    <row r="1105" spans="2:13" customFormat="1">
      <c r="B1105" s="455"/>
      <c r="C1105" s="455"/>
      <c r="D1105" s="441"/>
      <c r="E1105" s="441"/>
      <c r="F1105" s="441"/>
      <c r="G1105" s="441"/>
      <c r="H1105" s="441"/>
      <c r="I1105" s="441"/>
      <c r="J1105" s="441"/>
      <c r="K1105" s="441"/>
      <c r="L1105" s="441"/>
      <c r="M1105" s="441"/>
    </row>
    <row r="1106" spans="2:13" customFormat="1">
      <c r="B1106" s="455"/>
      <c r="C1106" s="455"/>
      <c r="D1106" s="441"/>
      <c r="E1106" s="441"/>
      <c r="F1106" s="441"/>
      <c r="G1106" s="441"/>
      <c r="H1106" s="441"/>
      <c r="I1106" s="441"/>
      <c r="J1106" s="441"/>
      <c r="K1106" s="441"/>
      <c r="L1106" s="441"/>
      <c r="M1106" s="441"/>
    </row>
    <row r="1107" spans="2:13" customFormat="1">
      <c r="B1107" s="455"/>
      <c r="C1107" s="455"/>
      <c r="D1107" s="441"/>
      <c r="E1107" s="441"/>
      <c r="F1107" s="441"/>
      <c r="G1107" s="441"/>
      <c r="H1107" s="441"/>
      <c r="I1107" s="441"/>
      <c r="J1107" s="441"/>
      <c r="K1107" s="441"/>
      <c r="L1107" s="441"/>
      <c r="M1107" s="441"/>
    </row>
    <row r="1108" spans="2:13" customFormat="1">
      <c r="B1108" s="455"/>
      <c r="C1108" s="455"/>
      <c r="D1108" s="441"/>
      <c r="E1108" s="441"/>
      <c r="F1108" s="441"/>
      <c r="G1108" s="441"/>
      <c r="H1108" s="441"/>
      <c r="I1108" s="441"/>
      <c r="J1108" s="441"/>
      <c r="K1108" s="441"/>
      <c r="L1108" s="441"/>
      <c r="M1108" s="441"/>
    </row>
    <row r="1109" spans="2:13" customFormat="1">
      <c r="B1109" s="455"/>
      <c r="C1109" s="455"/>
      <c r="D1109" s="441"/>
      <c r="E1109" s="441"/>
      <c r="F1109" s="441"/>
      <c r="G1109" s="441"/>
      <c r="H1109" s="441"/>
      <c r="I1109" s="441"/>
      <c r="J1109" s="441"/>
      <c r="K1109" s="441"/>
      <c r="L1109" s="441"/>
      <c r="M1109" s="441"/>
    </row>
    <row r="1110" spans="2:13" customFormat="1">
      <c r="B1110" s="455"/>
      <c r="C1110" s="455"/>
      <c r="D1110" s="441"/>
      <c r="E1110" s="441"/>
      <c r="F1110" s="441"/>
      <c r="G1110" s="441"/>
      <c r="H1110" s="441"/>
      <c r="I1110" s="441"/>
      <c r="J1110" s="441"/>
      <c r="K1110" s="441"/>
      <c r="L1110" s="441"/>
      <c r="M1110" s="441"/>
    </row>
    <row r="1111" spans="2:13" customFormat="1">
      <c r="B1111" s="455"/>
      <c r="C1111" s="455"/>
      <c r="D1111" s="441"/>
      <c r="E1111" s="441"/>
      <c r="F1111" s="441"/>
      <c r="G1111" s="441"/>
      <c r="H1111" s="441"/>
      <c r="I1111" s="441"/>
      <c r="J1111" s="441"/>
      <c r="K1111" s="441"/>
      <c r="L1111" s="441"/>
      <c r="M1111" s="441"/>
    </row>
    <row r="1112" spans="2:13" customFormat="1">
      <c r="B1112" s="455"/>
      <c r="C1112" s="455"/>
      <c r="D1112" s="441"/>
      <c r="E1112" s="441"/>
      <c r="F1112" s="441"/>
      <c r="G1112" s="441"/>
      <c r="H1112" s="441"/>
      <c r="I1112" s="441"/>
      <c r="J1112" s="441"/>
      <c r="K1112" s="441"/>
      <c r="L1112" s="441"/>
      <c r="M1112" s="441"/>
    </row>
    <row r="1113" spans="2:13" customFormat="1">
      <c r="B1113" s="455"/>
      <c r="C1113" s="455"/>
      <c r="D1113" s="441"/>
      <c r="E1113" s="441"/>
      <c r="F1113" s="441"/>
      <c r="G1113" s="441"/>
      <c r="H1113" s="441"/>
      <c r="I1113" s="441"/>
      <c r="J1113" s="441"/>
      <c r="K1113" s="441"/>
      <c r="L1113" s="441"/>
      <c r="M1113" s="441"/>
    </row>
    <row r="1114" spans="2:13" customFormat="1">
      <c r="B1114" s="455"/>
      <c r="C1114" s="455"/>
      <c r="D1114" s="441"/>
      <c r="E1114" s="441"/>
      <c r="F1114" s="441"/>
      <c r="G1114" s="441"/>
      <c r="H1114" s="441"/>
      <c r="I1114" s="441"/>
      <c r="J1114" s="441"/>
      <c r="K1114" s="441"/>
      <c r="L1114" s="441"/>
      <c r="M1114" s="441"/>
    </row>
    <row r="1115" spans="2:13" customFormat="1">
      <c r="B1115" s="455"/>
      <c r="C1115" s="455"/>
      <c r="D1115" s="441"/>
      <c r="E1115" s="441"/>
      <c r="F1115" s="441"/>
      <c r="G1115" s="441"/>
      <c r="H1115" s="441"/>
      <c r="I1115" s="441"/>
      <c r="J1115" s="441"/>
      <c r="K1115" s="441"/>
      <c r="L1115" s="441"/>
      <c r="M1115" s="441"/>
    </row>
    <row r="1116" spans="2:13" customFormat="1">
      <c r="B1116" s="455"/>
      <c r="C1116" s="455"/>
      <c r="D1116" s="441"/>
      <c r="E1116" s="441"/>
      <c r="F1116" s="441"/>
      <c r="G1116" s="441"/>
      <c r="H1116" s="441"/>
      <c r="I1116" s="441"/>
      <c r="J1116" s="441"/>
      <c r="K1116" s="441"/>
      <c r="L1116" s="441"/>
      <c r="M1116" s="441"/>
    </row>
    <row r="1117" spans="2:13" customFormat="1">
      <c r="B1117" s="455"/>
      <c r="C1117" s="455"/>
      <c r="D1117" s="441"/>
      <c r="E1117" s="441"/>
      <c r="F1117" s="441"/>
      <c r="G1117" s="441"/>
      <c r="H1117" s="441"/>
      <c r="I1117" s="441"/>
      <c r="J1117" s="441"/>
      <c r="K1117" s="441"/>
      <c r="L1117" s="441"/>
      <c r="M1117" s="441"/>
    </row>
    <row r="1118" spans="2:13" customFormat="1">
      <c r="B1118" s="455"/>
      <c r="C1118" s="455"/>
      <c r="D1118" s="441"/>
      <c r="E1118" s="441"/>
      <c r="F1118" s="441"/>
      <c r="G1118" s="441"/>
      <c r="H1118" s="441"/>
      <c r="I1118" s="441"/>
      <c r="J1118" s="441"/>
      <c r="K1118" s="441"/>
      <c r="L1118" s="441"/>
      <c r="M1118" s="441"/>
    </row>
    <row r="1119" spans="2:13" customFormat="1">
      <c r="B1119" s="455"/>
      <c r="C1119" s="455"/>
      <c r="D1119" s="441"/>
      <c r="E1119" s="441"/>
      <c r="F1119" s="441"/>
      <c r="G1119" s="441"/>
      <c r="H1119" s="441"/>
      <c r="I1119" s="441"/>
      <c r="J1119" s="441"/>
      <c r="K1119" s="441"/>
      <c r="L1119" s="441"/>
      <c r="M1119" s="441"/>
    </row>
    <row r="1120" spans="2:13" customFormat="1">
      <c r="B1120" s="455"/>
      <c r="C1120" s="455"/>
      <c r="D1120" s="441"/>
      <c r="E1120" s="441"/>
      <c r="F1120" s="441"/>
      <c r="G1120" s="441"/>
      <c r="H1120" s="441"/>
      <c r="I1120" s="441"/>
      <c r="J1120" s="441"/>
      <c r="K1120" s="441"/>
      <c r="L1120" s="441"/>
      <c r="M1120" s="441"/>
    </row>
    <row r="1121" spans="2:13" customFormat="1">
      <c r="B1121" s="455"/>
      <c r="C1121" s="455"/>
      <c r="D1121" s="441"/>
      <c r="E1121" s="441"/>
      <c r="F1121" s="441"/>
      <c r="G1121" s="441"/>
      <c r="H1121" s="441"/>
      <c r="I1121" s="441"/>
      <c r="J1121" s="441"/>
      <c r="K1121" s="441"/>
      <c r="L1121" s="441"/>
      <c r="M1121" s="441"/>
    </row>
    <row r="1122" spans="2:13" customFormat="1">
      <c r="B1122" s="455"/>
      <c r="C1122" s="455"/>
      <c r="D1122" s="441"/>
      <c r="E1122" s="441"/>
      <c r="F1122" s="441"/>
      <c r="G1122" s="441"/>
      <c r="H1122" s="441"/>
      <c r="I1122" s="441"/>
      <c r="J1122" s="441"/>
      <c r="K1122" s="441"/>
      <c r="L1122" s="441"/>
      <c r="M1122" s="441"/>
    </row>
    <row r="1123" spans="2:13" customFormat="1">
      <c r="B1123" s="455"/>
      <c r="C1123" s="455"/>
      <c r="D1123" s="441"/>
      <c r="E1123" s="441"/>
      <c r="F1123" s="441"/>
      <c r="G1123" s="441"/>
      <c r="H1123" s="441"/>
      <c r="I1123" s="441"/>
      <c r="J1123" s="441"/>
      <c r="K1123" s="441"/>
      <c r="L1123" s="441"/>
      <c r="M1123" s="441"/>
    </row>
  </sheetData>
  <autoFilter ref="A3:GC413" xr:uid="{1EF14F7D-5A1A-42B2-81C5-A01E9E2ECD52}"/>
  <sortState xmlns:xlrd2="http://schemas.microsoft.com/office/spreadsheetml/2017/richdata2" ref="A4:M413">
    <sortCondition ref="A4:A413"/>
    <sortCondition ref="C4:C413"/>
  </sortState>
  <mergeCells count="5">
    <mergeCell ref="D2:E2"/>
    <mergeCell ref="F2:G2"/>
    <mergeCell ref="H2:I2"/>
    <mergeCell ref="J2:K2"/>
    <mergeCell ref="L2:M2"/>
  </mergeCells>
  <dataValidations count="1">
    <dataValidation type="list" allowBlank="1" showInputMessage="1" showErrorMessage="1" sqref="C4:C413" xr:uid="{19BD59BF-2987-41EE-A797-7A7506D525D4}">
      <formula1>$N$4:$N$14</formula1>
    </dataValidation>
  </dataValidations>
  <pageMargins left="0.7" right="0.7" top="0.75" bottom="0.75" header="0.3" footer="0.3"/>
  <pageSetup paperSize="9" orientation="portrait" horizontalDpi="300" verticalDpi="300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AF649-FCCD-498B-BFF2-D62BFD948568}">
  <sheetPr>
    <tabColor theme="0"/>
  </sheetPr>
  <dimension ref="B1:L186"/>
  <sheetViews>
    <sheetView workbookViewId="0"/>
  </sheetViews>
  <sheetFormatPr baseColWidth="10" defaultColWidth="8.83203125" defaultRowHeight="15"/>
  <cols>
    <col min="1" max="1" width="4.83203125" customWidth="1"/>
    <col min="2" max="2" width="10.83203125" customWidth="1"/>
    <col min="3" max="3" width="58" customWidth="1"/>
    <col min="4" max="4" width="8.83203125" customWidth="1"/>
    <col min="5" max="9" width="13.1640625" style="483" customWidth="1"/>
    <col min="10" max="10" width="16" style="483" customWidth="1"/>
    <col min="11" max="11" width="8.83203125" style="63"/>
    <col min="12" max="12" width="13.1640625" style="483" customWidth="1"/>
  </cols>
  <sheetData>
    <row r="1" spans="2:12">
      <c r="B1" s="476" t="s">
        <v>424</v>
      </c>
      <c r="C1" s="476" t="s">
        <v>425</v>
      </c>
      <c r="D1" s="476" t="s">
        <v>426</v>
      </c>
      <c r="E1" s="481" t="s">
        <v>428</v>
      </c>
      <c r="F1" s="481" t="s">
        <v>427</v>
      </c>
      <c r="G1" s="481" t="s">
        <v>799</v>
      </c>
      <c r="H1" s="481" t="s">
        <v>800</v>
      </c>
      <c r="I1" s="481">
        <v>2020</v>
      </c>
      <c r="J1" s="481">
        <v>2021</v>
      </c>
      <c r="L1" s="481" t="s">
        <v>801</v>
      </c>
    </row>
    <row r="2" spans="2:12">
      <c r="B2" s="476" t="s">
        <v>429</v>
      </c>
      <c r="C2" s="476" t="s">
        <v>430</v>
      </c>
      <c r="D2" s="476" t="s">
        <v>431</v>
      </c>
      <c r="E2" s="481" t="s">
        <v>433</v>
      </c>
      <c r="F2" s="481" t="s">
        <v>432</v>
      </c>
      <c r="G2" s="481"/>
      <c r="H2" s="481"/>
      <c r="I2" s="481"/>
      <c r="J2" s="481"/>
      <c r="L2" s="481"/>
    </row>
    <row r="3" spans="2:12">
      <c r="B3" s="477" t="s">
        <v>103</v>
      </c>
      <c r="C3" s="477" t="s">
        <v>434</v>
      </c>
      <c r="D3" s="478" t="s">
        <v>435</v>
      </c>
      <c r="E3" s="482">
        <v>75239391.569999993</v>
      </c>
      <c r="F3" s="482">
        <v>74921159.650000006</v>
      </c>
      <c r="G3" s="482">
        <v>74249383.920000002</v>
      </c>
      <c r="H3" s="482">
        <v>86997527.140000001</v>
      </c>
      <c r="I3" s="482">
        <v>95898522.269999996</v>
      </c>
      <c r="J3" s="601">
        <v>121680363.77000004</v>
      </c>
      <c r="L3" s="482">
        <v>109482390.23000002</v>
      </c>
    </row>
    <row r="4" spans="2:12">
      <c r="B4" s="477" t="s">
        <v>436</v>
      </c>
      <c r="C4" s="477" t="s">
        <v>437</v>
      </c>
      <c r="D4" s="478" t="s">
        <v>438</v>
      </c>
      <c r="E4" s="482">
        <v>-53444000.619999997</v>
      </c>
      <c r="F4" s="482">
        <v>-70157249.459999993</v>
      </c>
      <c r="G4" s="482">
        <v>-69006459.099999994</v>
      </c>
      <c r="H4" s="482">
        <v>-69143779.849999994</v>
      </c>
      <c r="I4" s="482">
        <v>-94991475.930000007</v>
      </c>
      <c r="J4" s="601">
        <v>-114802698.06999993</v>
      </c>
      <c r="L4" s="482">
        <v>-107006442.56999996</v>
      </c>
    </row>
    <row r="5" spans="2:12">
      <c r="B5" s="477" t="s">
        <v>439</v>
      </c>
      <c r="C5" s="477" t="s">
        <v>440</v>
      </c>
      <c r="D5" s="478" t="s">
        <v>441</v>
      </c>
      <c r="E5" s="482"/>
      <c r="F5" s="482"/>
      <c r="G5" s="482">
        <v>0</v>
      </c>
      <c r="H5" s="482">
        <v>0</v>
      </c>
      <c r="I5" s="482">
        <v>0</v>
      </c>
      <c r="J5" s="601">
        <v>0</v>
      </c>
      <c r="L5" s="482">
        <v>0</v>
      </c>
    </row>
    <row r="6" spans="2:12">
      <c r="B6" s="479" t="s">
        <v>442</v>
      </c>
      <c r="C6" s="479" t="s">
        <v>443</v>
      </c>
      <c r="D6" s="480" t="s">
        <v>444</v>
      </c>
      <c r="E6" s="482"/>
      <c r="F6" s="482"/>
      <c r="G6" s="482">
        <v>0</v>
      </c>
      <c r="H6" s="482">
        <v>0</v>
      </c>
      <c r="I6" s="482">
        <v>0</v>
      </c>
      <c r="J6" s="601">
        <v>0</v>
      </c>
      <c r="L6" s="482">
        <v>0</v>
      </c>
    </row>
    <row r="7" spans="2:12">
      <c r="B7" s="479" t="s">
        <v>264</v>
      </c>
      <c r="C7" s="479" t="s">
        <v>445</v>
      </c>
      <c r="D7" s="480" t="s">
        <v>446</v>
      </c>
      <c r="E7" s="482"/>
      <c r="F7" s="482"/>
      <c r="G7" s="482">
        <v>0</v>
      </c>
      <c r="H7" s="482">
        <v>0</v>
      </c>
      <c r="I7" s="482">
        <v>0</v>
      </c>
      <c r="J7" s="601">
        <v>0</v>
      </c>
      <c r="L7" s="482">
        <v>0</v>
      </c>
    </row>
    <row r="8" spans="2:12">
      <c r="B8" s="477" t="s">
        <v>447</v>
      </c>
      <c r="C8" s="477" t="s">
        <v>448</v>
      </c>
      <c r="D8" s="478" t="s">
        <v>449</v>
      </c>
      <c r="E8" s="482"/>
      <c r="F8" s="482"/>
      <c r="G8" s="482">
        <v>0</v>
      </c>
      <c r="H8" s="482">
        <v>0</v>
      </c>
      <c r="I8" s="482">
        <v>0</v>
      </c>
      <c r="J8" s="601">
        <v>0</v>
      </c>
      <c r="L8" s="482">
        <v>0</v>
      </c>
    </row>
    <row r="9" spans="2:12">
      <c r="B9" s="479" t="s">
        <v>450</v>
      </c>
      <c r="C9" s="479" t="s">
        <v>451</v>
      </c>
      <c r="D9" s="480" t="s">
        <v>452</v>
      </c>
      <c r="E9" s="482"/>
      <c r="F9" s="482"/>
      <c r="G9" s="482">
        <v>0</v>
      </c>
      <c r="H9" s="482">
        <v>0</v>
      </c>
      <c r="I9" s="482">
        <v>0</v>
      </c>
      <c r="J9" s="601">
        <v>0</v>
      </c>
      <c r="L9" s="482">
        <v>0</v>
      </c>
    </row>
    <row r="10" spans="2:12">
      <c r="B10" s="479" t="s">
        <v>264</v>
      </c>
      <c r="C10" s="479" t="s">
        <v>453</v>
      </c>
      <c r="D10" s="480" t="s">
        <v>454</v>
      </c>
      <c r="E10" s="482"/>
      <c r="F10" s="482"/>
      <c r="G10" s="482">
        <v>0</v>
      </c>
      <c r="H10" s="482">
        <v>0</v>
      </c>
      <c r="I10" s="482">
        <v>0</v>
      </c>
      <c r="J10" s="601">
        <v>0</v>
      </c>
      <c r="L10" s="482">
        <v>0</v>
      </c>
    </row>
    <row r="11" spans="2:12">
      <c r="B11" s="477" t="s">
        <v>455</v>
      </c>
      <c r="C11" s="477" t="s">
        <v>456</v>
      </c>
      <c r="D11" s="478" t="s">
        <v>457</v>
      </c>
      <c r="E11" s="482">
        <v>-53444000.619999997</v>
      </c>
      <c r="F11" s="482">
        <v>-70157249.459999993</v>
      </c>
      <c r="G11" s="482">
        <v>-69006459.099999994</v>
      </c>
      <c r="H11" s="482">
        <v>-69143779.849999994</v>
      </c>
      <c r="I11" s="482">
        <v>-94991475.930000007</v>
      </c>
      <c r="J11" s="601">
        <v>-114802698.06999993</v>
      </c>
      <c r="L11" s="482">
        <v>-107006442.56999996</v>
      </c>
    </row>
    <row r="12" spans="2:12">
      <c r="B12" s="479" t="s">
        <v>458</v>
      </c>
      <c r="C12" s="479" t="s">
        <v>459</v>
      </c>
      <c r="D12" s="480" t="s">
        <v>460</v>
      </c>
      <c r="E12" s="482">
        <v>-34934574.479999997</v>
      </c>
      <c r="F12" s="482">
        <v>-52824437.450000003</v>
      </c>
      <c r="G12" s="482">
        <v>-71384596.780000001</v>
      </c>
      <c r="H12" s="482">
        <v>-68802116.540000007</v>
      </c>
      <c r="I12" s="482">
        <v>-69911174.849999994</v>
      </c>
      <c r="J12" s="601">
        <v>-95395229.810000002</v>
      </c>
      <c r="L12" s="482">
        <v>-95395229.810000002</v>
      </c>
    </row>
    <row r="13" spans="2:12">
      <c r="B13" s="479" t="s">
        <v>264</v>
      </c>
      <c r="C13" s="479" t="s">
        <v>461</v>
      </c>
      <c r="D13" s="480" t="s">
        <v>462</v>
      </c>
      <c r="E13" s="482">
        <v>-18509426.140000001</v>
      </c>
      <c r="F13" s="482">
        <v>-17332812.010000002</v>
      </c>
      <c r="G13" s="482">
        <v>2378137.6800000002</v>
      </c>
      <c r="H13" s="482">
        <v>-341663.31</v>
      </c>
      <c r="I13" s="482">
        <v>-25080301.079999998</v>
      </c>
      <c r="J13" s="601">
        <v>-19407468.259999931</v>
      </c>
      <c r="L13" s="482">
        <v>-11611212.759999953</v>
      </c>
    </row>
    <row r="14" spans="2:12">
      <c r="B14" s="477" t="s">
        <v>463</v>
      </c>
      <c r="C14" s="477" t="s">
        <v>464</v>
      </c>
      <c r="D14" s="478" t="s">
        <v>465</v>
      </c>
      <c r="E14" s="482">
        <v>128460286.45999999</v>
      </c>
      <c r="F14" s="482">
        <v>144867923.59999999</v>
      </c>
      <c r="G14" s="482">
        <v>143032587.25</v>
      </c>
      <c r="H14" s="482">
        <v>155916886.99000001</v>
      </c>
      <c r="I14" s="482">
        <v>190499596.78</v>
      </c>
      <c r="J14" s="601">
        <v>234994180.33999997</v>
      </c>
      <c r="L14" s="482">
        <v>215344998.36999997</v>
      </c>
    </row>
    <row r="15" spans="2:12">
      <c r="B15" s="477" t="s">
        <v>466</v>
      </c>
      <c r="C15" s="477" t="s">
        <v>467</v>
      </c>
      <c r="D15" s="478" t="s">
        <v>468</v>
      </c>
      <c r="E15" s="482">
        <v>3133695.12</v>
      </c>
      <c r="F15" s="482">
        <v>1086936.94</v>
      </c>
      <c r="G15" s="482">
        <v>2786331.6</v>
      </c>
      <c r="H15" s="482">
        <v>3198032.23</v>
      </c>
      <c r="I15" s="482">
        <v>20104621.57</v>
      </c>
      <c r="J15" s="601">
        <v>29441022.129999999</v>
      </c>
      <c r="L15" s="482">
        <v>19505089.099999998</v>
      </c>
    </row>
    <row r="16" spans="2:12">
      <c r="B16" s="479" t="s">
        <v>469</v>
      </c>
      <c r="C16" s="479" t="s">
        <v>470</v>
      </c>
      <c r="D16" s="480" t="s">
        <v>471</v>
      </c>
      <c r="E16" s="482"/>
      <c r="F16" s="482"/>
      <c r="G16" s="482">
        <v>0</v>
      </c>
      <c r="H16" s="482">
        <v>0</v>
      </c>
      <c r="I16" s="482">
        <v>0</v>
      </c>
      <c r="J16" s="601">
        <v>0</v>
      </c>
      <c r="L16" s="482">
        <v>0</v>
      </c>
    </row>
    <row r="17" spans="2:12">
      <c r="B17" s="479" t="s">
        <v>264</v>
      </c>
      <c r="C17" s="479" t="s">
        <v>472</v>
      </c>
      <c r="D17" s="480" t="s">
        <v>473</v>
      </c>
      <c r="E17" s="482"/>
      <c r="F17" s="482"/>
      <c r="G17" s="482">
        <v>0</v>
      </c>
      <c r="H17" s="482">
        <v>0</v>
      </c>
      <c r="I17" s="482">
        <v>0</v>
      </c>
      <c r="J17" s="601">
        <v>0</v>
      </c>
      <c r="L17" s="482">
        <v>0</v>
      </c>
    </row>
    <row r="18" spans="2:12">
      <c r="B18" s="479" t="s">
        <v>265</v>
      </c>
      <c r="C18" s="479" t="s">
        <v>474</v>
      </c>
      <c r="D18" s="480" t="s">
        <v>475</v>
      </c>
      <c r="E18" s="482">
        <v>33326</v>
      </c>
      <c r="F18" s="482">
        <v>18014</v>
      </c>
      <c r="G18" s="482">
        <v>20631.599999999999</v>
      </c>
      <c r="H18" s="482">
        <v>25745.26</v>
      </c>
      <c r="I18" s="482">
        <v>286709.33</v>
      </c>
      <c r="J18" s="601">
        <v>251595.33</v>
      </c>
      <c r="L18" s="482">
        <v>286709.33</v>
      </c>
    </row>
    <row r="19" spans="2:12">
      <c r="B19" s="479" t="s">
        <v>266</v>
      </c>
      <c r="C19" s="479" t="s">
        <v>476</v>
      </c>
      <c r="D19" s="480" t="s">
        <v>477</v>
      </c>
      <c r="E19" s="482">
        <v>3100369.12</v>
      </c>
      <c r="F19" s="482">
        <v>1068922.94</v>
      </c>
      <c r="G19" s="482">
        <v>2765700</v>
      </c>
      <c r="H19" s="482">
        <v>3172286.97</v>
      </c>
      <c r="I19" s="482">
        <v>19817912.239999998</v>
      </c>
      <c r="J19" s="601">
        <v>29189426.800000001</v>
      </c>
      <c r="L19" s="482">
        <v>19218379.77</v>
      </c>
    </row>
    <row r="20" spans="2:12">
      <c r="B20" s="477" t="s">
        <v>478</v>
      </c>
      <c r="C20" s="477" t="s">
        <v>479</v>
      </c>
      <c r="D20" s="478" t="s">
        <v>480</v>
      </c>
      <c r="E20" s="482">
        <v>32853786.66</v>
      </c>
      <c r="F20" s="482">
        <v>31063760.27</v>
      </c>
      <c r="G20" s="482">
        <v>30281763.219999999</v>
      </c>
      <c r="H20" s="482">
        <v>39388919.100000001</v>
      </c>
      <c r="I20" s="482">
        <v>42897420.07</v>
      </c>
      <c r="J20" s="601">
        <v>50056147.979999997</v>
      </c>
      <c r="L20" s="482">
        <v>44452869</v>
      </c>
    </row>
    <row r="21" spans="2:12">
      <c r="B21" s="479" t="s">
        <v>481</v>
      </c>
      <c r="C21" s="479" t="s">
        <v>482</v>
      </c>
      <c r="D21" s="480" t="s">
        <v>483</v>
      </c>
      <c r="E21" s="482"/>
      <c r="F21" s="482"/>
      <c r="G21" s="482">
        <v>0</v>
      </c>
      <c r="H21" s="482">
        <v>0</v>
      </c>
      <c r="I21" s="482">
        <v>0</v>
      </c>
      <c r="J21" s="601">
        <v>0</v>
      </c>
      <c r="L21" s="482">
        <v>0</v>
      </c>
    </row>
    <row r="22" spans="2:12">
      <c r="B22" s="479" t="s">
        <v>264</v>
      </c>
      <c r="C22" s="479" t="s">
        <v>484</v>
      </c>
      <c r="D22" s="480" t="s">
        <v>485</v>
      </c>
      <c r="E22" s="482">
        <v>32853786.66</v>
      </c>
      <c r="F22" s="482">
        <v>31063760.27</v>
      </c>
      <c r="G22" s="482">
        <v>30281763.219999999</v>
      </c>
      <c r="H22" s="482">
        <v>39388919.100000001</v>
      </c>
      <c r="I22" s="482">
        <v>42897420.07</v>
      </c>
      <c r="J22" s="601">
        <v>50056147.979999997</v>
      </c>
      <c r="L22" s="482">
        <v>44452869</v>
      </c>
    </row>
    <row r="23" spans="2:12">
      <c r="B23" s="479" t="s">
        <v>265</v>
      </c>
      <c r="C23" s="479" t="s">
        <v>486</v>
      </c>
      <c r="D23" s="480" t="s">
        <v>487</v>
      </c>
      <c r="E23" s="482"/>
      <c r="F23" s="482"/>
      <c r="G23" s="482">
        <v>0</v>
      </c>
      <c r="H23" s="482">
        <v>0</v>
      </c>
      <c r="I23" s="482">
        <v>0</v>
      </c>
      <c r="J23" s="601">
        <v>0</v>
      </c>
      <c r="L23" s="482">
        <v>0</v>
      </c>
    </row>
    <row r="24" spans="2:12">
      <c r="B24" s="479" t="s">
        <v>266</v>
      </c>
      <c r="C24" s="479" t="s">
        <v>488</v>
      </c>
      <c r="D24" s="480" t="s">
        <v>489</v>
      </c>
      <c r="E24" s="482"/>
      <c r="F24" s="482"/>
      <c r="G24" s="482">
        <v>0</v>
      </c>
      <c r="H24" s="482">
        <v>0</v>
      </c>
      <c r="I24" s="482">
        <v>0</v>
      </c>
      <c r="J24" s="601">
        <v>0</v>
      </c>
      <c r="L24" s="482">
        <v>0</v>
      </c>
    </row>
    <row r="25" spans="2:12">
      <c r="B25" s="479" t="s">
        <v>267</v>
      </c>
      <c r="C25" s="479" t="s">
        <v>490</v>
      </c>
      <c r="D25" s="480" t="s">
        <v>491</v>
      </c>
      <c r="E25" s="482"/>
      <c r="F25" s="482"/>
      <c r="G25" s="482">
        <v>0</v>
      </c>
      <c r="H25" s="482">
        <v>0</v>
      </c>
      <c r="I25" s="482">
        <v>0</v>
      </c>
      <c r="J25" s="601">
        <v>0</v>
      </c>
      <c r="L25" s="482">
        <v>0</v>
      </c>
    </row>
    <row r="26" spans="2:12">
      <c r="B26" s="479" t="s">
        <v>268</v>
      </c>
      <c r="C26" s="479" t="s">
        <v>492</v>
      </c>
      <c r="D26" s="480" t="s">
        <v>493</v>
      </c>
      <c r="E26" s="482"/>
      <c r="F26" s="482"/>
      <c r="G26" s="482">
        <v>0</v>
      </c>
      <c r="H26" s="482">
        <v>0</v>
      </c>
      <c r="I26" s="482">
        <v>0</v>
      </c>
      <c r="J26" s="601">
        <v>0</v>
      </c>
      <c r="L26" s="482">
        <v>0</v>
      </c>
    </row>
    <row r="27" spans="2:12">
      <c r="B27" s="479" t="s">
        <v>269</v>
      </c>
      <c r="C27" s="479" t="s">
        <v>494</v>
      </c>
      <c r="D27" s="480" t="s">
        <v>495</v>
      </c>
      <c r="E27" s="482"/>
      <c r="F27" s="482"/>
      <c r="G27" s="482">
        <v>0</v>
      </c>
      <c r="H27" s="482">
        <v>0</v>
      </c>
      <c r="I27" s="482">
        <v>0</v>
      </c>
      <c r="J27" s="601">
        <v>0</v>
      </c>
      <c r="L27" s="482">
        <v>0</v>
      </c>
    </row>
    <row r="28" spans="2:12">
      <c r="B28" s="477" t="s">
        <v>496</v>
      </c>
      <c r="C28" s="477" t="s">
        <v>497</v>
      </c>
      <c r="D28" s="478" t="s">
        <v>498</v>
      </c>
      <c r="E28" s="482">
        <v>26545.68</v>
      </c>
      <c r="F28" s="482">
        <v>20827.02</v>
      </c>
      <c r="G28" s="482">
        <v>48409.01</v>
      </c>
      <c r="H28" s="482">
        <v>302134.95</v>
      </c>
      <c r="I28" s="482">
        <v>317938.21999999997</v>
      </c>
      <c r="J28" s="601">
        <v>363480.02</v>
      </c>
      <c r="L28" s="482">
        <v>710438.14</v>
      </c>
    </row>
    <row r="29" spans="2:12">
      <c r="B29" s="479" t="s">
        <v>499</v>
      </c>
      <c r="C29" s="479" t="s">
        <v>500</v>
      </c>
      <c r="D29" s="480" t="s">
        <v>501</v>
      </c>
      <c r="E29" s="482"/>
      <c r="F29" s="482"/>
      <c r="G29" s="482">
        <v>0</v>
      </c>
      <c r="H29" s="482">
        <v>194480.68</v>
      </c>
      <c r="I29" s="482">
        <v>196412.08</v>
      </c>
      <c r="J29" s="601">
        <v>131807.44</v>
      </c>
      <c r="L29" s="482">
        <v>196412.08</v>
      </c>
    </row>
    <row r="30" spans="2:12">
      <c r="B30" s="479" t="s">
        <v>264</v>
      </c>
      <c r="C30" s="479" t="s">
        <v>502</v>
      </c>
      <c r="D30" s="480" t="s">
        <v>503</v>
      </c>
      <c r="E30" s="482"/>
      <c r="F30" s="482"/>
      <c r="G30" s="482">
        <v>0</v>
      </c>
      <c r="H30" s="482">
        <v>0</v>
      </c>
      <c r="I30" s="482">
        <v>0</v>
      </c>
      <c r="J30" s="601">
        <v>0</v>
      </c>
      <c r="L30" s="482">
        <v>0</v>
      </c>
    </row>
    <row r="31" spans="2:12">
      <c r="B31" s="479" t="s">
        <v>265</v>
      </c>
      <c r="C31" s="479" t="s">
        <v>504</v>
      </c>
      <c r="D31" s="480" t="s">
        <v>505</v>
      </c>
      <c r="E31" s="482"/>
      <c r="F31" s="482"/>
      <c r="G31" s="482">
        <v>0</v>
      </c>
      <c r="H31" s="482">
        <v>0</v>
      </c>
      <c r="I31" s="482">
        <v>0</v>
      </c>
      <c r="J31" s="601">
        <v>0</v>
      </c>
      <c r="L31" s="482">
        <v>0</v>
      </c>
    </row>
    <row r="32" spans="2:12">
      <c r="B32" s="479" t="s">
        <v>266</v>
      </c>
      <c r="C32" s="479" t="s">
        <v>506</v>
      </c>
      <c r="D32" s="480" t="s">
        <v>507</v>
      </c>
      <c r="E32" s="482">
        <v>26545.68</v>
      </c>
      <c r="F32" s="482">
        <v>20827.02</v>
      </c>
      <c r="G32" s="482">
        <v>48409.01</v>
      </c>
      <c r="H32" s="482">
        <v>107654.27</v>
      </c>
      <c r="I32" s="482">
        <v>121526.14</v>
      </c>
      <c r="J32" s="601">
        <v>231672.58</v>
      </c>
      <c r="L32" s="482">
        <v>514026.06</v>
      </c>
    </row>
    <row r="33" spans="2:12">
      <c r="B33" s="479" t="s">
        <v>267</v>
      </c>
      <c r="C33" s="479" t="s">
        <v>508</v>
      </c>
      <c r="D33" s="480" t="s">
        <v>509</v>
      </c>
      <c r="E33" s="482"/>
      <c r="F33" s="482"/>
      <c r="G33" s="482">
        <v>0</v>
      </c>
      <c r="H33" s="482">
        <v>0</v>
      </c>
      <c r="I33" s="482">
        <v>0</v>
      </c>
      <c r="J33" s="601">
        <v>0</v>
      </c>
      <c r="L33" s="482">
        <v>0</v>
      </c>
    </row>
    <row r="34" spans="2:12">
      <c r="B34" s="479" t="s">
        <v>268</v>
      </c>
      <c r="C34" s="479" t="s">
        <v>510</v>
      </c>
      <c r="D34" s="480" t="s">
        <v>511</v>
      </c>
      <c r="E34" s="482"/>
      <c r="F34" s="482"/>
      <c r="G34" s="482">
        <v>0</v>
      </c>
      <c r="H34" s="482">
        <v>0</v>
      </c>
      <c r="I34" s="482">
        <v>0</v>
      </c>
      <c r="J34" s="601">
        <v>0</v>
      </c>
      <c r="L34" s="482">
        <v>0</v>
      </c>
    </row>
    <row r="35" spans="2:12">
      <c r="B35" s="479" t="s">
        <v>269</v>
      </c>
      <c r="C35" s="479" t="s">
        <v>512</v>
      </c>
      <c r="D35" s="480" t="s">
        <v>513</v>
      </c>
      <c r="E35" s="482"/>
      <c r="F35" s="482"/>
      <c r="G35" s="482">
        <v>0</v>
      </c>
      <c r="H35" s="482">
        <v>0</v>
      </c>
      <c r="I35" s="482">
        <v>0</v>
      </c>
      <c r="J35" s="601">
        <v>0</v>
      </c>
      <c r="L35" s="482">
        <v>0</v>
      </c>
    </row>
    <row r="36" spans="2:12">
      <c r="B36" s="479" t="s">
        <v>270</v>
      </c>
      <c r="C36" s="479" t="s">
        <v>514</v>
      </c>
      <c r="D36" s="480" t="s">
        <v>515</v>
      </c>
      <c r="E36" s="482"/>
      <c r="F36" s="482"/>
      <c r="G36" s="482">
        <v>0</v>
      </c>
      <c r="H36" s="482">
        <v>0</v>
      </c>
      <c r="I36" s="482">
        <v>0</v>
      </c>
      <c r="J36" s="601">
        <v>0</v>
      </c>
      <c r="L36" s="482">
        <v>0</v>
      </c>
    </row>
    <row r="37" spans="2:12">
      <c r="B37" s="479" t="s">
        <v>271</v>
      </c>
      <c r="C37" s="479" t="s">
        <v>516</v>
      </c>
      <c r="D37" s="480" t="s">
        <v>517</v>
      </c>
      <c r="E37" s="482"/>
      <c r="F37" s="482"/>
      <c r="G37" s="482">
        <v>0</v>
      </c>
      <c r="H37" s="482">
        <v>0</v>
      </c>
      <c r="I37" s="482">
        <v>0</v>
      </c>
      <c r="J37" s="601">
        <v>0</v>
      </c>
      <c r="L37" s="482">
        <v>0</v>
      </c>
    </row>
    <row r="38" spans="2:12">
      <c r="B38" s="479" t="s">
        <v>272</v>
      </c>
      <c r="C38" s="479" t="s">
        <v>518</v>
      </c>
      <c r="D38" s="480" t="s">
        <v>519</v>
      </c>
      <c r="E38" s="482"/>
      <c r="F38" s="482"/>
      <c r="G38" s="482">
        <v>0</v>
      </c>
      <c r="H38" s="482">
        <v>0</v>
      </c>
      <c r="I38" s="482">
        <v>0</v>
      </c>
      <c r="J38" s="601">
        <v>0</v>
      </c>
      <c r="L38" s="482">
        <v>0</v>
      </c>
    </row>
    <row r="39" spans="2:12">
      <c r="B39" s="477" t="s">
        <v>520</v>
      </c>
      <c r="C39" s="477" t="s">
        <v>521</v>
      </c>
      <c r="D39" s="478" t="s">
        <v>522</v>
      </c>
      <c r="E39" s="482">
        <v>91837385.269999996</v>
      </c>
      <c r="F39" s="482">
        <v>112087525.64</v>
      </c>
      <c r="G39" s="482">
        <v>109307209.69</v>
      </c>
      <c r="H39" s="482">
        <v>112418926.98</v>
      </c>
      <c r="I39" s="482">
        <v>126570743.19</v>
      </c>
      <c r="J39" s="601">
        <v>154524656.47999999</v>
      </c>
      <c r="L39" s="482">
        <v>150067728.39999998</v>
      </c>
    </row>
    <row r="40" spans="2:12">
      <c r="B40" s="479" t="s">
        <v>523</v>
      </c>
      <c r="C40" s="479" t="s">
        <v>524</v>
      </c>
      <c r="D40" s="480" t="s">
        <v>525</v>
      </c>
      <c r="E40" s="482">
        <v>80516005.370000005</v>
      </c>
      <c r="F40" s="482">
        <v>88478742.439999998</v>
      </c>
      <c r="G40" s="482">
        <v>74291543.040000007</v>
      </c>
      <c r="H40" s="482">
        <v>45280650.93</v>
      </c>
      <c r="I40" s="482">
        <v>62512564.100000001</v>
      </c>
      <c r="J40" s="601">
        <v>65614825.579999998</v>
      </c>
      <c r="L40" s="482">
        <v>65867448.539999999</v>
      </c>
    </row>
    <row r="41" spans="2:12">
      <c r="B41" s="479" t="s">
        <v>264</v>
      </c>
      <c r="C41" s="479" t="s">
        <v>526</v>
      </c>
      <c r="D41" s="480" t="s">
        <v>527</v>
      </c>
      <c r="E41" s="482"/>
      <c r="F41" s="482"/>
      <c r="G41" s="482">
        <v>0</v>
      </c>
      <c r="H41" s="482">
        <v>0</v>
      </c>
      <c r="I41" s="482">
        <v>0</v>
      </c>
      <c r="J41" s="601">
        <v>0</v>
      </c>
      <c r="L41" s="482">
        <v>0</v>
      </c>
    </row>
    <row r="42" spans="2:12">
      <c r="B42" s="479" t="s">
        <v>265</v>
      </c>
      <c r="C42" s="479" t="s">
        <v>528</v>
      </c>
      <c r="D42" s="480" t="s">
        <v>529</v>
      </c>
      <c r="E42" s="482">
        <v>6874.68</v>
      </c>
      <c r="F42" s="482">
        <v>7252.57</v>
      </c>
      <c r="G42" s="482">
        <v>0</v>
      </c>
      <c r="H42" s="482">
        <v>0</v>
      </c>
      <c r="I42" s="482">
        <v>0</v>
      </c>
      <c r="J42" s="601">
        <v>0</v>
      </c>
      <c r="L42" s="482">
        <v>0</v>
      </c>
    </row>
    <row r="43" spans="2:12">
      <c r="B43" s="479" t="s">
        <v>266</v>
      </c>
      <c r="C43" s="479" t="s">
        <v>530</v>
      </c>
      <c r="D43" s="480" t="s">
        <v>531</v>
      </c>
      <c r="E43" s="482">
        <v>2929.08</v>
      </c>
      <c r="F43" s="482">
        <v>1708.71</v>
      </c>
      <c r="G43" s="482">
        <v>5566.12</v>
      </c>
      <c r="H43" s="482">
        <v>1660.8</v>
      </c>
      <c r="I43" s="482">
        <v>1792.58</v>
      </c>
      <c r="J43" s="601">
        <v>602.34</v>
      </c>
      <c r="L43" s="482">
        <v>4135.26</v>
      </c>
    </row>
    <row r="44" spans="2:12">
      <c r="B44" s="479" t="s">
        <v>267</v>
      </c>
      <c r="C44" s="479" t="s">
        <v>532</v>
      </c>
      <c r="D44" s="480" t="s">
        <v>533</v>
      </c>
      <c r="E44" s="482">
        <v>194.28</v>
      </c>
      <c r="F44" s="482"/>
      <c r="G44" s="482">
        <v>0</v>
      </c>
      <c r="H44" s="482">
        <v>1606.41</v>
      </c>
      <c r="I44" s="482">
        <v>0</v>
      </c>
      <c r="J44" s="601">
        <v>0</v>
      </c>
      <c r="L44" s="482">
        <v>0</v>
      </c>
    </row>
    <row r="45" spans="2:12">
      <c r="B45" s="479" t="s">
        <v>268</v>
      </c>
      <c r="C45" s="479" t="s">
        <v>508</v>
      </c>
      <c r="D45" s="480" t="s">
        <v>534</v>
      </c>
      <c r="E45" s="482"/>
      <c r="F45" s="482"/>
      <c r="G45" s="482">
        <v>0</v>
      </c>
      <c r="H45" s="482">
        <v>0</v>
      </c>
      <c r="I45" s="482">
        <v>0</v>
      </c>
      <c r="J45" s="601">
        <v>0</v>
      </c>
      <c r="L45" s="482">
        <v>0</v>
      </c>
    </row>
    <row r="46" spans="2:12">
      <c r="B46" s="479" t="s">
        <v>269</v>
      </c>
      <c r="C46" s="479" t="s">
        <v>512</v>
      </c>
      <c r="D46" s="480" t="s">
        <v>535</v>
      </c>
      <c r="E46" s="482"/>
      <c r="F46" s="482"/>
      <c r="G46" s="482">
        <v>0</v>
      </c>
      <c r="H46" s="482">
        <v>0</v>
      </c>
      <c r="I46" s="482">
        <v>0</v>
      </c>
      <c r="J46" s="601">
        <v>0</v>
      </c>
      <c r="L46" s="482">
        <v>0</v>
      </c>
    </row>
    <row r="47" spans="2:12">
      <c r="B47" s="479" t="s">
        <v>270</v>
      </c>
      <c r="C47" s="479" t="s">
        <v>514</v>
      </c>
      <c r="D47" s="480" t="s">
        <v>536</v>
      </c>
      <c r="E47" s="482"/>
      <c r="F47" s="482"/>
      <c r="G47" s="482">
        <v>0</v>
      </c>
      <c r="H47" s="482">
        <v>0</v>
      </c>
      <c r="I47" s="482">
        <v>0</v>
      </c>
      <c r="J47" s="601">
        <v>0</v>
      </c>
      <c r="L47" s="482">
        <v>0</v>
      </c>
    </row>
    <row r="48" spans="2:12">
      <c r="B48" s="479" t="s">
        <v>271</v>
      </c>
      <c r="C48" s="479" t="s">
        <v>516</v>
      </c>
      <c r="D48" s="480" t="s">
        <v>537</v>
      </c>
      <c r="E48" s="482">
        <v>1011286.85</v>
      </c>
      <c r="F48" s="482">
        <v>1023388.62</v>
      </c>
      <c r="G48" s="482">
        <v>3627188.1</v>
      </c>
      <c r="H48" s="482">
        <v>21586677.350000001</v>
      </c>
      <c r="I48" s="482">
        <v>25152292.559999999</v>
      </c>
      <c r="J48" s="601">
        <v>30864029.359999999</v>
      </c>
      <c r="L48" s="482">
        <v>30936357.73</v>
      </c>
    </row>
    <row r="49" spans="2:12">
      <c r="B49" s="479" t="s">
        <v>272</v>
      </c>
      <c r="C49" s="479" t="s">
        <v>538</v>
      </c>
      <c r="D49" s="480" t="s">
        <v>539</v>
      </c>
      <c r="E49" s="482"/>
      <c r="F49" s="482"/>
      <c r="G49" s="482">
        <v>0</v>
      </c>
      <c r="H49" s="482">
        <v>0</v>
      </c>
      <c r="I49" s="482">
        <v>0</v>
      </c>
      <c r="J49" s="601">
        <v>0</v>
      </c>
      <c r="L49" s="482">
        <v>0</v>
      </c>
    </row>
    <row r="50" spans="2:12">
      <c r="B50" s="479" t="s">
        <v>273</v>
      </c>
      <c r="C50" s="479" t="s">
        <v>540</v>
      </c>
      <c r="D50" s="480" t="s">
        <v>541</v>
      </c>
      <c r="E50" s="482"/>
      <c r="F50" s="482"/>
      <c r="G50" s="482">
        <v>0</v>
      </c>
      <c r="H50" s="482">
        <v>0</v>
      </c>
      <c r="I50" s="482">
        <v>0</v>
      </c>
      <c r="J50" s="601">
        <v>0</v>
      </c>
      <c r="L50" s="482">
        <v>0</v>
      </c>
    </row>
    <row r="51" spans="2:12">
      <c r="B51" s="479" t="s">
        <v>274</v>
      </c>
      <c r="C51" s="479" t="s">
        <v>542</v>
      </c>
      <c r="D51" s="480" t="s">
        <v>543</v>
      </c>
      <c r="E51" s="482">
        <v>2943473.05</v>
      </c>
      <c r="F51" s="482">
        <v>3125620.88</v>
      </c>
      <c r="G51" s="482">
        <v>3178720.52</v>
      </c>
      <c r="H51" s="482">
        <v>3507305.38</v>
      </c>
      <c r="I51" s="482">
        <v>4079522.71</v>
      </c>
      <c r="J51" s="601">
        <v>5993577.2199999997</v>
      </c>
      <c r="L51" s="482">
        <v>4827218.5</v>
      </c>
    </row>
    <row r="52" spans="2:12">
      <c r="B52" s="479" t="s">
        <v>275</v>
      </c>
      <c r="C52" s="479" t="s">
        <v>544</v>
      </c>
      <c r="D52" s="480" t="s">
        <v>545</v>
      </c>
      <c r="E52" s="482">
        <v>10897.17</v>
      </c>
      <c r="F52" s="482">
        <v>21897.759999999998</v>
      </c>
      <c r="G52" s="482">
        <v>19345.96</v>
      </c>
      <c r="H52" s="482">
        <v>42429.78</v>
      </c>
      <c r="I52" s="482">
        <v>13345.81</v>
      </c>
      <c r="J52" s="601">
        <v>14742.85</v>
      </c>
      <c r="L52" s="482">
        <v>23330.04</v>
      </c>
    </row>
    <row r="53" spans="2:12">
      <c r="B53" s="479" t="s">
        <v>276</v>
      </c>
      <c r="C53" s="479" t="s">
        <v>546</v>
      </c>
      <c r="D53" s="480" t="s">
        <v>547</v>
      </c>
      <c r="E53" s="482">
        <v>6606420.3499999996</v>
      </c>
      <c r="F53" s="482">
        <v>18679206.289999999</v>
      </c>
      <c r="G53" s="482">
        <v>27396220.379999999</v>
      </c>
      <c r="H53" s="482">
        <v>41010999.780000001</v>
      </c>
      <c r="I53" s="482">
        <v>33861051.729999997</v>
      </c>
      <c r="J53" s="601">
        <v>50491739.399999999</v>
      </c>
      <c r="L53" s="482">
        <v>47052371.75</v>
      </c>
    </row>
    <row r="54" spans="2:12">
      <c r="B54" s="479" t="s">
        <v>277</v>
      </c>
      <c r="C54" s="479" t="s">
        <v>548</v>
      </c>
      <c r="D54" s="480" t="s">
        <v>549</v>
      </c>
      <c r="E54" s="482"/>
      <c r="F54" s="482"/>
      <c r="G54" s="482">
        <v>0</v>
      </c>
      <c r="H54" s="482">
        <v>38040.14</v>
      </c>
      <c r="I54" s="482">
        <v>0</v>
      </c>
      <c r="J54" s="601">
        <v>40091.99</v>
      </c>
      <c r="L54" s="482">
        <v>0</v>
      </c>
    </row>
    <row r="55" spans="2:12">
      <c r="B55" s="479" t="s">
        <v>278</v>
      </c>
      <c r="C55" s="479" t="s">
        <v>550</v>
      </c>
      <c r="D55" s="480" t="s">
        <v>551</v>
      </c>
      <c r="E55" s="482">
        <v>468992.51</v>
      </c>
      <c r="F55" s="482">
        <v>516903.69</v>
      </c>
      <c r="G55" s="482">
        <v>537925.68999999994</v>
      </c>
      <c r="H55" s="482">
        <v>608746.07999999996</v>
      </c>
      <c r="I55" s="482">
        <v>722178.84</v>
      </c>
      <c r="J55" s="601">
        <v>1133753.8899999999</v>
      </c>
      <c r="L55" s="482">
        <v>874948.63</v>
      </c>
    </row>
    <row r="56" spans="2:12">
      <c r="B56" s="479" t="s">
        <v>279</v>
      </c>
      <c r="C56" s="479" t="s">
        <v>552</v>
      </c>
      <c r="D56" s="480" t="s">
        <v>553</v>
      </c>
      <c r="E56" s="482">
        <v>55549.41</v>
      </c>
      <c r="F56" s="482">
        <v>33249.94</v>
      </c>
      <c r="G56" s="482">
        <v>49296.63</v>
      </c>
      <c r="H56" s="482">
        <v>55777.7</v>
      </c>
      <c r="I56" s="482">
        <v>19408.169999999998</v>
      </c>
      <c r="J56" s="601">
        <v>75078.559999999998</v>
      </c>
      <c r="L56" s="482">
        <v>125778.84</v>
      </c>
    </row>
    <row r="57" spans="2:12">
      <c r="B57" s="479" t="s">
        <v>280</v>
      </c>
      <c r="C57" s="479" t="s">
        <v>554</v>
      </c>
      <c r="D57" s="480" t="s">
        <v>555</v>
      </c>
      <c r="E57" s="482"/>
      <c r="F57" s="482"/>
      <c r="G57" s="482">
        <v>0</v>
      </c>
      <c r="H57" s="482">
        <v>0</v>
      </c>
      <c r="I57" s="482">
        <v>0</v>
      </c>
      <c r="J57" s="601">
        <v>0</v>
      </c>
      <c r="L57" s="482">
        <v>70237.72</v>
      </c>
    </row>
    <row r="58" spans="2:12">
      <c r="B58" s="479" t="s">
        <v>281</v>
      </c>
      <c r="C58" s="479" t="s">
        <v>556</v>
      </c>
      <c r="D58" s="480" t="s">
        <v>557</v>
      </c>
      <c r="E58" s="482"/>
      <c r="F58" s="482"/>
      <c r="G58" s="482">
        <v>0</v>
      </c>
      <c r="H58" s="482">
        <v>0</v>
      </c>
      <c r="I58" s="482">
        <v>0</v>
      </c>
      <c r="J58" s="601">
        <v>0</v>
      </c>
      <c r="L58" s="482">
        <v>0</v>
      </c>
    </row>
    <row r="59" spans="2:12">
      <c r="B59" s="479" t="s">
        <v>282</v>
      </c>
      <c r="C59" s="479" t="s">
        <v>558</v>
      </c>
      <c r="D59" s="480" t="s">
        <v>559</v>
      </c>
      <c r="E59" s="482"/>
      <c r="F59" s="482"/>
      <c r="G59" s="482">
        <v>0</v>
      </c>
      <c r="H59" s="482">
        <v>0</v>
      </c>
      <c r="I59" s="482">
        <v>0</v>
      </c>
      <c r="J59" s="601">
        <v>0</v>
      </c>
      <c r="L59" s="482">
        <v>0</v>
      </c>
    </row>
    <row r="60" spans="2:12">
      <c r="B60" s="479" t="s">
        <v>283</v>
      </c>
      <c r="C60" s="479" t="s">
        <v>560</v>
      </c>
      <c r="D60" s="480" t="s">
        <v>561</v>
      </c>
      <c r="E60" s="482">
        <v>214762.52</v>
      </c>
      <c r="F60" s="482">
        <v>199554.74</v>
      </c>
      <c r="G60" s="482">
        <v>201403.25</v>
      </c>
      <c r="H60" s="482">
        <v>285032.63</v>
      </c>
      <c r="I60" s="482">
        <v>208586.69</v>
      </c>
      <c r="J60" s="601">
        <v>296215.28999999998</v>
      </c>
      <c r="L60" s="482">
        <v>285901.39</v>
      </c>
    </row>
    <row r="61" spans="2:12">
      <c r="B61" s="477" t="s">
        <v>562</v>
      </c>
      <c r="C61" s="477" t="s">
        <v>563</v>
      </c>
      <c r="D61" s="478" t="s">
        <v>564</v>
      </c>
      <c r="E61" s="482">
        <v>608873.73</v>
      </c>
      <c r="F61" s="482">
        <v>608873.73</v>
      </c>
      <c r="G61" s="482">
        <v>608873.73</v>
      </c>
      <c r="H61" s="482">
        <v>608873.73</v>
      </c>
      <c r="I61" s="482">
        <v>608873.73</v>
      </c>
      <c r="J61" s="601">
        <v>608873.73</v>
      </c>
      <c r="L61" s="482">
        <v>608873.73</v>
      </c>
    </row>
    <row r="62" spans="2:12">
      <c r="B62" s="479" t="s">
        <v>565</v>
      </c>
      <c r="C62" s="479" t="s">
        <v>566</v>
      </c>
      <c r="D62" s="480" t="s">
        <v>567</v>
      </c>
      <c r="E62" s="482"/>
      <c r="F62" s="482"/>
      <c r="G62" s="482">
        <v>0</v>
      </c>
      <c r="H62" s="482">
        <v>0</v>
      </c>
      <c r="I62" s="482">
        <v>0</v>
      </c>
      <c r="J62" s="601">
        <v>0</v>
      </c>
      <c r="L62" s="482">
        <v>0</v>
      </c>
    </row>
    <row r="63" spans="2:12">
      <c r="B63" s="479" t="s">
        <v>264</v>
      </c>
      <c r="C63" s="479" t="s">
        <v>568</v>
      </c>
      <c r="D63" s="480" t="s">
        <v>569</v>
      </c>
      <c r="E63" s="482"/>
      <c r="F63" s="482"/>
      <c r="G63" s="482">
        <v>0</v>
      </c>
      <c r="H63" s="482">
        <v>0</v>
      </c>
      <c r="I63" s="482">
        <v>0</v>
      </c>
      <c r="J63" s="601">
        <v>0</v>
      </c>
      <c r="L63" s="482">
        <v>0</v>
      </c>
    </row>
    <row r="64" spans="2:12">
      <c r="B64" s="479" t="s">
        <v>265</v>
      </c>
      <c r="C64" s="479" t="s">
        <v>570</v>
      </c>
      <c r="D64" s="480" t="s">
        <v>571</v>
      </c>
      <c r="E64" s="482"/>
      <c r="F64" s="482"/>
      <c r="G64" s="482">
        <v>0</v>
      </c>
      <c r="H64" s="482">
        <v>0</v>
      </c>
      <c r="I64" s="482">
        <v>0</v>
      </c>
      <c r="J64" s="601">
        <v>0</v>
      </c>
      <c r="L64" s="482">
        <v>0</v>
      </c>
    </row>
    <row r="65" spans="2:12">
      <c r="B65" s="479" t="s">
        <v>266</v>
      </c>
      <c r="C65" s="479" t="s">
        <v>572</v>
      </c>
      <c r="D65" s="480" t="s">
        <v>573</v>
      </c>
      <c r="E65" s="482"/>
      <c r="F65" s="482"/>
      <c r="G65" s="482">
        <v>0</v>
      </c>
      <c r="H65" s="482">
        <v>0</v>
      </c>
      <c r="I65" s="482">
        <v>0</v>
      </c>
      <c r="J65" s="601">
        <v>0</v>
      </c>
      <c r="L65" s="482">
        <v>0</v>
      </c>
    </row>
    <row r="66" spans="2:12">
      <c r="B66" s="479" t="s">
        <v>267</v>
      </c>
      <c r="C66" s="479" t="s">
        <v>574</v>
      </c>
      <c r="D66" s="480" t="s">
        <v>575</v>
      </c>
      <c r="E66" s="482">
        <v>608873.73</v>
      </c>
      <c r="F66" s="482">
        <v>608873.73</v>
      </c>
      <c r="G66" s="482">
        <v>608873.73</v>
      </c>
      <c r="H66" s="482">
        <v>608873.73</v>
      </c>
      <c r="I66" s="482">
        <v>608873.73</v>
      </c>
      <c r="J66" s="601">
        <v>608873.73</v>
      </c>
      <c r="L66" s="482">
        <v>0</v>
      </c>
    </row>
    <row r="67" spans="2:12">
      <c r="B67" s="479" t="s">
        <v>268</v>
      </c>
      <c r="C67" s="479" t="s">
        <v>576</v>
      </c>
      <c r="D67" s="480" t="s">
        <v>577</v>
      </c>
      <c r="E67" s="482"/>
      <c r="F67" s="482"/>
      <c r="G67" s="482">
        <v>0</v>
      </c>
      <c r="H67" s="482">
        <v>0</v>
      </c>
      <c r="I67" s="482">
        <v>0</v>
      </c>
      <c r="J67" s="601">
        <v>608873.73</v>
      </c>
      <c r="L67" s="482">
        <v>608873.73</v>
      </c>
    </row>
    <row r="68" spans="2:12">
      <c r="B68" s="477" t="s">
        <v>578</v>
      </c>
      <c r="C68" s="477" t="s">
        <v>579</v>
      </c>
      <c r="D68" s="478" t="s">
        <v>580</v>
      </c>
      <c r="E68" s="482">
        <v>223105.73</v>
      </c>
      <c r="F68" s="482">
        <v>210485.51</v>
      </c>
      <c r="G68" s="482">
        <v>223255.77</v>
      </c>
      <c r="H68" s="482">
        <v>224420</v>
      </c>
      <c r="I68" s="482">
        <v>390401.42</v>
      </c>
      <c r="J68" s="601">
        <v>1488881.5</v>
      </c>
      <c r="L68" s="482">
        <v>1143834.43</v>
      </c>
    </row>
    <row r="69" spans="2:12">
      <c r="B69" s="479" t="s">
        <v>581</v>
      </c>
      <c r="C69" s="479" t="s">
        <v>582</v>
      </c>
      <c r="D69" s="480" t="s">
        <v>583</v>
      </c>
      <c r="E69" s="482">
        <v>4.5</v>
      </c>
      <c r="F69" s="482"/>
      <c r="G69" s="482">
        <v>35.35</v>
      </c>
      <c r="H69" s="482">
        <v>0</v>
      </c>
      <c r="I69" s="482">
        <v>0</v>
      </c>
      <c r="J69" s="601">
        <v>387.29</v>
      </c>
      <c r="L69" s="482">
        <v>0</v>
      </c>
    </row>
    <row r="70" spans="2:12">
      <c r="B70" s="479" t="s">
        <v>264</v>
      </c>
      <c r="C70" s="479" t="s">
        <v>584</v>
      </c>
      <c r="D70" s="480" t="s">
        <v>585</v>
      </c>
      <c r="E70" s="482">
        <v>223101.23</v>
      </c>
      <c r="F70" s="482">
        <v>210485.51</v>
      </c>
      <c r="G70" s="482">
        <v>223220.42</v>
      </c>
      <c r="H70" s="482">
        <v>224420</v>
      </c>
      <c r="I70" s="482">
        <v>390401.42</v>
      </c>
      <c r="J70" s="601">
        <v>1488494.21</v>
      </c>
      <c r="L70" s="482">
        <v>1143834.43</v>
      </c>
    </row>
    <row r="71" spans="2:12">
      <c r="B71" s="477" t="s">
        <v>586</v>
      </c>
      <c r="C71" s="477" t="s">
        <v>587</v>
      </c>
      <c r="D71" s="478" t="s">
        <v>588</v>
      </c>
      <c r="E71" s="482"/>
      <c r="F71" s="482"/>
      <c r="G71" s="482">
        <v>0</v>
      </c>
      <c r="H71" s="482">
        <v>0</v>
      </c>
      <c r="I71" s="482">
        <v>0</v>
      </c>
      <c r="J71" s="601">
        <v>0</v>
      </c>
      <c r="L71" s="482">
        <v>0</v>
      </c>
    </row>
    <row r="72" spans="2:12">
      <c r="J72" s="601"/>
    </row>
    <row r="73" spans="2:12">
      <c r="B73" s="477" t="s">
        <v>103</v>
      </c>
      <c r="C73" s="477" t="s">
        <v>589</v>
      </c>
      <c r="D73" s="478" t="s">
        <v>590</v>
      </c>
      <c r="E73" s="482">
        <v>75239391.569999993</v>
      </c>
      <c r="F73" s="482">
        <v>74921159.650000006</v>
      </c>
      <c r="G73" s="482">
        <v>74249383.920000002</v>
      </c>
      <c r="H73" s="482">
        <v>86997527.140000001</v>
      </c>
      <c r="I73" s="482">
        <v>95898522.269999996</v>
      </c>
      <c r="J73" s="601">
        <v>121680363.77000003</v>
      </c>
      <c r="L73" s="482">
        <v>109482390.23000003</v>
      </c>
    </row>
    <row r="74" spans="2:12">
      <c r="B74" s="477" t="s">
        <v>436</v>
      </c>
      <c r="C74" s="477" t="s">
        <v>591</v>
      </c>
      <c r="D74" s="478" t="s">
        <v>592</v>
      </c>
      <c r="E74" s="482">
        <v>57390034.420000002</v>
      </c>
      <c r="F74" s="482">
        <v>55328487.450000003</v>
      </c>
      <c r="G74" s="482">
        <v>53715116.350000001</v>
      </c>
      <c r="H74" s="482">
        <v>59485300.060000002</v>
      </c>
      <c r="I74" s="482">
        <v>63683525.329999998</v>
      </c>
      <c r="J74" s="601">
        <v>62556218.160000019</v>
      </c>
      <c r="L74" s="482">
        <v>62747459.890000023</v>
      </c>
    </row>
    <row r="75" spans="2:12">
      <c r="B75" s="477" t="s">
        <v>439</v>
      </c>
      <c r="C75" s="477" t="s">
        <v>593</v>
      </c>
      <c r="D75" s="478" t="s">
        <v>594</v>
      </c>
      <c r="E75" s="482">
        <v>83726.84</v>
      </c>
      <c r="F75" s="482">
        <v>79223.570000000007</v>
      </c>
      <c r="G75" s="482">
        <v>78568.67</v>
      </c>
      <c r="H75" s="482">
        <v>43018.86</v>
      </c>
      <c r="I75" s="482">
        <v>24957.48</v>
      </c>
      <c r="J75" s="601">
        <v>152223.32000000007</v>
      </c>
      <c r="L75" s="482">
        <v>26169.729999999981</v>
      </c>
    </row>
    <row r="76" spans="2:12">
      <c r="B76" s="479" t="s">
        <v>442</v>
      </c>
      <c r="C76" s="479" t="s">
        <v>595</v>
      </c>
      <c r="D76" s="480" t="s">
        <v>596</v>
      </c>
      <c r="E76" s="482"/>
      <c r="F76" s="482"/>
      <c r="G76" s="482">
        <v>0</v>
      </c>
      <c r="H76" s="482">
        <v>0</v>
      </c>
      <c r="I76" s="482">
        <v>0</v>
      </c>
      <c r="J76" s="601">
        <v>0</v>
      </c>
      <c r="L76" s="482">
        <v>0</v>
      </c>
    </row>
    <row r="77" spans="2:12">
      <c r="B77" s="479" t="s">
        <v>264</v>
      </c>
      <c r="C77" s="479" t="s">
        <v>597</v>
      </c>
      <c r="D77" s="480" t="s">
        <v>432</v>
      </c>
      <c r="E77" s="482">
        <v>83726.84</v>
      </c>
      <c r="F77" s="482">
        <v>79223.570000000007</v>
      </c>
      <c r="G77" s="482">
        <v>68612.27</v>
      </c>
      <c r="H77" s="482">
        <v>43018.86</v>
      </c>
      <c r="I77" s="482">
        <v>24957.48</v>
      </c>
      <c r="J77" s="601">
        <v>25418.430000000051</v>
      </c>
      <c r="L77" s="482">
        <v>21669.729999999981</v>
      </c>
    </row>
    <row r="78" spans="2:12">
      <c r="B78" s="479" t="s">
        <v>265</v>
      </c>
      <c r="C78" s="479" t="s">
        <v>598</v>
      </c>
      <c r="D78" s="480" t="s">
        <v>433</v>
      </c>
      <c r="E78" s="482"/>
      <c r="F78" s="482"/>
      <c r="G78" s="482">
        <v>0</v>
      </c>
      <c r="H78" s="482">
        <v>0</v>
      </c>
      <c r="I78" s="482">
        <v>0</v>
      </c>
      <c r="J78" s="601">
        <v>0</v>
      </c>
      <c r="L78" s="482">
        <v>0</v>
      </c>
    </row>
    <row r="79" spans="2:12">
      <c r="B79" s="479" t="s">
        <v>266</v>
      </c>
      <c r="C79" s="479" t="s">
        <v>599</v>
      </c>
      <c r="D79" s="480" t="s">
        <v>600</v>
      </c>
      <c r="E79" s="482"/>
      <c r="F79" s="482"/>
      <c r="G79" s="482">
        <v>0</v>
      </c>
      <c r="H79" s="482">
        <v>0</v>
      </c>
      <c r="I79" s="482">
        <v>0</v>
      </c>
      <c r="J79" s="601">
        <v>0</v>
      </c>
      <c r="L79" s="482">
        <v>0</v>
      </c>
    </row>
    <row r="80" spans="2:12">
      <c r="B80" s="479" t="s">
        <v>267</v>
      </c>
      <c r="C80" s="479" t="s">
        <v>601</v>
      </c>
      <c r="D80" s="480" t="s">
        <v>602</v>
      </c>
      <c r="E80" s="482"/>
      <c r="F80" s="482"/>
      <c r="G80" s="482">
        <v>0</v>
      </c>
      <c r="H80" s="482">
        <v>0</v>
      </c>
      <c r="I80" s="482">
        <v>0</v>
      </c>
      <c r="J80" s="601">
        <v>0</v>
      </c>
      <c r="L80" s="482">
        <v>0</v>
      </c>
    </row>
    <row r="81" spans="2:12">
      <c r="B81" s="479" t="s">
        <v>268</v>
      </c>
      <c r="C81" s="479" t="s">
        <v>603</v>
      </c>
      <c r="D81" s="480" t="s">
        <v>604</v>
      </c>
      <c r="E81" s="482"/>
      <c r="F81" s="482"/>
      <c r="G81" s="482">
        <v>9956.4</v>
      </c>
      <c r="H81" s="482">
        <v>0</v>
      </c>
      <c r="I81" s="482">
        <v>0</v>
      </c>
      <c r="J81" s="601">
        <v>126804.89</v>
      </c>
      <c r="L81" s="482">
        <v>4500</v>
      </c>
    </row>
    <row r="82" spans="2:12">
      <c r="B82" s="479" t="s">
        <v>269</v>
      </c>
      <c r="C82" s="479" t="s">
        <v>605</v>
      </c>
      <c r="D82" s="480" t="s">
        <v>606</v>
      </c>
      <c r="E82" s="482"/>
      <c r="F82" s="482"/>
      <c r="G82" s="482">
        <v>0</v>
      </c>
      <c r="H82" s="482">
        <v>0</v>
      </c>
      <c r="I82" s="482">
        <v>0</v>
      </c>
      <c r="J82" s="601">
        <v>0</v>
      </c>
      <c r="L82" s="482">
        <v>0</v>
      </c>
    </row>
    <row r="83" spans="2:12">
      <c r="B83" s="477" t="s">
        <v>447</v>
      </c>
      <c r="C83" s="477" t="s">
        <v>607</v>
      </c>
      <c r="D83" s="478" t="s">
        <v>608</v>
      </c>
      <c r="E83" s="482">
        <v>57306307.579999998</v>
      </c>
      <c r="F83" s="482">
        <v>55249263.880000003</v>
      </c>
      <c r="G83" s="482">
        <v>53636547.68</v>
      </c>
      <c r="H83" s="482">
        <v>59442281.200000003</v>
      </c>
      <c r="I83" s="482">
        <v>63658567.850000001</v>
      </c>
      <c r="J83" s="601">
        <v>62403994.840000018</v>
      </c>
      <c r="L83" s="482">
        <v>62721290.160000026</v>
      </c>
    </row>
    <row r="84" spans="2:12">
      <c r="B84" s="479" t="s">
        <v>450</v>
      </c>
      <c r="C84" s="479" t="s">
        <v>609</v>
      </c>
      <c r="D84" s="480" t="s">
        <v>610</v>
      </c>
      <c r="E84" s="482">
        <v>11593847.279999999</v>
      </c>
      <c r="F84" s="482">
        <v>11593847.279999999</v>
      </c>
      <c r="G84" s="482">
        <v>11593847.279999999</v>
      </c>
      <c r="H84" s="482">
        <v>11537699.5</v>
      </c>
      <c r="I84" s="482">
        <v>11533073.6</v>
      </c>
      <c r="J84" s="601">
        <v>11533073.6</v>
      </c>
      <c r="L84" s="482">
        <v>11533073.6</v>
      </c>
    </row>
    <row r="85" spans="2:12">
      <c r="B85" s="479" t="s">
        <v>264</v>
      </c>
      <c r="C85" s="479" t="s">
        <v>611</v>
      </c>
      <c r="D85" s="480" t="s">
        <v>612</v>
      </c>
      <c r="E85" s="482">
        <v>43644.53</v>
      </c>
      <c r="F85" s="482">
        <v>43644.53</v>
      </c>
      <c r="G85" s="482">
        <v>43644.53</v>
      </c>
      <c r="H85" s="482">
        <v>43644.53</v>
      </c>
      <c r="I85" s="482">
        <v>43644.53</v>
      </c>
      <c r="J85" s="601">
        <v>43644.53</v>
      </c>
      <c r="L85" s="482">
        <v>43644.53</v>
      </c>
    </row>
    <row r="86" spans="2:12">
      <c r="B86" s="479" t="s">
        <v>265</v>
      </c>
      <c r="C86" s="479" t="s">
        <v>613</v>
      </c>
      <c r="D86" s="480" t="s">
        <v>614</v>
      </c>
      <c r="E86" s="482"/>
      <c r="F86" s="482"/>
      <c r="G86" s="482">
        <v>0</v>
      </c>
      <c r="H86" s="482">
        <v>0</v>
      </c>
      <c r="I86" s="482">
        <v>0</v>
      </c>
      <c r="J86" s="601">
        <v>0</v>
      </c>
      <c r="L86" s="482">
        <v>0</v>
      </c>
    </row>
    <row r="87" spans="2:12">
      <c r="B87" s="479" t="s">
        <v>266</v>
      </c>
      <c r="C87" s="479" t="s">
        <v>615</v>
      </c>
      <c r="D87" s="480" t="s">
        <v>616</v>
      </c>
      <c r="E87" s="482">
        <v>29184531.18</v>
      </c>
      <c r="F87" s="482">
        <v>28610531.16</v>
      </c>
      <c r="G87" s="482">
        <v>27156569.57</v>
      </c>
      <c r="H87" s="482">
        <v>26775989.219999999</v>
      </c>
      <c r="I87" s="482">
        <v>26217918.690000001</v>
      </c>
      <c r="J87" s="601">
        <v>25780639.780000009</v>
      </c>
      <c r="L87" s="482">
        <v>25701734.459999993</v>
      </c>
    </row>
    <row r="88" spans="2:12">
      <c r="B88" s="479" t="s">
        <v>267</v>
      </c>
      <c r="C88" s="479" t="s">
        <v>617</v>
      </c>
      <c r="D88" s="480" t="s">
        <v>618</v>
      </c>
      <c r="E88" s="482">
        <v>12083408.42</v>
      </c>
      <c r="F88" s="482">
        <v>12986864.779999999</v>
      </c>
      <c r="G88" s="482">
        <v>12259076.76</v>
      </c>
      <c r="H88" s="482">
        <v>15285451.82</v>
      </c>
      <c r="I88" s="482">
        <v>18910241.27</v>
      </c>
      <c r="J88" s="601">
        <v>21089496.770000003</v>
      </c>
      <c r="L88" s="482">
        <v>20321417.350000001</v>
      </c>
    </row>
    <row r="89" spans="2:12">
      <c r="B89" s="479" t="s">
        <v>268</v>
      </c>
      <c r="C89" s="479" t="s">
        <v>619</v>
      </c>
      <c r="D89" s="480" t="s">
        <v>620</v>
      </c>
      <c r="E89" s="482">
        <v>34756</v>
      </c>
      <c r="F89" s="482">
        <v>36414</v>
      </c>
      <c r="G89" s="482">
        <v>40004.92</v>
      </c>
      <c r="H89" s="482">
        <v>72926.92</v>
      </c>
      <c r="I89" s="482">
        <v>59438.32</v>
      </c>
      <c r="J89" s="601">
        <v>134359.99000000005</v>
      </c>
      <c r="L89" s="482">
        <v>138235.13000000006</v>
      </c>
    </row>
    <row r="90" spans="2:12">
      <c r="B90" s="479" t="s">
        <v>269</v>
      </c>
      <c r="C90" s="479" t="s">
        <v>621</v>
      </c>
      <c r="D90" s="480" t="s">
        <v>622</v>
      </c>
      <c r="E90" s="482"/>
      <c r="F90" s="482"/>
      <c r="G90" s="482">
        <v>0</v>
      </c>
      <c r="H90" s="482">
        <v>0</v>
      </c>
      <c r="I90" s="482">
        <v>0</v>
      </c>
      <c r="J90" s="601">
        <v>0</v>
      </c>
      <c r="L90" s="482">
        <v>0</v>
      </c>
    </row>
    <row r="91" spans="2:12">
      <c r="B91" s="479" t="s">
        <v>270</v>
      </c>
      <c r="C91" s="479" t="s">
        <v>623</v>
      </c>
      <c r="D91" s="480" t="s">
        <v>624</v>
      </c>
      <c r="E91" s="482"/>
      <c r="F91" s="482"/>
      <c r="G91" s="482">
        <v>0</v>
      </c>
      <c r="H91" s="482">
        <v>0</v>
      </c>
      <c r="I91" s="482">
        <v>0</v>
      </c>
      <c r="J91" s="601">
        <v>0</v>
      </c>
      <c r="L91" s="482">
        <v>0</v>
      </c>
    </row>
    <row r="92" spans="2:12">
      <c r="B92" s="479" t="s">
        <v>271</v>
      </c>
      <c r="C92" s="479" t="s">
        <v>625</v>
      </c>
      <c r="D92" s="480" t="s">
        <v>626</v>
      </c>
      <c r="E92" s="482"/>
      <c r="F92" s="482"/>
      <c r="G92" s="482">
        <v>0</v>
      </c>
      <c r="H92" s="482">
        <v>0</v>
      </c>
      <c r="I92" s="482">
        <v>0</v>
      </c>
      <c r="J92" s="601">
        <v>0</v>
      </c>
      <c r="L92" s="482">
        <v>0</v>
      </c>
    </row>
    <row r="93" spans="2:12">
      <c r="B93" s="479" t="s">
        <v>272</v>
      </c>
      <c r="C93" s="479" t="s">
        <v>627</v>
      </c>
      <c r="D93" s="480" t="s">
        <v>628</v>
      </c>
      <c r="E93" s="482">
        <v>1824608.88</v>
      </c>
      <c r="F93" s="482">
        <v>1772177.73</v>
      </c>
      <c r="G93" s="482">
        <v>1808671.42</v>
      </c>
      <c r="H93" s="482">
        <v>1675134.74</v>
      </c>
      <c r="I93" s="482">
        <v>1871198.99</v>
      </c>
      <c r="J93" s="601">
        <v>1834515.0199999996</v>
      </c>
      <c r="L93" s="482">
        <v>1750359.1899999995</v>
      </c>
    </row>
    <row r="94" spans="2:12">
      <c r="B94" s="479" t="s">
        <v>273</v>
      </c>
      <c r="C94" s="479" t="s">
        <v>629</v>
      </c>
      <c r="D94" s="480" t="s">
        <v>630</v>
      </c>
      <c r="E94" s="482">
        <v>2541511.29</v>
      </c>
      <c r="F94" s="482">
        <v>205784.4</v>
      </c>
      <c r="G94" s="482">
        <v>734733.2</v>
      </c>
      <c r="H94" s="482">
        <v>4038074.87</v>
      </c>
      <c r="I94" s="482">
        <v>5023052.45</v>
      </c>
      <c r="J94" s="601">
        <v>1988265.15</v>
      </c>
      <c r="L94" s="482">
        <v>3232825.9</v>
      </c>
    </row>
    <row r="95" spans="2:12">
      <c r="B95" s="479" t="s">
        <v>274</v>
      </c>
      <c r="C95" s="479" t="s">
        <v>631</v>
      </c>
      <c r="D95" s="480" t="s">
        <v>632</v>
      </c>
      <c r="E95" s="482"/>
      <c r="F95" s="482"/>
      <c r="G95" s="482">
        <v>0</v>
      </c>
      <c r="H95" s="482">
        <v>13359.6</v>
      </c>
      <c r="I95" s="482">
        <v>0</v>
      </c>
      <c r="J95" s="601">
        <v>0</v>
      </c>
      <c r="L95" s="482">
        <v>0</v>
      </c>
    </row>
    <row r="96" spans="2:12">
      <c r="B96" s="477" t="s">
        <v>455</v>
      </c>
      <c r="C96" s="477" t="s">
        <v>633</v>
      </c>
      <c r="D96" s="478" t="s">
        <v>634</v>
      </c>
      <c r="E96" s="482"/>
      <c r="F96" s="482"/>
      <c r="G96" s="482">
        <v>0</v>
      </c>
      <c r="H96" s="482">
        <v>0</v>
      </c>
      <c r="I96" s="482">
        <v>0</v>
      </c>
      <c r="J96" s="601">
        <v>0</v>
      </c>
      <c r="L96" s="482">
        <v>0</v>
      </c>
    </row>
    <row r="97" spans="2:12">
      <c r="B97" s="479" t="s">
        <v>458</v>
      </c>
      <c r="C97" s="479" t="s">
        <v>635</v>
      </c>
      <c r="D97" s="480" t="s">
        <v>636</v>
      </c>
      <c r="E97" s="482"/>
      <c r="F97" s="482"/>
      <c r="G97" s="482">
        <v>0</v>
      </c>
      <c r="H97" s="482">
        <v>0</v>
      </c>
      <c r="I97" s="482">
        <v>0</v>
      </c>
      <c r="J97" s="601">
        <v>0</v>
      </c>
      <c r="L97" s="482">
        <v>0</v>
      </c>
    </row>
    <row r="98" spans="2:12">
      <c r="B98" s="479" t="s">
        <v>264</v>
      </c>
      <c r="C98" s="479" t="s">
        <v>637</v>
      </c>
      <c r="D98" s="480" t="s">
        <v>638</v>
      </c>
      <c r="E98" s="482"/>
      <c r="F98" s="482"/>
      <c r="G98" s="482">
        <v>0</v>
      </c>
      <c r="H98" s="482">
        <v>0</v>
      </c>
      <c r="I98" s="482">
        <v>0</v>
      </c>
      <c r="J98" s="601">
        <v>0</v>
      </c>
      <c r="L98" s="482">
        <v>0</v>
      </c>
    </row>
    <row r="99" spans="2:12">
      <c r="B99" s="479" t="s">
        <v>265</v>
      </c>
      <c r="C99" s="479" t="s">
        <v>639</v>
      </c>
      <c r="D99" s="480" t="s">
        <v>640</v>
      </c>
      <c r="E99" s="482"/>
      <c r="F99" s="482"/>
      <c r="G99" s="482">
        <v>0</v>
      </c>
      <c r="H99" s="482">
        <v>0</v>
      </c>
      <c r="I99" s="482">
        <v>0</v>
      </c>
      <c r="J99" s="601">
        <v>0</v>
      </c>
      <c r="L99" s="482">
        <v>0</v>
      </c>
    </row>
    <row r="100" spans="2:12">
      <c r="B100" s="479" t="s">
        <v>266</v>
      </c>
      <c r="C100" s="479" t="s">
        <v>641</v>
      </c>
      <c r="D100" s="480" t="s">
        <v>642</v>
      </c>
      <c r="E100" s="482"/>
      <c r="F100" s="482"/>
      <c r="G100" s="482">
        <v>0</v>
      </c>
      <c r="H100" s="482">
        <v>0</v>
      </c>
      <c r="I100" s="482">
        <v>0</v>
      </c>
      <c r="J100" s="601">
        <v>0</v>
      </c>
      <c r="L100" s="482">
        <v>0</v>
      </c>
    </row>
    <row r="101" spans="2:12">
      <c r="B101" s="479" t="s">
        <v>267</v>
      </c>
      <c r="C101" s="479" t="s">
        <v>643</v>
      </c>
      <c r="D101" s="480" t="s">
        <v>644</v>
      </c>
      <c r="E101" s="482"/>
      <c r="F101" s="482"/>
      <c r="G101" s="482">
        <v>0</v>
      </c>
      <c r="H101" s="482">
        <v>0</v>
      </c>
      <c r="I101" s="482">
        <v>0</v>
      </c>
      <c r="J101" s="601">
        <v>0</v>
      </c>
      <c r="L101" s="482">
        <v>0</v>
      </c>
    </row>
    <row r="102" spans="2:12">
      <c r="B102" s="479" t="s">
        <v>268</v>
      </c>
      <c r="C102" s="479" t="s">
        <v>645</v>
      </c>
      <c r="D102" s="480" t="s">
        <v>646</v>
      </c>
      <c r="E102" s="482"/>
      <c r="F102" s="482"/>
      <c r="G102" s="482">
        <v>0</v>
      </c>
      <c r="H102" s="482">
        <v>0</v>
      </c>
      <c r="I102" s="482">
        <v>0</v>
      </c>
      <c r="J102" s="601">
        <v>0</v>
      </c>
      <c r="L102" s="482">
        <v>0</v>
      </c>
    </row>
    <row r="103" spans="2:12">
      <c r="B103" s="479" t="s">
        <v>269</v>
      </c>
      <c r="C103" s="479" t="s">
        <v>647</v>
      </c>
      <c r="D103" s="480" t="s">
        <v>648</v>
      </c>
      <c r="E103" s="482"/>
      <c r="F103" s="482"/>
      <c r="G103" s="482">
        <v>0</v>
      </c>
      <c r="H103" s="482">
        <v>0</v>
      </c>
      <c r="I103" s="482">
        <v>0</v>
      </c>
      <c r="J103" s="601">
        <v>0</v>
      </c>
      <c r="L103" s="482">
        <v>0</v>
      </c>
    </row>
    <row r="104" spans="2:12">
      <c r="B104" s="479" t="s">
        <v>270</v>
      </c>
      <c r="C104" s="479" t="s">
        <v>649</v>
      </c>
      <c r="D104" s="480" t="s">
        <v>650</v>
      </c>
      <c r="E104" s="482"/>
      <c r="F104" s="482"/>
      <c r="G104" s="482">
        <v>0</v>
      </c>
      <c r="H104" s="482">
        <v>0</v>
      </c>
      <c r="I104" s="482">
        <v>0</v>
      </c>
      <c r="J104" s="601">
        <v>0</v>
      </c>
      <c r="L104" s="482">
        <v>0</v>
      </c>
    </row>
    <row r="105" spans="2:12">
      <c r="B105" s="477" t="s">
        <v>463</v>
      </c>
      <c r="C105" s="477" t="s">
        <v>651</v>
      </c>
      <c r="D105" s="478" t="s">
        <v>652</v>
      </c>
      <c r="E105" s="482">
        <v>17813780.34</v>
      </c>
      <c r="F105" s="482">
        <v>17975387.16</v>
      </c>
      <c r="G105" s="482">
        <v>20524385.48</v>
      </c>
      <c r="H105" s="482">
        <v>27480234.030000001</v>
      </c>
      <c r="I105" s="482">
        <v>30592866.77</v>
      </c>
      <c r="J105" s="601">
        <v>57035388.630000003</v>
      </c>
      <c r="L105" s="482">
        <v>46731317.730000004</v>
      </c>
    </row>
    <row r="106" spans="2:12">
      <c r="B106" s="477" t="s">
        <v>466</v>
      </c>
      <c r="C106" s="477" t="s">
        <v>653</v>
      </c>
      <c r="D106" s="478" t="s">
        <v>654</v>
      </c>
      <c r="E106" s="482">
        <v>1442726.95</v>
      </c>
      <c r="F106" s="482">
        <v>1203133.25</v>
      </c>
      <c r="G106" s="482">
        <v>1459004.77</v>
      </c>
      <c r="H106" s="482">
        <v>2110789.23</v>
      </c>
      <c r="I106" s="482">
        <v>4002460.69</v>
      </c>
      <c r="J106" s="601">
        <v>6342517.6800000006</v>
      </c>
      <c r="L106" s="482">
        <v>4190378.94</v>
      </c>
    </row>
    <row r="107" spans="2:12">
      <c r="B107" s="479" t="s">
        <v>469</v>
      </c>
      <c r="C107" s="479" t="s">
        <v>655</v>
      </c>
      <c r="D107" s="480" t="s">
        <v>656</v>
      </c>
      <c r="E107" s="482">
        <v>1442726.95</v>
      </c>
      <c r="F107" s="482">
        <v>1203133.25</v>
      </c>
      <c r="G107" s="482">
        <v>1459004.77</v>
      </c>
      <c r="H107" s="482">
        <v>2002090.21</v>
      </c>
      <c r="I107" s="482">
        <v>3890997.58</v>
      </c>
      <c r="J107" s="601">
        <v>6204557.8200000003</v>
      </c>
      <c r="L107" s="482">
        <v>4046354.78</v>
      </c>
    </row>
    <row r="108" spans="2:12">
      <c r="B108" s="479" t="s">
        <v>264</v>
      </c>
      <c r="C108" s="479" t="s">
        <v>657</v>
      </c>
      <c r="D108" s="480" t="s">
        <v>658</v>
      </c>
      <c r="E108" s="482"/>
      <c r="F108" s="482"/>
      <c r="G108" s="482">
        <v>0</v>
      </c>
      <c r="H108" s="482">
        <v>0</v>
      </c>
      <c r="I108" s="482">
        <v>0</v>
      </c>
      <c r="J108" s="601">
        <v>0</v>
      </c>
      <c r="L108" s="482">
        <v>0</v>
      </c>
    </row>
    <row r="109" spans="2:12">
      <c r="B109" s="479" t="s">
        <v>265</v>
      </c>
      <c r="C109" s="479" t="s">
        <v>659</v>
      </c>
      <c r="D109" s="480" t="s">
        <v>660</v>
      </c>
      <c r="E109" s="482"/>
      <c r="F109" s="482"/>
      <c r="G109" s="482">
        <v>0</v>
      </c>
      <c r="H109" s="482">
        <v>0</v>
      </c>
      <c r="I109" s="482">
        <v>0</v>
      </c>
      <c r="J109" s="601">
        <v>0</v>
      </c>
      <c r="L109" s="482">
        <v>0</v>
      </c>
    </row>
    <row r="110" spans="2:12">
      <c r="B110" s="479" t="s">
        <v>266</v>
      </c>
      <c r="C110" s="479" t="s">
        <v>661</v>
      </c>
      <c r="D110" s="480" t="s">
        <v>662</v>
      </c>
      <c r="E110" s="482"/>
      <c r="F110" s="482"/>
      <c r="G110" s="482">
        <v>0</v>
      </c>
      <c r="H110" s="482">
        <v>0</v>
      </c>
      <c r="I110" s="482">
        <v>0</v>
      </c>
      <c r="J110" s="601">
        <v>0</v>
      </c>
      <c r="L110" s="482">
        <v>0</v>
      </c>
    </row>
    <row r="111" spans="2:12">
      <c r="B111" s="479" t="s">
        <v>267</v>
      </c>
      <c r="C111" s="479" t="s">
        <v>663</v>
      </c>
      <c r="D111" s="480" t="s">
        <v>664</v>
      </c>
      <c r="E111" s="482"/>
      <c r="F111" s="482"/>
      <c r="G111" s="482">
        <v>0</v>
      </c>
      <c r="H111" s="482">
        <v>108699.02</v>
      </c>
      <c r="I111" s="482">
        <v>111463.11</v>
      </c>
      <c r="J111" s="601">
        <v>137959.85999999999</v>
      </c>
      <c r="L111" s="482">
        <v>144024.16</v>
      </c>
    </row>
    <row r="112" spans="2:12">
      <c r="B112" s="477" t="s">
        <v>478</v>
      </c>
      <c r="C112" s="477" t="s">
        <v>665</v>
      </c>
      <c r="D112" s="478" t="s">
        <v>666</v>
      </c>
      <c r="E112" s="482"/>
      <c r="F112" s="482"/>
      <c r="G112" s="482">
        <v>0</v>
      </c>
      <c r="H112" s="482">
        <v>0</v>
      </c>
      <c r="I112" s="482">
        <v>0</v>
      </c>
      <c r="J112" s="601">
        <v>0</v>
      </c>
      <c r="L112" s="482">
        <v>0</v>
      </c>
    </row>
    <row r="113" spans="2:12">
      <c r="B113" s="479" t="s">
        <v>481</v>
      </c>
      <c r="C113" s="479" t="s">
        <v>482</v>
      </c>
      <c r="D113" s="480" t="s">
        <v>667</v>
      </c>
      <c r="E113" s="482"/>
      <c r="F113" s="482"/>
      <c r="G113" s="482">
        <v>0</v>
      </c>
      <c r="H113" s="482">
        <v>0</v>
      </c>
      <c r="I113" s="482">
        <v>0</v>
      </c>
      <c r="J113" s="601">
        <v>0</v>
      </c>
      <c r="L113" s="482">
        <v>0</v>
      </c>
    </row>
    <row r="114" spans="2:12">
      <c r="B114" s="479" t="s">
        <v>264</v>
      </c>
      <c r="C114" s="479" t="s">
        <v>484</v>
      </c>
      <c r="D114" s="480" t="s">
        <v>668</v>
      </c>
      <c r="E114" s="482"/>
      <c r="F114" s="482"/>
      <c r="G114" s="482">
        <v>0</v>
      </c>
      <c r="H114" s="482">
        <v>0</v>
      </c>
      <c r="I114" s="482">
        <v>0</v>
      </c>
      <c r="J114" s="601">
        <v>0</v>
      </c>
      <c r="L114" s="482">
        <v>0</v>
      </c>
    </row>
    <row r="115" spans="2:12">
      <c r="B115" s="479" t="s">
        <v>265</v>
      </c>
      <c r="C115" s="479" t="s">
        <v>486</v>
      </c>
      <c r="D115" s="480" t="s">
        <v>669</v>
      </c>
      <c r="E115" s="482"/>
      <c r="F115" s="482"/>
      <c r="G115" s="482">
        <v>0</v>
      </c>
      <c r="H115" s="482">
        <v>0</v>
      </c>
      <c r="I115" s="482">
        <v>0</v>
      </c>
      <c r="J115" s="601">
        <v>0</v>
      </c>
      <c r="L115" s="482">
        <v>0</v>
      </c>
    </row>
    <row r="116" spans="2:12">
      <c r="B116" s="479" t="s">
        <v>266</v>
      </c>
      <c r="C116" s="479" t="s">
        <v>488</v>
      </c>
      <c r="D116" s="480" t="s">
        <v>670</v>
      </c>
      <c r="E116" s="482"/>
      <c r="F116" s="482"/>
      <c r="G116" s="482">
        <v>0</v>
      </c>
      <c r="H116" s="482">
        <v>0</v>
      </c>
      <c r="I116" s="482">
        <v>0</v>
      </c>
      <c r="J116" s="601">
        <v>0</v>
      </c>
      <c r="L116" s="482">
        <v>0</v>
      </c>
    </row>
    <row r="117" spans="2:12">
      <c r="B117" s="479" t="s">
        <v>267</v>
      </c>
      <c r="C117" s="479" t="s">
        <v>490</v>
      </c>
      <c r="D117" s="480" t="s">
        <v>671</v>
      </c>
      <c r="E117" s="482"/>
      <c r="F117" s="482"/>
      <c r="G117" s="482">
        <v>0</v>
      </c>
      <c r="H117" s="482">
        <v>0</v>
      </c>
      <c r="I117" s="482">
        <v>0</v>
      </c>
      <c r="J117" s="601">
        <v>0</v>
      </c>
      <c r="L117" s="482">
        <v>0</v>
      </c>
    </row>
    <row r="118" spans="2:12">
      <c r="B118" s="479" t="s">
        <v>268</v>
      </c>
      <c r="C118" s="479" t="s">
        <v>492</v>
      </c>
      <c r="D118" s="480" t="s">
        <v>672</v>
      </c>
      <c r="E118" s="482"/>
      <c r="F118" s="482"/>
      <c r="G118" s="482">
        <v>0</v>
      </c>
      <c r="H118" s="482">
        <v>0</v>
      </c>
      <c r="I118" s="482">
        <v>0</v>
      </c>
      <c r="J118" s="601">
        <v>0</v>
      </c>
      <c r="L118" s="482">
        <v>0</v>
      </c>
    </row>
    <row r="119" spans="2:12">
      <c r="B119" s="479" t="s">
        <v>269</v>
      </c>
      <c r="C119" s="479" t="s">
        <v>494</v>
      </c>
      <c r="D119" s="480" t="s">
        <v>673</v>
      </c>
      <c r="E119" s="482"/>
      <c r="F119" s="482"/>
      <c r="G119" s="482">
        <v>0</v>
      </c>
      <c r="H119" s="482">
        <v>0</v>
      </c>
      <c r="I119" s="482">
        <v>0</v>
      </c>
      <c r="J119" s="601">
        <v>0</v>
      </c>
      <c r="L119" s="482">
        <v>0</v>
      </c>
    </row>
    <row r="120" spans="2:12">
      <c r="B120" s="477" t="s">
        <v>674</v>
      </c>
      <c r="C120" s="477" t="s">
        <v>675</v>
      </c>
      <c r="D120" s="478" t="s">
        <v>676</v>
      </c>
      <c r="E120" s="482"/>
      <c r="F120" s="482"/>
      <c r="G120" s="482">
        <v>0</v>
      </c>
      <c r="H120" s="482">
        <v>0</v>
      </c>
      <c r="I120" s="482">
        <v>0</v>
      </c>
      <c r="J120" s="601">
        <v>0</v>
      </c>
      <c r="L120" s="482">
        <v>0</v>
      </c>
    </row>
    <row r="121" spans="2:12">
      <c r="B121" s="479" t="s">
        <v>677</v>
      </c>
      <c r="C121" s="479" t="s">
        <v>678</v>
      </c>
      <c r="D121" s="480" t="s">
        <v>679</v>
      </c>
      <c r="E121" s="482"/>
      <c r="F121" s="482"/>
      <c r="G121" s="482">
        <v>0</v>
      </c>
      <c r="H121" s="482">
        <v>0</v>
      </c>
      <c r="I121" s="482">
        <v>0</v>
      </c>
      <c r="J121" s="601">
        <v>0</v>
      </c>
      <c r="L121" s="482">
        <v>0</v>
      </c>
    </row>
    <row r="122" spans="2:12">
      <c r="B122" s="479" t="s">
        <v>264</v>
      </c>
      <c r="C122" s="479" t="s">
        <v>680</v>
      </c>
      <c r="D122" s="480" t="s">
        <v>681</v>
      </c>
      <c r="E122" s="482"/>
      <c r="F122" s="482"/>
      <c r="G122" s="482">
        <v>0</v>
      </c>
      <c r="H122" s="482">
        <v>0</v>
      </c>
      <c r="I122" s="482">
        <v>0</v>
      </c>
      <c r="J122" s="601">
        <v>0</v>
      </c>
      <c r="L122" s="482">
        <v>0</v>
      </c>
    </row>
    <row r="123" spans="2:12">
      <c r="B123" s="479" t="s">
        <v>265</v>
      </c>
      <c r="C123" s="479" t="s">
        <v>682</v>
      </c>
      <c r="D123" s="480" t="s">
        <v>683</v>
      </c>
      <c r="E123" s="482"/>
      <c r="F123" s="482"/>
      <c r="G123" s="482">
        <v>0</v>
      </c>
      <c r="H123" s="482">
        <v>0</v>
      </c>
      <c r="I123" s="482">
        <v>0</v>
      </c>
      <c r="J123" s="601">
        <v>0</v>
      </c>
      <c r="L123" s="482">
        <v>0</v>
      </c>
    </row>
    <row r="124" spans="2:12">
      <c r="B124" s="479" t="s">
        <v>266</v>
      </c>
      <c r="C124" s="479" t="s">
        <v>684</v>
      </c>
      <c r="D124" s="480" t="s">
        <v>685</v>
      </c>
      <c r="E124" s="482"/>
      <c r="F124" s="482"/>
      <c r="G124" s="482">
        <v>0</v>
      </c>
      <c r="H124" s="482">
        <v>0</v>
      </c>
      <c r="I124" s="482">
        <v>0</v>
      </c>
      <c r="J124" s="601">
        <v>0</v>
      </c>
      <c r="L124" s="482">
        <v>0</v>
      </c>
    </row>
    <row r="125" spans="2:12">
      <c r="B125" s="479" t="s">
        <v>267</v>
      </c>
      <c r="C125" s="479" t="s">
        <v>686</v>
      </c>
      <c r="D125" s="480" t="s">
        <v>687</v>
      </c>
      <c r="E125" s="482"/>
      <c r="F125" s="482"/>
      <c r="G125" s="482">
        <v>0</v>
      </c>
      <c r="H125" s="482">
        <v>0</v>
      </c>
      <c r="I125" s="482">
        <v>0</v>
      </c>
      <c r="J125" s="601">
        <v>0</v>
      </c>
      <c r="L125" s="482">
        <v>0</v>
      </c>
    </row>
    <row r="126" spans="2:12">
      <c r="B126" s="479" t="s">
        <v>268</v>
      </c>
      <c r="C126" s="479" t="s">
        <v>688</v>
      </c>
      <c r="D126" s="480" t="s">
        <v>689</v>
      </c>
      <c r="E126" s="482"/>
      <c r="F126" s="482"/>
      <c r="G126" s="482">
        <v>0</v>
      </c>
      <c r="H126" s="482">
        <v>0</v>
      </c>
      <c r="I126" s="482">
        <v>0</v>
      </c>
      <c r="J126" s="601">
        <v>0</v>
      </c>
      <c r="L126" s="482">
        <v>0</v>
      </c>
    </row>
    <row r="127" spans="2:12">
      <c r="B127" s="479" t="s">
        <v>269</v>
      </c>
      <c r="C127" s="479" t="s">
        <v>690</v>
      </c>
      <c r="D127" s="480" t="s">
        <v>691</v>
      </c>
      <c r="E127" s="482"/>
      <c r="F127" s="482"/>
      <c r="G127" s="482">
        <v>0</v>
      </c>
      <c r="H127" s="482">
        <v>0</v>
      </c>
      <c r="I127" s="482">
        <v>0</v>
      </c>
      <c r="J127" s="601">
        <v>0</v>
      </c>
      <c r="L127" s="482">
        <v>0</v>
      </c>
    </row>
    <row r="128" spans="2:12">
      <c r="B128" s="479" t="s">
        <v>270</v>
      </c>
      <c r="C128" s="479" t="s">
        <v>692</v>
      </c>
      <c r="D128" s="480" t="s">
        <v>693</v>
      </c>
      <c r="E128" s="482"/>
      <c r="F128" s="482"/>
      <c r="G128" s="482">
        <v>0</v>
      </c>
      <c r="H128" s="482">
        <v>0</v>
      </c>
      <c r="I128" s="482">
        <v>0</v>
      </c>
      <c r="J128" s="601">
        <v>0</v>
      </c>
      <c r="L128" s="482">
        <v>0</v>
      </c>
    </row>
    <row r="129" spans="2:12">
      <c r="B129" s="479" t="s">
        <v>271</v>
      </c>
      <c r="C129" s="479" t="s">
        <v>694</v>
      </c>
      <c r="D129" s="480" t="s">
        <v>695</v>
      </c>
      <c r="E129" s="482"/>
      <c r="F129" s="482"/>
      <c r="G129" s="482">
        <v>0</v>
      </c>
      <c r="H129" s="482">
        <v>0</v>
      </c>
      <c r="I129" s="482">
        <v>0</v>
      </c>
      <c r="J129" s="601">
        <v>0</v>
      </c>
      <c r="L129" s="482">
        <v>0</v>
      </c>
    </row>
    <row r="130" spans="2:12">
      <c r="B130" s="479" t="s">
        <v>606</v>
      </c>
      <c r="C130" s="479" t="s">
        <v>696</v>
      </c>
      <c r="D130" s="480" t="s">
        <v>697</v>
      </c>
      <c r="E130" s="482"/>
      <c r="F130" s="482"/>
      <c r="G130" s="482">
        <v>0</v>
      </c>
      <c r="H130" s="482">
        <v>0</v>
      </c>
      <c r="I130" s="482">
        <v>0</v>
      </c>
      <c r="J130" s="601">
        <v>0</v>
      </c>
      <c r="L130" s="482">
        <v>0</v>
      </c>
    </row>
    <row r="131" spans="2:12">
      <c r="B131" s="479" t="s">
        <v>273</v>
      </c>
      <c r="C131" s="479" t="s">
        <v>698</v>
      </c>
      <c r="D131" s="480" t="s">
        <v>699</v>
      </c>
      <c r="E131" s="482"/>
      <c r="F131" s="482"/>
      <c r="G131" s="482">
        <v>0</v>
      </c>
      <c r="H131" s="482">
        <v>0</v>
      </c>
      <c r="I131" s="482">
        <v>0</v>
      </c>
      <c r="J131" s="601">
        <v>0</v>
      </c>
      <c r="L131" s="482">
        <v>0</v>
      </c>
    </row>
    <row r="132" spans="2:12">
      <c r="B132" s="477" t="s">
        <v>520</v>
      </c>
      <c r="C132" s="477" t="s">
        <v>700</v>
      </c>
      <c r="D132" s="478" t="s">
        <v>701</v>
      </c>
      <c r="E132" s="482">
        <v>15267843.76</v>
      </c>
      <c r="F132" s="482">
        <v>15746243.470000001</v>
      </c>
      <c r="G132" s="482">
        <v>16417296.23</v>
      </c>
      <c r="H132" s="482">
        <v>15189953.449999999</v>
      </c>
      <c r="I132" s="482">
        <v>15572853.699999999</v>
      </c>
      <c r="J132" s="601">
        <v>22232908.839999996</v>
      </c>
      <c r="L132" s="482">
        <v>20291583.510000005</v>
      </c>
    </row>
    <row r="133" spans="2:12">
      <c r="B133" s="479" t="s">
        <v>702</v>
      </c>
      <c r="C133" s="479" t="s">
        <v>678</v>
      </c>
      <c r="D133" s="480" t="s">
        <v>703</v>
      </c>
      <c r="E133" s="482">
        <v>14959525.85</v>
      </c>
      <c r="F133" s="482">
        <v>15326629.039999999</v>
      </c>
      <c r="G133" s="482">
        <v>16084519.91</v>
      </c>
      <c r="H133" s="482">
        <v>14931860.189999999</v>
      </c>
      <c r="I133" s="482">
        <v>15184155.800000001</v>
      </c>
      <c r="J133" s="601">
        <v>22086269.469999999</v>
      </c>
      <c r="L133" s="482">
        <v>20115305.380000003</v>
      </c>
    </row>
    <row r="134" spans="2:12">
      <c r="B134" s="479" t="s">
        <v>264</v>
      </c>
      <c r="C134" s="479" t="s">
        <v>680</v>
      </c>
      <c r="D134" s="480" t="s">
        <v>704</v>
      </c>
      <c r="E134" s="482"/>
      <c r="F134" s="482"/>
      <c r="G134" s="482">
        <v>0</v>
      </c>
      <c r="H134" s="482">
        <v>0</v>
      </c>
      <c r="I134" s="482">
        <v>0</v>
      </c>
      <c r="J134" s="601">
        <v>0</v>
      </c>
      <c r="L134" s="482">
        <v>0</v>
      </c>
    </row>
    <row r="135" spans="2:12">
      <c r="B135" s="479" t="s">
        <v>265</v>
      </c>
      <c r="C135" s="479" t="s">
        <v>682</v>
      </c>
      <c r="D135" s="480" t="s">
        <v>705</v>
      </c>
      <c r="E135" s="482"/>
      <c r="F135" s="482"/>
      <c r="G135" s="482">
        <v>0</v>
      </c>
      <c r="H135" s="482">
        <v>0</v>
      </c>
      <c r="I135" s="482">
        <v>0</v>
      </c>
      <c r="J135" s="601">
        <v>0</v>
      </c>
      <c r="L135" s="482">
        <v>0</v>
      </c>
    </row>
    <row r="136" spans="2:12">
      <c r="B136" s="479" t="s">
        <v>266</v>
      </c>
      <c r="C136" s="479" t="s">
        <v>706</v>
      </c>
      <c r="D136" s="480" t="s">
        <v>707</v>
      </c>
      <c r="E136" s="482">
        <v>718.25</v>
      </c>
      <c r="F136" s="482">
        <v>152.19999999999999</v>
      </c>
      <c r="G136" s="482">
        <v>12983.62</v>
      </c>
      <c r="H136" s="482">
        <v>6264.06</v>
      </c>
      <c r="I136" s="482">
        <v>7970.68</v>
      </c>
      <c r="J136" s="601">
        <v>5293.05</v>
      </c>
      <c r="L136" s="482">
        <v>27106.959999999999</v>
      </c>
    </row>
    <row r="137" spans="2:12">
      <c r="B137" s="479" t="s">
        <v>267</v>
      </c>
      <c r="C137" s="479" t="s">
        <v>684</v>
      </c>
      <c r="D137" s="480" t="s">
        <v>708</v>
      </c>
      <c r="E137" s="482">
        <v>40306.230000000003</v>
      </c>
      <c r="F137" s="482">
        <v>74194.83</v>
      </c>
      <c r="G137" s="482">
        <v>115119.78</v>
      </c>
      <c r="H137" s="482">
        <v>118377.92</v>
      </c>
      <c r="I137" s="482">
        <v>125338.95</v>
      </c>
      <c r="J137" s="601">
        <v>37391.979999999981</v>
      </c>
      <c r="L137" s="482">
        <v>33236.429999999993</v>
      </c>
    </row>
    <row r="138" spans="2:12">
      <c r="B138" s="479" t="s">
        <v>268</v>
      </c>
      <c r="C138" s="479" t="s">
        <v>709</v>
      </c>
      <c r="D138" s="480" t="s">
        <v>710</v>
      </c>
      <c r="E138" s="482"/>
      <c r="F138" s="482"/>
      <c r="G138" s="482">
        <v>0</v>
      </c>
      <c r="H138" s="482">
        <v>0</v>
      </c>
      <c r="I138" s="482">
        <v>0</v>
      </c>
      <c r="J138" s="601">
        <v>0</v>
      </c>
      <c r="L138" s="482">
        <v>0</v>
      </c>
    </row>
    <row r="139" spans="2:12">
      <c r="B139" s="479" t="s">
        <v>269</v>
      </c>
      <c r="C139" s="479" t="s">
        <v>711</v>
      </c>
      <c r="D139" s="480" t="s">
        <v>712</v>
      </c>
      <c r="E139" s="482"/>
      <c r="F139" s="482"/>
      <c r="G139" s="482">
        <v>0</v>
      </c>
      <c r="H139" s="482">
        <v>0</v>
      </c>
      <c r="I139" s="482">
        <v>0</v>
      </c>
      <c r="J139" s="601">
        <v>0</v>
      </c>
      <c r="L139" s="482">
        <v>0</v>
      </c>
    </row>
    <row r="140" spans="2:12">
      <c r="B140" s="479" t="s">
        <v>270</v>
      </c>
      <c r="C140" s="479" t="s">
        <v>713</v>
      </c>
      <c r="D140" s="480" t="s">
        <v>714</v>
      </c>
      <c r="E140" s="482"/>
      <c r="F140" s="482"/>
      <c r="G140" s="482">
        <v>0</v>
      </c>
      <c r="H140" s="482">
        <v>0</v>
      </c>
      <c r="I140" s="482">
        <v>0</v>
      </c>
      <c r="J140" s="601">
        <v>0</v>
      </c>
      <c r="L140" s="482">
        <v>0</v>
      </c>
    </row>
    <row r="141" spans="2:12">
      <c r="B141" s="479" t="s">
        <v>271</v>
      </c>
      <c r="C141" s="479" t="s">
        <v>715</v>
      </c>
      <c r="D141" s="480" t="s">
        <v>716</v>
      </c>
      <c r="E141" s="482"/>
      <c r="F141" s="482"/>
      <c r="G141" s="482">
        <v>0</v>
      </c>
      <c r="H141" s="482">
        <v>0</v>
      </c>
      <c r="I141" s="482">
        <v>0</v>
      </c>
      <c r="J141" s="601">
        <v>0</v>
      </c>
      <c r="L141" s="482">
        <v>0</v>
      </c>
    </row>
    <row r="142" spans="2:12">
      <c r="B142" s="479" t="s">
        <v>272</v>
      </c>
      <c r="C142" s="479" t="s">
        <v>686</v>
      </c>
      <c r="D142" s="480" t="s">
        <v>717</v>
      </c>
      <c r="E142" s="482">
        <v>47545.25</v>
      </c>
      <c r="F142" s="482">
        <v>55927.51</v>
      </c>
      <c r="G142" s="482">
        <v>57261.48</v>
      </c>
      <c r="H142" s="482">
        <v>43692.959999999999</v>
      </c>
      <c r="I142" s="482">
        <v>77861.100000000006</v>
      </c>
      <c r="J142" s="601">
        <v>66110.240000000005</v>
      </c>
      <c r="L142" s="482">
        <v>74081.13</v>
      </c>
    </row>
    <row r="143" spans="2:12">
      <c r="B143" s="479" t="s">
        <v>273</v>
      </c>
      <c r="C143" s="479" t="s">
        <v>718</v>
      </c>
      <c r="D143" s="480" t="s">
        <v>719</v>
      </c>
      <c r="E143" s="482"/>
      <c r="F143" s="482"/>
      <c r="G143" s="482">
        <v>0</v>
      </c>
      <c r="H143" s="482">
        <v>0</v>
      </c>
      <c r="I143" s="482">
        <v>0</v>
      </c>
      <c r="J143" s="601">
        <v>0</v>
      </c>
      <c r="L143" s="482">
        <v>0</v>
      </c>
    </row>
    <row r="144" spans="2:12">
      <c r="B144" s="479" t="s">
        <v>274</v>
      </c>
      <c r="C144" s="479" t="s">
        <v>720</v>
      </c>
      <c r="D144" s="480" t="s">
        <v>721</v>
      </c>
      <c r="E144" s="482">
        <v>115765.05</v>
      </c>
      <c r="F144" s="482">
        <v>97250.85</v>
      </c>
      <c r="G144" s="482">
        <v>62188.08</v>
      </c>
      <c r="H144" s="482">
        <v>0</v>
      </c>
      <c r="I144" s="482">
        <v>86737.81</v>
      </c>
      <c r="J144" s="601">
        <v>22580.73</v>
      </c>
      <c r="L144" s="482">
        <v>26485.17</v>
      </c>
    </row>
    <row r="145" spans="2:12">
      <c r="B145" s="479" t="s">
        <v>275</v>
      </c>
      <c r="C145" s="479" t="s">
        <v>722</v>
      </c>
      <c r="D145" s="480" t="s">
        <v>723</v>
      </c>
      <c r="E145" s="482"/>
      <c r="F145" s="482"/>
      <c r="G145" s="482">
        <v>0</v>
      </c>
      <c r="H145" s="482">
        <v>0</v>
      </c>
      <c r="I145" s="482">
        <v>0</v>
      </c>
      <c r="J145" s="601">
        <v>0</v>
      </c>
      <c r="L145" s="482">
        <v>0</v>
      </c>
    </row>
    <row r="146" spans="2:12">
      <c r="B146" s="479" t="s">
        <v>276</v>
      </c>
      <c r="C146" s="479" t="s">
        <v>724</v>
      </c>
      <c r="D146" s="480" t="s">
        <v>725</v>
      </c>
      <c r="E146" s="482"/>
      <c r="F146" s="482"/>
      <c r="G146" s="482">
        <v>0</v>
      </c>
      <c r="H146" s="482">
        <v>0</v>
      </c>
      <c r="I146" s="482">
        <v>0</v>
      </c>
      <c r="J146" s="601">
        <v>0</v>
      </c>
      <c r="L146" s="482">
        <v>0</v>
      </c>
    </row>
    <row r="147" spans="2:12">
      <c r="B147" s="479" t="s">
        <v>277</v>
      </c>
      <c r="C147" s="479" t="s">
        <v>726</v>
      </c>
      <c r="D147" s="480" t="s">
        <v>727</v>
      </c>
      <c r="E147" s="482"/>
      <c r="F147" s="482"/>
      <c r="G147" s="482">
        <v>0</v>
      </c>
      <c r="H147" s="482">
        <v>0</v>
      </c>
      <c r="I147" s="482">
        <v>0</v>
      </c>
      <c r="J147" s="601">
        <v>1516.86</v>
      </c>
      <c r="L147" s="482">
        <v>0</v>
      </c>
    </row>
    <row r="148" spans="2:12">
      <c r="B148" s="479" t="s">
        <v>278</v>
      </c>
      <c r="C148" s="479" t="s">
        <v>688</v>
      </c>
      <c r="D148" s="480" t="s">
        <v>728</v>
      </c>
      <c r="E148" s="482"/>
      <c r="F148" s="482"/>
      <c r="G148" s="482">
        <v>0</v>
      </c>
      <c r="H148" s="482">
        <v>0</v>
      </c>
      <c r="I148" s="482">
        <v>0</v>
      </c>
      <c r="J148" s="601">
        <v>0</v>
      </c>
      <c r="L148" s="482">
        <v>0</v>
      </c>
    </row>
    <row r="149" spans="2:12">
      <c r="B149" s="479" t="s">
        <v>279</v>
      </c>
      <c r="C149" s="479" t="s">
        <v>729</v>
      </c>
      <c r="D149" s="480" t="s">
        <v>730</v>
      </c>
      <c r="E149" s="482"/>
      <c r="F149" s="482"/>
      <c r="G149" s="482">
        <v>0</v>
      </c>
      <c r="H149" s="482">
        <v>0</v>
      </c>
      <c r="I149" s="482">
        <v>0</v>
      </c>
      <c r="J149" s="601">
        <v>0</v>
      </c>
      <c r="L149" s="482">
        <v>0</v>
      </c>
    </row>
    <row r="150" spans="2:12">
      <c r="B150" s="479" t="s">
        <v>280</v>
      </c>
      <c r="C150" s="479" t="s">
        <v>692</v>
      </c>
      <c r="D150" s="480" t="s">
        <v>731</v>
      </c>
      <c r="E150" s="482"/>
      <c r="F150" s="482"/>
      <c r="G150" s="482">
        <v>0</v>
      </c>
      <c r="H150" s="482">
        <v>0</v>
      </c>
      <c r="I150" s="482">
        <v>0</v>
      </c>
      <c r="J150" s="601">
        <v>0</v>
      </c>
      <c r="L150" s="482">
        <v>0</v>
      </c>
    </row>
    <row r="151" spans="2:12">
      <c r="B151" s="479" t="s">
        <v>281</v>
      </c>
      <c r="C151" s="479" t="s">
        <v>694</v>
      </c>
      <c r="D151" s="480" t="s">
        <v>732</v>
      </c>
      <c r="E151" s="482"/>
      <c r="F151" s="482"/>
      <c r="G151" s="482">
        <v>0</v>
      </c>
      <c r="H151" s="482">
        <v>0</v>
      </c>
      <c r="I151" s="482">
        <v>0</v>
      </c>
      <c r="J151" s="601">
        <v>0</v>
      </c>
      <c r="L151" s="482">
        <v>0</v>
      </c>
    </row>
    <row r="152" spans="2:12">
      <c r="B152" s="479" t="s">
        <v>282</v>
      </c>
      <c r="C152" s="479" t="s">
        <v>696</v>
      </c>
      <c r="D152" s="480" t="s">
        <v>733</v>
      </c>
      <c r="E152" s="482"/>
      <c r="F152" s="482"/>
      <c r="G152" s="482">
        <v>0</v>
      </c>
      <c r="H152" s="482">
        <v>0</v>
      </c>
      <c r="I152" s="482">
        <v>0</v>
      </c>
      <c r="J152" s="601">
        <v>0</v>
      </c>
      <c r="L152" s="482">
        <v>0</v>
      </c>
    </row>
    <row r="153" spans="2:12">
      <c r="B153" s="479" t="s">
        <v>283</v>
      </c>
      <c r="C153" s="479" t="s">
        <v>698</v>
      </c>
      <c r="D153" s="480" t="s">
        <v>734</v>
      </c>
      <c r="E153" s="482">
        <v>103983.13</v>
      </c>
      <c r="F153" s="482">
        <v>192089.04</v>
      </c>
      <c r="G153" s="482">
        <v>85223.360000000001</v>
      </c>
      <c r="H153" s="482">
        <v>89758.32</v>
      </c>
      <c r="I153" s="482">
        <v>90789.36</v>
      </c>
      <c r="J153" s="601">
        <v>13746.51</v>
      </c>
      <c r="L153" s="482">
        <v>15368.44</v>
      </c>
    </row>
    <row r="154" spans="2:12">
      <c r="B154" s="479" t="s">
        <v>284</v>
      </c>
      <c r="C154" s="479" t="s">
        <v>556</v>
      </c>
      <c r="D154" s="480" t="s">
        <v>735</v>
      </c>
      <c r="E154" s="482"/>
      <c r="F154" s="482"/>
      <c r="G154" s="482">
        <v>0</v>
      </c>
      <c r="H154" s="482">
        <v>0</v>
      </c>
      <c r="I154" s="482">
        <v>0</v>
      </c>
      <c r="J154" s="601">
        <v>0</v>
      </c>
      <c r="L154" s="482">
        <v>0</v>
      </c>
    </row>
    <row r="155" spans="2:12">
      <c r="B155" s="479" t="s">
        <v>285</v>
      </c>
      <c r="C155" s="479" t="s">
        <v>736</v>
      </c>
      <c r="D155" s="480" t="s">
        <v>737</v>
      </c>
      <c r="E155" s="482"/>
      <c r="F155" s="482"/>
      <c r="G155" s="482">
        <v>0</v>
      </c>
      <c r="H155" s="482">
        <v>0</v>
      </c>
      <c r="I155" s="482">
        <v>0</v>
      </c>
      <c r="J155" s="601">
        <v>0</v>
      </c>
      <c r="L155" s="482">
        <v>0</v>
      </c>
    </row>
    <row r="156" spans="2:12">
      <c r="B156" s="479" t="s">
        <v>286</v>
      </c>
      <c r="C156" s="479" t="s">
        <v>738</v>
      </c>
      <c r="D156" s="480" t="s">
        <v>739</v>
      </c>
      <c r="E156" s="482"/>
      <c r="F156" s="482"/>
      <c r="G156" s="482">
        <v>0</v>
      </c>
      <c r="H156" s="482">
        <v>0</v>
      </c>
      <c r="I156" s="482">
        <v>0</v>
      </c>
      <c r="J156" s="601">
        <v>0</v>
      </c>
      <c r="L156" s="482">
        <v>0</v>
      </c>
    </row>
    <row r="157" spans="2:12">
      <c r="B157" s="477" t="s">
        <v>562</v>
      </c>
      <c r="C157" s="477" t="s">
        <v>740</v>
      </c>
      <c r="D157" s="478" t="s">
        <v>741</v>
      </c>
      <c r="E157" s="482">
        <v>1103209.6299999999</v>
      </c>
      <c r="F157" s="482">
        <v>1026010.44</v>
      </c>
      <c r="G157" s="482">
        <v>2648084.48</v>
      </c>
      <c r="H157" s="482">
        <v>10179491.35</v>
      </c>
      <c r="I157" s="482">
        <v>11017552.380000001</v>
      </c>
      <c r="J157" s="601">
        <v>28459962.109999999</v>
      </c>
      <c r="L157" s="482">
        <v>22249355.280000001</v>
      </c>
    </row>
    <row r="158" spans="2:12">
      <c r="B158" s="479" t="s">
        <v>565</v>
      </c>
      <c r="C158" s="479" t="s">
        <v>742</v>
      </c>
      <c r="D158" s="480" t="s">
        <v>743</v>
      </c>
      <c r="E158" s="482">
        <v>3807.9</v>
      </c>
      <c r="F158" s="482">
        <v>292.60000000000002</v>
      </c>
      <c r="G158" s="482">
        <v>359.9</v>
      </c>
      <c r="H158" s="482">
        <v>2450</v>
      </c>
      <c r="I158" s="482">
        <v>3019.71</v>
      </c>
      <c r="J158" s="601">
        <v>3175.93</v>
      </c>
      <c r="L158" s="482">
        <v>12203.17</v>
      </c>
    </row>
    <row r="159" spans="2:12">
      <c r="B159" s="479" t="s">
        <v>264</v>
      </c>
      <c r="C159" s="479" t="s">
        <v>744</v>
      </c>
      <c r="D159" s="480" t="s">
        <v>745</v>
      </c>
      <c r="E159" s="482"/>
      <c r="F159" s="482"/>
      <c r="G159" s="482"/>
      <c r="H159" s="482"/>
      <c r="I159" s="482">
        <v>0</v>
      </c>
      <c r="J159" s="601">
        <v>0</v>
      </c>
      <c r="L159" s="482">
        <v>356</v>
      </c>
    </row>
    <row r="160" spans="2:12">
      <c r="B160" s="479" t="s">
        <v>265</v>
      </c>
      <c r="C160" s="479" t="s">
        <v>746</v>
      </c>
      <c r="D160" s="480" t="s">
        <v>747</v>
      </c>
      <c r="E160" s="482">
        <v>1099401.73</v>
      </c>
      <c r="F160" s="482">
        <v>1025717.84</v>
      </c>
      <c r="G160" s="482">
        <v>2647724.58</v>
      </c>
      <c r="H160" s="482">
        <v>10177041.35</v>
      </c>
      <c r="I160" s="482">
        <v>11014532.67</v>
      </c>
      <c r="J160" s="601">
        <v>28456786.18</v>
      </c>
      <c r="L160" s="482">
        <v>22236796.109999999</v>
      </c>
    </row>
    <row r="161" spans="2:12">
      <c r="B161" s="479" t="s">
        <v>266</v>
      </c>
      <c r="C161" s="479" t="s">
        <v>748</v>
      </c>
      <c r="D161" s="480" t="s">
        <v>749</v>
      </c>
      <c r="E161" s="482"/>
      <c r="F161" s="482"/>
      <c r="G161" s="482">
        <v>0</v>
      </c>
      <c r="H161" s="482">
        <v>0</v>
      </c>
      <c r="I161" s="482">
        <v>0</v>
      </c>
      <c r="J161" s="601">
        <v>0</v>
      </c>
      <c r="L161" s="482">
        <v>0</v>
      </c>
    </row>
    <row r="162" spans="2:12">
      <c r="B162" s="479" t="s">
        <v>267</v>
      </c>
      <c r="C162" s="479" t="s">
        <v>750</v>
      </c>
      <c r="D162" s="480" t="s">
        <v>751</v>
      </c>
      <c r="E162" s="482"/>
      <c r="F162" s="482"/>
      <c r="G162" s="482">
        <v>0</v>
      </c>
      <c r="H162" s="482">
        <v>0</v>
      </c>
      <c r="I162" s="482">
        <v>0</v>
      </c>
      <c r="J162" s="601">
        <v>0</v>
      </c>
      <c r="L162" s="482">
        <v>0</v>
      </c>
    </row>
    <row r="163" spans="2:12">
      <c r="B163" s="479" t="s">
        <v>268</v>
      </c>
      <c r="C163" s="479" t="s">
        <v>752</v>
      </c>
      <c r="D163" s="480" t="s">
        <v>753</v>
      </c>
      <c r="E163" s="482"/>
      <c r="F163" s="482"/>
      <c r="G163" s="482">
        <v>0</v>
      </c>
      <c r="H163" s="482">
        <v>0</v>
      </c>
      <c r="I163" s="482">
        <v>0</v>
      </c>
      <c r="J163" s="601">
        <v>0</v>
      </c>
      <c r="L163" s="482">
        <v>0</v>
      </c>
    </row>
    <row r="164" spans="2:12">
      <c r="B164" s="479" t="s">
        <v>269</v>
      </c>
      <c r="C164" s="479" t="s">
        <v>754</v>
      </c>
      <c r="D164" s="480" t="s">
        <v>755</v>
      </c>
      <c r="E164" s="482"/>
      <c r="F164" s="482"/>
      <c r="G164" s="482">
        <v>0</v>
      </c>
      <c r="H164" s="482">
        <v>0</v>
      </c>
      <c r="I164" s="482">
        <v>0</v>
      </c>
      <c r="J164" s="601">
        <v>0</v>
      </c>
      <c r="L164" s="482">
        <v>0</v>
      </c>
    </row>
    <row r="165" spans="2:12">
      <c r="B165" s="479" t="s">
        <v>270</v>
      </c>
      <c r="C165" s="479" t="s">
        <v>756</v>
      </c>
      <c r="D165" s="480" t="s">
        <v>757</v>
      </c>
      <c r="E165" s="482"/>
      <c r="F165" s="482"/>
      <c r="G165" s="482">
        <v>0</v>
      </c>
      <c r="H165" s="482">
        <v>0</v>
      </c>
      <c r="I165" s="482">
        <v>0</v>
      </c>
      <c r="J165" s="601">
        <v>0</v>
      </c>
      <c r="L165" s="482">
        <v>0</v>
      </c>
    </row>
    <row r="166" spans="2:12">
      <c r="B166" s="479" t="s">
        <v>271</v>
      </c>
      <c r="C166" s="479" t="s">
        <v>758</v>
      </c>
      <c r="D166" s="480" t="s">
        <v>759</v>
      </c>
      <c r="E166" s="482"/>
      <c r="F166" s="482"/>
      <c r="G166" s="482">
        <v>0</v>
      </c>
      <c r="H166" s="482">
        <v>0</v>
      </c>
      <c r="I166" s="482">
        <v>0</v>
      </c>
      <c r="J166" s="601">
        <v>0</v>
      </c>
      <c r="L166" s="482">
        <v>0</v>
      </c>
    </row>
    <row r="167" spans="2:12">
      <c r="B167" s="479" t="s">
        <v>272</v>
      </c>
      <c r="C167" s="479" t="s">
        <v>760</v>
      </c>
      <c r="D167" s="480" t="s">
        <v>761</v>
      </c>
      <c r="E167" s="482"/>
      <c r="F167" s="482"/>
      <c r="G167" s="482">
        <v>0</v>
      </c>
      <c r="H167" s="482">
        <v>0</v>
      </c>
      <c r="I167" s="482">
        <v>0</v>
      </c>
      <c r="J167" s="601">
        <v>0</v>
      </c>
      <c r="L167" s="482">
        <v>0</v>
      </c>
    </row>
    <row r="168" spans="2:12">
      <c r="B168" s="479" t="s">
        <v>273</v>
      </c>
      <c r="C168" s="479" t="s">
        <v>762</v>
      </c>
      <c r="D168" s="480" t="s">
        <v>763</v>
      </c>
      <c r="E168" s="482"/>
      <c r="F168" s="482"/>
      <c r="G168" s="482">
        <v>0</v>
      </c>
      <c r="H168" s="482">
        <v>0</v>
      </c>
      <c r="I168" s="482">
        <v>0</v>
      </c>
      <c r="J168" s="601">
        <v>0</v>
      </c>
      <c r="L168" s="482">
        <v>0</v>
      </c>
    </row>
    <row r="169" spans="2:12">
      <c r="B169" s="479" t="s">
        <v>274</v>
      </c>
      <c r="C169" s="479" t="s">
        <v>764</v>
      </c>
      <c r="D169" s="480" t="s">
        <v>765</v>
      </c>
      <c r="E169" s="482"/>
      <c r="F169" s="482"/>
      <c r="G169" s="482">
        <v>0</v>
      </c>
      <c r="H169" s="482">
        <v>0</v>
      </c>
      <c r="I169" s="482">
        <v>0</v>
      </c>
      <c r="J169" s="601">
        <v>0</v>
      </c>
      <c r="L169" s="482">
        <v>0</v>
      </c>
    </row>
    <row r="170" spans="2:12">
      <c r="B170" s="477" t="s">
        <v>766</v>
      </c>
      <c r="C170" s="477" t="s">
        <v>767</v>
      </c>
      <c r="D170" s="478" t="s">
        <v>768</v>
      </c>
      <c r="E170" s="482"/>
      <c r="F170" s="482"/>
      <c r="G170" s="482">
        <v>0</v>
      </c>
      <c r="H170" s="482">
        <v>0</v>
      </c>
      <c r="I170" s="482">
        <v>0</v>
      </c>
      <c r="J170" s="601">
        <v>0</v>
      </c>
      <c r="L170" s="482">
        <v>0</v>
      </c>
    </row>
    <row r="171" spans="2:12">
      <c r="B171" s="479" t="s">
        <v>769</v>
      </c>
      <c r="C171" s="479" t="s">
        <v>770</v>
      </c>
      <c r="D171" s="480" t="s">
        <v>771</v>
      </c>
      <c r="E171" s="482"/>
      <c r="F171" s="482"/>
      <c r="G171" s="482">
        <v>0</v>
      </c>
      <c r="H171" s="482">
        <v>0</v>
      </c>
      <c r="I171" s="482">
        <v>0</v>
      </c>
      <c r="J171" s="601">
        <v>0</v>
      </c>
      <c r="L171" s="482">
        <v>0</v>
      </c>
    </row>
    <row r="172" spans="2:12">
      <c r="B172" s="479" t="s">
        <v>264</v>
      </c>
      <c r="C172" s="479" t="s">
        <v>772</v>
      </c>
      <c r="D172" s="480" t="s">
        <v>773</v>
      </c>
      <c r="E172" s="482"/>
      <c r="F172" s="482"/>
      <c r="G172" s="482">
        <v>0</v>
      </c>
      <c r="H172" s="482">
        <v>0</v>
      </c>
      <c r="I172" s="482">
        <v>0</v>
      </c>
      <c r="J172" s="601">
        <v>0</v>
      </c>
      <c r="L172" s="482">
        <v>0</v>
      </c>
    </row>
    <row r="173" spans="2:12">
      <c r="B173" s="479" t="s">
        <v>265</v>
      </c>
      <c r="C173" s="479" t="s">
        <v>774</v>
      </c>
      <c r="D173" s="480" t="s">
        <v>775</v>
      </c>
      <c r="E173" s="482"/>
      <c r="F173" s="482"/>
      <c r="G173" s="482">
        <v>0</v>
      </c>
      <c r="H173" s="482">
        <v>0</v>
      </c>
      <c r="I173" s="482">
        <v>0</v>
      </c>
      <c r="J173" s="601">
        <v>0</v>
      </c>
      <c r="L173" s="482">
        <v>0</v>
      </c>
    </row>
    <row r="174" spans="2:12">
      <c r="B174" s="479" t="s">
        <v>266</v>
      </c>
      <c r="C174" s="479" t="s">
        <v>776</v>
      </c>
      <c r="D174" s="480" t="s">
        <v>777</v>
      </c>
      <c r="E174" s="482"/>
      <c r="F174" s="482"/>
      <c r="G174" s="482">
        <v>0</v>
      </c>
      <c r="H174" s="482">
        <v>0</v>
      </c>
      <c r="I174" s="482">
        <v>0</v>
      </c>
      <c r="J174" s="601">
        <v>0</v>
      </c>
      <c r="L174" s="482">
        <v>0</v>
      </c>
    </row>
    <row r="175" spans="2:12">
      <c r="B175" s="479" t="s">
        <v>267</v>
      </c>
      <c r="C175" s="479" t="s">
        <v>778</v>
      </c>
      <c r="D175" s="480" t="s">
        <v>779</v>
      </c>
      <c r="E175" s="482"/>
      <c r="F175" s="482"/>
      <c r="G175" s="482">
        <v>0</v>
      </c>
      <c r="H175" s="482">
        <v>0</v>
      </c>
      <c r="I175" s="482">
        <v>0</v>
      </c>
      <c r="J175" s="601">
        <v>0</v>
      </c>
      <c r="L175" s="482">
        <v>0</v>
      </c>
    </row>
    <row r="176" spans="2:12">
      <c r="B176" s="477" t="s">
        <v>780</v>
      </c>
      <c r="C176" s="477" t="s">
        <v>781</v>
      </c>
      <c r="D176" s="478" t="s">
        <v>782</v>
      </c>
      <c r="E176" s="482"/>
      <c r="F176" s="482"/>
      <c r="G176" s="482">
        <v>0</v>
      </c>
      <c r="H176" s="482">
        <v>0</v>
      </c>
      <c r="I176" s="482">
        <v>0</v>
      </c>
      <c r="J176" s="601">
        <v>0</v>
      </c>
      <c r="L176" s="482">
        <v>0</v>
      </c>
    </row>
    <row r="177" spans="2:12">
      <c r="B177" s="479" t="s">
        <v>783</v>
      </c>
      <c r="C177" s="479" t="s">
        <v>770</v>
      </c>
      <c r="D177" s="480" t="s">
        <v>784</v>
      </c>
      <c r="E177" s="482"/>
      <c r="F177" s="482"/>
      <c r="G177" s="482">
        <v>0</v>
      </c>
      <c r="H177" s="482">
        <v>0</v>
      </c>
      <c r="I177" s="482">
        <v>0</v>
      </c>
      <c r="J177" s="601">
        <v>0</v>
      </c>
      <c r="L177" s="482">
        <v>0</v>
      </c>
    </row>
    <row r="178" spans="2:12">
      <c r="B178" s="479" t="s">
        <v>264</v>
      </c>
      <c r="C178" s="479" t="s">
        <v>772</v>
      </c>
      <c r="D178" s="480" t="s">
        <v>785</v>
      </c>
      <c r="E178" s="482"/>
      <c r="F178" s="482"/>
      <c r="G178" s="482">
        <v>0</v>
      </c>
      <c r="H178" s="482">
        <v>0</v>
      </c>
      <c r="I178" s="482">
        <v>0</v>
      </c>
      <c r="J178" s="601">
        <v>0</v>
      </c>
      <c r="L178" s="482">
        <v>0</v>
      </c>
    </row>
    <row r="179" spans="2:12">
      <c r="B179" s="479" t="s">
        <v>265</v>
      </c>
      <c r="C179" s="479" t="s">
        <v>786</v>
      </c>
      <c r="D179" s="480" t="s">
        <v>787</v>
      </c>
      <c r="E179" s="482"/>
      <c r="F179" s="482"/>
      <c r="G179" s="482">
        <v>0</v>
      </c>
      <c r="H179" s="482">
        <v>0</v>
      </c>
      <c r="I179" s="482">
        <v>0</v>
      </c>
      <c r="J179" s="601">
        <v>0</v>
      </c>
      <c r="L179" s="482">
        <v>0</v>
      </c>
    </row>
    <row r="180" spans="2:12">
      <c r="B180" s="479" t="s">
        <v>266</v>
      </c>
      <c r="C180" s="479" t="s">
        <v>776</v>
      </c>
      <c r="D180" s="480" t="s">
        <v>788</v>
      </c>
      <c r="E180" s="482"/>
      <c r="F180" s="482"/>
      <c r="G180" s="482">
        <v>0</v>
      </c>
      <c r="H180" s="482">
        <v>0</v>
      </c>
      <c r="I180" s="482">
        <v>0</v>
      </c>
      <c r="J180" s="601">
        <v>0</v>
      </c>
      <c r="L180" s="482">
        <v>0</v>
      </c>
    </row>
    <row r="181" spans="2:12">
      <c r="B181" s="479" t="s">
        <v>267</v>
      </c>
      <c r="C181" s="479" t="s">
        <v>778</v>
      </c>
      <c r="D181" s="480" t="s">
        <v>789</v>
      </c>
      <c r="E181" s="482"/>
      <c r="F181" s="482"/>
      <c r="G181" s="482">
        <v>0</v>
      </c>
      <c r="H181" s="482">
        <v>0</v>
      </c>
      <c r="I181" s="482">
        <v>0</v>
      </c>
      <c r="J181" s="601">
        <v>0</v>
      </c>
      <c r="L181" s="482">
        <v>0</v>
      </c>
    </row>
    <row r="182" spans="2:12">
      <c r="B182" s="477" t="s">
        <v>578</v>
      </c>
      <c r="C182" s="477" t="s">
        <v>790</v>
      </c>
      <c r="D182" s="478" t="s">
        <v>791</v>
      </c>
      <c r="E182" s="482">
        <v>35576.81</v>
      </c>
      <c r="F182" s="482">
        <v>1617285.04</v>
      </c>
      <c r="G182" s="482">
        <v>9882.09</v>
      </c>
      <c r="H182" s="482">
        <v>31993.05</v>
      </c>
      <c r="I182" s="482">
        <v>1622130.17</v>
      </c>
      <c r="J182" s="601">
        <v>2088756.98</v>
      </c>
      <c r="L182" s="482">
        <v>3612.61</v>
      </c>
    </row>
    <row r="183" spans="2:12">
      <c r="B183" s="479" t="s">
        <v>581</v>
      </c>
      <c r="C183" s="479" t="s">
        <v>792</v>
      </c>
      <c r="D183" s="480" t="s">
        <v>793</v>
      </c>
      <c r="E183" s="482">
        <v>27867.52</v>
      </c>
      <c r="F183" s="482">
        <v>6033.24</v>
      </c>
      <c r="G183" s="482">
        <v>7847.3</v>
      </c>
      <c r="H183" s="482">
        <v>31993.05</v>
      </c>
      <c r="I183" s="482">
        <v>18963.919999999998</v>
      </c>
      <c r="J183" s="601">
        <v>28915.05</v>
      </c>
      <c r="L183" s="482">
        <v>3612.61</v>
      </c>
    </row>
    <row r="184" spans="2:12">
      <c r="B184" s="479" t="s">
        <v>264</v>
      </c>
      <c r="C184" s="479" t="s">
        <v>794</v>
      </c>
      <c r="D184" s="480" t="s">
        <v>795</v>
      </c>
      <c r="E184" s="482"/>
      <c r="F184" s="482"/>
      <c r="G184" s="482">
        <v>0</v>
      </c>
      <c r="H184" s="482">
        <v>0</v>
      </c>
      <c r="I184" s="482">
        <v>0</v>
      </c>
      <c r="J184" s="601">
        <v>0</v>
      </c>
      <c r="L184" s="482">
        <v>0</v>
      </c>
    </row>
    <row r="185" spans="2:12">
      <c r="B185" s="479" t="s">
        <v>265</v>
      </c>
      <c r="C185" s="479" t="s">
        <v>796</v>
      </c>
      <c r="D185" s="480" t="s">
        <v>797</v>
      </c>
      <c r="E185" s="482">
        <v>7709.29</v>
      </c>
      <c r="F185" s="482">
        <v>1611251.8</v>
      </c>
      <c r="G185" s="482">
        <v>2034.79</v>
      </c>
      <c r="H185" s="482">
        <v>0</v>
      </c>
      <c r="I185" s="482">
        <v>1603166.25</v>
      </c>
      <c r="J185" s="601">
        <v>2059841.93</v>
      </c>
      <c r="L185" s="482">
        <v>0</v>
      </c>
    </row>
    <row r="186" spans="2:12">
      <c r="B186" s="477" t="s">
        <v>586</v>
      </c>
      <c r="C186" s="477" t="s">
        <v>587</v>
      </c>
      <c r="D186" s="478" t="s">
        <v>798</v>
      </c>
      <c r="E186" s="482"/>
      <c r="F186" s="482"/>
      <c r="G186" s="482">
        <v>0</v>
      </c>
      <c r="H186" s="482">
        <v>0</v>
      </c>
      <c r="I186" s="482">
        <v>0</v>
      </c>
      <c r="J186" s="601">
        <v>0</v>
      </c>
      <c r="L186" s="482"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096E-B2FD-41B6-BB02-B54445CD80C1}">
  <sheetPr>
    <tabColor theme="0"/>
  </sheetPr>
  <dimension ref="B3:L142"/>
  <sheetViews>
    <sheetView workbookViewId="0"/>
  </sheetViews>
  <sheetFormatPr baseColWidth="10" defaultColWidth="8.83203125" defaultRowHeight="15"/>
  <cols>
    <col min="1" max="1" width="6.83203125" style="69" customWidth="1"/>
    <col min="2" max="2" width="8.5" style="69" customWidth="1"/>
    <col min="3" max="3" width="46.33203125" style="69" customWidth="1"/>
    <col min="4" max="4" width="8.83203125" style="69"/>
    <col min="5" max="10" width="13.5" style="69" customWidth="1"/>
    <col min="11" max="11" width="8.83203125" style="63"/>
    <col min="12" max="12" width="13.5" style="69" customWidth="1"/>
    <col min="13" max="16384" width="8.83203125" style="69"/>
  </cols>
  <sheetData>
    <row r="3" spans="2:12">
      <c r="B3" s="476" t="s">
        <v>424</v>
      </c>
      <c r="C3" s="476" t="s">
        <v>905</v>
      </c>
      <c r="D3" s="476" t="s">
        <v>426</v>
      </c>
      <c r="E3" s="481" t="s">
        <v>428</v>
      </c>
      <c r="F3" s="481" t="s">
        <v>427</v>
      </c>
      <c r="G3" s="481" t="s">
        <v>799</v>
      </c>
      <c r="H3" s="481" t="s">
        <v>800</v>
      </c>
      <c r="I3" s="481">
        <v>2020</v>
      </c>
      <c r="J3" s="481">
        <v>2021</v>
      </c>
      <c r="L3" s="481" t="s">
        <v>801</v>
      </c>
    </row>
    <row r="4" spans="2:12">
      <c r="B4" s="484" t="s">
        <v>681</v>
      </c>
      <c r="C4" s="484" t="s">
        <v>802</v>
      </c>
      <c r="D4" s="485" t="s">
        <v>590</v>
      </c>
      <c r="E4" s="489">
        <v>37272809.100000001</v>
      </c>
      <c r="F4" s="482">
        <v>37200873.170000002</v>
      </c>
      <c r="G4" s="482">
        <v>39837612.020000003</v>
      </c>
      <c r="H4" s="482">
        <v>47274285.740000002</v>
      </c>
      <c r="I4" s="482">
        <v>51843481.600000001</v>
      </c>
      <c r="J4" s="482">
        <v>59240888.600000001</v>
      </c>
      <c r="L4" s="482">
        <v>50144150.689999998</v>
      </c>
    </row>
    <row r="5" spans="2:12">
      <c r="B5" s="486" t="s">
        <v>803</v>
      </c>
      <c r="C5" s="486" t="s">
        <v>225</v>
      </c>
      <c r="D5" s="487" t="s">
        <v>592</v>
      </c>
      <c r="E5" s="489">
        <v>33165273.609999999</v>
      </c>
      <c r="F5" s="482">
        <v>33264962.09</v>
      </c>
      <c r="G5" s="482">
        <v>35677081.57</v>
      </c>
      <c r="H5" s="482">
        <v>42450438.130000003</v>
      </c>
      <c r="I5" s="482">
        <v>44265220.420000002</v>
      </c>
      <c r="J5" s="482">
        <v>52289414.030000001</v>
      </c>
      <c r="L5" s="482">
        <v>44741909.18</v>
      </c>
    </row>
    <row r="6" spans="2:12">
      <c r="B6" s="486" t="s">
        <v>804</v>
      </c>
      <c r="C6" s="486" t="s">
        <v>805</v>
      </c>
      <c r="D6" s="487" t="s">
        <v>594</v>
      </c>
      <c r="E6" s="489">
        <v>4107535.49</v>
      </c>
      <c r="F6" s="482">
        <v>3935911.08</v>
      </c>
      <c r="G6" s="482">
        <v>4160530.45</v>
      </c>
      <c r="H6" s="482">
        <v>4660855.6399999997</v>
      </c>
      <c r="I6" s="482">
        <v>5440074.4000000004</v>
      </c>
      <c r="J6" s="482">
        <v>4076198.1</v>
      </c>
      <c r="L6" s="482">
        <v>3184383.3000000003</v>
      </c>
    </row>
    <row r="7" spans="2:12">
      <c r="B7" s="486" t="s">
        <v>806</v>
      </c>
      <c r="C7" s="486" t="s">
        <v>807</v>
      </c>
      <c r="D7" s="487" t="s">
        <v>596</v>
      </c>
      <c r="E7" s="489">
        <v>0</v>
      </c>
      <c r="F7" s="482">
        <v>0</v>
      </c>
      <c r="G7" s="482">
        <v>0</v>
      </c>
      <c r="H7" s="482">
        <v>0</v>
      </c>
      <c r="I7" s="482">
        <v>0</v>
      </c>
      <c r="J7" s="482">
        <v>0</v>
      </c>
      <c r="L7" s="482">
        <v>0</v>
      </c>
    </row>
    <row r="8" spans="2:12">
      <c r="B8" s="486" t="s">
        <v>808</v>
      </c>
      <c r="C8" s="486" t="s">
        <v>809</v>
      </c>
      <c r="D8" s="487" t="s">
        <v>432</v>
      </c>
      <c r="E8" s="489">
        <v>0</v>
      </c>
      <c r="F8" s="482">
        <v>0</v>
      </c>
      <c r="G8" s="482">
        <v>0</v>
      </c>
      <c r="H8" s="482">
        <v>162991.97</v>
      </c>
      <c r="I8" s="482">
        <v>2138186.7799999998</v>
      </c>
      <c r="J8" s="482">
        <v>2875276.47</v>
      </c>
      <c r="L8" s="482">
        <v>2217858.21</v>
      </c>
    </row>
    <row r="9" spans="2:12">
      <c r="B9" s="484" t="s">
        <v>683</v>
      </c>
      <c r="C9" s="484" t="s">
        <v>810</v>
      </c>
      <c r="D9" s="485" t="s">
        <v>433</v>
      </c>
      <c r="E9" s="489">
        <v>4724681.74</v>
      </c>
      <c r="F9" s="482">
        <v>4553965.6500000004</v>
      </c>
      <c r="G9" s="482">
        <v>4841131.5999999996</v>
      </c>
      <c r="H9" s="482">
        <v>5460994.3300000001</v>
      </c>
      <c r="I9" s="482">
        <v>6018320.9500000002</v>
      </c>
      <c r="J9" s="482">
        <v>5640106.4799999995</v>
      </c>
      <c r="L9" s="482">
        <v>4833402.32</v>
      </c>
    </row>
    <row r="10" spans="2:12">
      <c r="B10" s="486" t="s">
        <v>811</v>
      </c>
      <c r="C10" s="486" t="s">
        <v>227</v>
      </c>
      <c r="D10" s="487" t="s">
        <v>600</v>
      </c>
      <c r="E10" s="489">
        <v>1727521.67</v>
      </c>
      <c r="F10" s="482">
        <v>1490248.85</v>
      </c>
      <c r="G10" s="482">
        <v>1648228.98</v>
      </c>
      <c r="H10" s="482">
        <v>2073770.94</v>
      </c>
      <c r="I10" s="482">
        <v>1911638.35</v>
      </c>
      <c r="J10" s="482">
        <v>2029706.1199999999</v>
      </c>
      <c r="L10" s="482">
        <v>1599381.77</v>
      </c>
    </row>
    <row r="11" spans="2:12">
      <c r="B11" s="486" t="s">
        <v>812</v>
      </c>
      <c r="C11" s="486" t="s">
        <v>228</v>
      </c>
      <c r="D11" s="487" t="s">
        <v>602</v>
      </c>
      <c r="E11" s="489">
        <v>3721.92</v>
      </c>
      <c r="F11" s="482">
        <v>2372.71</v>
      </c>
      <c r="G11" s="482">
        <v>2656.28</v>
      </c>
      <c r="H11" s="482">
        <v>16962.18</v>
      </c>
      <c r="I11" s="482">
        <v>5511.86</v>
      </c>
      <c r="J11" s="482">
        <v>5108.91</v>
      </c>
      <c r="L11" s="482">
        <v>3436.31</v>
      </c>
    </row>
    <row r="12" spans="2:12">
      <c r="B12" s="486" t="s">
        <v>813</v>
      </c>
      <c r="C12" s="486" t="s">
        <v>814</v>
      </c>
      <c r="D12" s="487" t="s">
        <v>604</v>
      </c>
      <c r="E12" s="489">
        <v>1160.47</v>
      </c>
      <c r="F12" s="482">
        <v>863.23</v>
      </c>
      <c r="G12" s="482">
        <v>781.85</v>
      </c>
      <c r="H12" s="482">
        <v>1430.18</v>
      </c>
      <c r="I12" s="482">
        <v>2017.03</v>
      </c>
      <c r="J12" s="482">
        <v>21006.36</v>
      </c>
      <c r="L12" s="482">
        <v>17117.28</v>
      </c>
    </row>
    <row r="13" spans="2:12">
      <c r="B13" s="486" t="s">
        <v>815</v>
      </c>
      <c r="C13" s="486" t="s">
        <v>231</v>
      </c>
      <c r="D13" s="487" t="s">
        <v>606</v>
      </c>
      <c r="E13" s="489">
        <v>2992277.68</v>
      </c>
      <c r="F13" s="482">
        <v>3060480.86</v>
      </c>
      <c r="G13" s="482">
        <v>3189464.49</v>
      </c>
      <c r="H13" s="482">
        <v>3368831.03</v>
      </c>
      <c r="I13" s="482">
        <v>4099153.71</v>
      </c>
      <c r="J13" s="482">
        <v>3584285.09</v>
      </c>
      <c r="L13" s="482">
        <v>3213466.96</v>
      </c>
    </row>
    <row r="14" spans="2:12">
      <c r="B14" s="484" t="s">
        <v>685</v>
      </c>
      <c r="C14" s="484" t="s">
        <v>816</v>
      </c>
      <c r="D14" s="485" t="s">
        <v>608</v>
      </c>
      <c r="E14" s="489">
        <v>63880621.670000002</v>
      </c>
      <c r="F14" s="482">
        <v>66871972.25</v>
      </c>
      <c r="G14" s="482">
        <v>68338361.200000003</v>
      </c>
      <c r="H14" s="482">
        <v>75700835.230000004</v>
      </c>
      <c r="I14" s="482">
        <v>87082760.310000002</v>
      </c>
      <c r="J14" s="482">
        <v>114071965.58000001</v>
      </c>
      <c r="L14" s="482">
        <v>87660430.149999991</v>
      </c>
    </row>
    <row r="15" spans="2:12">
      <c r="B15" s="486" t="s">
        <v>817</v>
      </c>
      <c r="C15" s="486" t="s">
        <v>232</v>
      </c>
      <c r="D15" s="487" t="s">
        <v>610</v>
      </c>
      <c r="E15" s="489">
        <v>46180023.969999999</v>
      </c>
      <c r="F15" s="482">
        <v>48277298.420000002</v>
      </c>
      <c r="G15" s="482">
        <v>49311142.090000004</v>
      </c>
      <c r="H15" s="482">
        <v>54574089.229999997</v>
      </c>
      <c r="I15" s="482">
        <v>60552707.590000004</v>
      </c>
      <c r="J15" s="488">
        <v>79419661.150000006</v>
      </c>
      <c r="L15" s="482">
        <v>63376490.329999998</v>
      </c>
    </row>
    <row r="16" spans="2:12">
      <c r="B16" s="486" t="s">
        <v>818</v>
      </c>
      <c r="C16" s="486" t="s">
        <v>819</v>
      </c>
      <c r="D16" s="487" t="s">
        <v>612</v>
      </c>
      <c r="E16" s="489">
        <v>16185811.140000001</v>
      </c>
      <c r="F16" s="482">
        <v>16924380.800000001</v>
      </c>
      <c r="G16" s="482">
        <v>17269538.879999999</v>
      </c>
      <c r="H16" s="482">
        <v>18992650.199999999</v>
      </c>
      <c r="I16" s="482">
        <v>21092796.57</v>
      </c>
      <c r="J16" s="482">
        <v>27607585.219999999</v>
      </c>
      <c r="L16" s="482">
        <v>21948023.02</v>
      </c>
    </row>
    <row r="17" spans="2:12">
      <c r="B17" s="486" t="s">
        <v>820</v>
      </c>
      <c r="C17" s="486" t="s">
        <v>821</v>
      </c>
      <c r="D17" s="487" t="s">
        <v>614</v>
      </c>
      <c r="E17" s="489">
        <v>361176.27</v>
      </c>
      <c r="F17" s="482">
        <v>390479.34</v>
      </c>
      <c r="G17" s="482">
        <v>407443.55</v>
      </c>
      <c r="H17" s="482">
        <v>455897.78</v>
      </c>
      <c r="I17" s="482">
        <v>498235.04</v>
      </c>
      <c r="J17" s="482">
        <v>739506.42</v>
      </c>
      <c r="L17" s="482">
        <v>588005.92000000004</v>
      </c>
    </row>
    <row r="18" spans="2:12">
      <c r="B18" s="486" t="s">
        <v>822</v>
      </c>
      <c r="C18" s="486" t="s">
        <v>233</v>
      </c>
      <c r="D18" s="487" t="s">
        <v>616</v>
      </c>
      <c r="E18" s="489">
        <v>1153610.29</v>
      </c>
      <c r="F18" s="482">
        <v>1279813.69</v>
      </c>
      <c r="G18" s="482">
        <v>1350236.68</v>
      </c>
      <c r="H18" s="482">
        <v>1678198.02</v>
      </c>
      <c r="I18" s="482">
        <v>4939021.1100000003</v>
      </c>
      <c r="J18" s="482">
        <v>6305212.79</v>
      </c>
      <c r="L18" s="482">
        <v>1747910.88</v>
      </c>
    </row>
    <row r="19" spans="2:12">
      <c r="B19" s="486" t="s">
        <v>823</v>
      </c>
      <c r="C19" s="486" t="s">
        <v>234</v>
      </c>
      <c r="D19" s="487" t="s">
        <v>618</v>
      </c>
      <c r="E19" s="489">
        <v>0</v>
      </c>
      <c r="F19" s="482">
        <v>0</v>
      </c>
      <c r="G19" s="482">
        <v>0</v>
      </c>
      <c r="H19" s="482">
        <v>0</v>
      </c>
      <c r="I19" s="482">
        <v>0</v>
      </c>
      <c r="J19" s="482">
        <v>0</v>
      </c>
      <c r="L19" s="482">
        <v>0</v>
      </c>
    </row>
    <row r="20" spans="2:12">
      <c r="B20" s="484" t="s">
        <v>687</v>
      </c>
      <c r="C20" s="484" t="s">
        <v>824</v>
      </c>
      <c r="D20" s="485" t="s">
        <v>620</v>
      </c>
      <c r="E20" s="489">
        <v>209755.82</v>
      </c>
      <c r="F20" s="482">
        <v>197310.22</v>
      </c>
      <c r="G20" s="482">
        <v>196038.3</v>
      </c>
      <c r="H20" s="482">
        <v>268723.15999999997</v>
      </c>
      <c r="I20" s="482">
        <v>350685.5</v>
      </c>
      <c r="J20" s="482">
        <v>295644.62999999995</v>
      </c>
      <c r="L20" s="482">
        <v>288462.62</v>
      </c>
    </row>
    <row r="21" spans="2:12">
      <c r="B21" s="486" t="s">
        <v>825</v>
      </c>
      <c r="C21" s="486" t="s">
        <v>235</v>
      </c>
      <c r="D21" s="487" t="s">
        <v>622</v>
      </c>
      <c r="E21" s="489">
        <v>2497.63</v>
      </c>
      <c r="F21" s="482">
        <v>3113.83</v>
      </c>
      <c r="G21" s="482">
        <v>3082.74</v>
      </c>
      <c r="H21" s="482">
        <v>3476.42</v>
      </c>
      <c r="I21" s="482">
        <v>3772.64</v>
      </c>
      <c r="J21" s="482">
        <v>3169.72</v>
      </c>
      <c r="L21" s="482">
        <v>2347.5100000000002</v>
      </c>
    </row>
    <row r="22" spans="2:12">
      <c r="B22" s="486" t="s">
        <v>826</v>
      </c>
      <c r="C22" s="486" t="s">
        <v>827</v>
      </c>
      <c r="D22" s="487" t="s">
        <v>624</v>
      </c>
      <c r="E22" s="489">
        <v>180894.11</v>
      </c>
      <c r="F22" s="482">
        <v>182410.09</v>
      </c>
      <c r="G22" s="482">
        <v>181324.77</v>
      </c>
      <c r="H22" s="482">
        <v>181372.23</v>
      </c>
      <c r="I22" s="482">
        <v>269147.21999999997</v>
      </c>
      <c r="J22" s="482">
        <v>280963.53999999998</v>
      </c>
      <c r="L22" s="482">
        <v>280963.53999999998</v>
      </c>
    </row>
    <row r="23" spans="2:12">
      <c r="B23" s="486" t="s">
        <v>828</v>
      </c>
      <c r="C23" s="486" t="s">
        <v>241</v>
      </c>
      <c r="D23" s="487" t="s">
        <v>626</v>
      </c>
      <c r="E23" s="489">
        <v>26364.080000000002</v>
      </c>
      <c r="F23" s="482">
        <v>11786.3</v>
      </c>
      <c r="G23" s="482">
        <v>11630.79</v>
      </c>
      <c r="H23" s="482">
        <v>83874.509999999995</v>
      </c>
      <c r="I23" s="482">
        <v>77765.64</v>
      </c>
      <c r="J23" s="482">
        <v>11511.37</v>
      </c>
      <c r="L23" s="482">
        <v>5151.57</v>
      </c>
    </row>
    <row r="24" spans="2:12">
      <c r="B24" s="484" t="s">
        <v>689</v>
      </c>
      <c r="C24" s="484" t="s">
        <v>829</v>
      </c>
      <c r="D24" s="485" t="s">
        <v>628</v>
      </c>
      <c r="E24" s="489">
        <v>2250633.2000000002</v>
      </c>
      <c r="F24" s="482">
        <v>1982898.65</v>
      </c>
      <c r="G24" s="482">
        <v>4384639.75</v>
      </c>
      <c r="H24" s="482">
        <v>2903203.29</v>
      </c>
      <c r="I24" s="482">
        <v>11114182.4</v>
      </c>
      <c r="J24" s="482">
        <v>4081613.36</v>
      </c>
      <c r="L24" s="482">
        <v>3216740.5500000003</v>
      </c>
    </row>
    <row r="25" spans="2:12">
      <c r="B25" s="486" t="s">
        <v>830</v>
      </c>
      <c r="C25" s="486" t="s">
        <v>831</v>
      </c>
      <c r="D25" s="487" t="s">
        <v>630</v>
      </c>
      <c r="E25" s="489">
        <v>23532.639999999999</v>
      </c>
      <c r="F25" s="482">
        <v>0</v>
      </c>
      <c r="G25" s="482">
        <v>0</v>
      </c>
      <c r="H25" s="482">
        <v>56147.78</v>
      </c>
      <c r="I25" s="482">
        <v>4625.8999999999996</v>
      </c>
      <c r="J25" s="482">
        <v>0</v>
      </c>
      <c r="L25" s="482">
        <v>0</v>
      </c>
    </row>
    <row r="26" spans="2:12">
      <c r="B26" s="486" t="s">
        <v>832</v>
      </c>
      <c r="C26" s="486" t="s">
        <v>833</v>
      </c>
      <c r="D26" s="487" t="s">
        <v>632</v>
      </c>
      <c r="E26" s="489">
        <v>2940.35</v>
      </c>
      <c r="F26" s="482">
        <v>2021</v>
      </c>
      <c r="G26" s="482">
        <v>2138.1</v>
      </c>
      <c r="H26" s="482">
        <v>1507.85</v>
      </c>
      <c r="I26" s="482">
        <v>1599.7</v>
      </c>
      <c r="J26" s="482">
        <v>1903.5</v>
      </c>
      <c r="L26" s="482">
        <v>1615.5</v>
      </c>
    </row>
    <row r="27" spans="2:12">
      <c r="B27" s="486" t="s">
        <v>834</v>
      </c>
      <c r="C27" s="486" t="s">
        <v>835</v>
      </c>
      <c r="D27" s="487" t="s">
        <v>634</v>
      </c>
      <c r="E27" s="489">
        <v>3579.26</v>
      </c>
      <c r="F27" s="482">
        <v>49152.1</v>
      </c>
      <c r="G27" s="482">
        <v>100636</v>
      </c>
      <c r="H27" s="482">
        <v>59322.31</v>
      </c>
      <c r="I27" s="482">
        <v>8598031.8900000006</v>
      </c>
      <c r="J27" s="482">
        <v>1752.06</v>
      </c>
      <c r="L27" s="482">
        <v>1752.06</v>
      </c>
    </row>
    <row r="28" spans="2:12">
      <c r="B28" s="486" t="s">
        <v>836</v>
      </c>
      <c r="C28" s="486" t="s">
        <v>837</v>
      </c>
      <c r="D28" s="487" t="s">
        <v>636</v>
      </c>
      <c r="E28" s="489">
        <v>453199.59</v>
      </c>
      <c r="F28" s="482">
        <v>225689.89</v>
      </c>
      <c r="G28" s="482">
        <v>2547238.5699999998</v>
      </c>
      <c r="H28" s="482">
        <v>866451.92</v>
      </c>
      <c r="I28" s="482">
        <v>601124.01</v>
      </c>
      <c r="J28" s="482">
        <v>1669886.02</v>
      </c>
      <c r="L28" s="482">
        <v>1110496.1100000001</v>
      </c>
    </row>
    <row r="29" spans="2:12">
      <c r="B29" s="486" t="s">
        <v>838</v>
      </c>
      <c r="C29" s="486" t="s">
        <v>243</v>
      </c>
      <c r="D29" s="487" t="s">
        <v>638</v>
      </c>
      <c r="E29" s="489">
        <v>73454.09</v>
      </c>
      <c r="F29" s="482">
        <v>4212.8900000000003</v>
      </c>
      <c r="G29" s="482">
        <v>728.95</v>
      </c>
      <c r="H29" s="482">
        <v>344.8</v>
      </c>
      <c r="I29" s="482">
        <v>31421.119999999999</v>
      </c>
      <c r="J29" s="482">
        <v>0</v>
      </c>
      <c r="L29" s="482">
        <v>0</v>
      </c>
    </row>
    <row r="30" spans="2:12">
      <c r="B30" s="486" t="s">
        <v>839</v>
      </c>
      <c r="C30" s="486" t="s">
        <v>840</v>
      </c>
      <c r="D30" s="487" t="s">
        <v>640</v>
      </c>
      <c r="E30" s="489">
        <v>1682179.82</v>
      </c>
      <c r="F30" s="482">
        <v>1682474.62</v>
      </c>
      <c r="G30" s="482">
        <v>1716628.16</v>
      </c>
      <c r="H30" s="482">
        <v>1845897.42</v>
      </c>
      <c r="I30" s="482">
        <v>1834688.29</v>
      </c>
      <c r="J30" s="482">
        <v>2327320.2399999998</v>
      </c>
      <c r="L30" s="482">
        <v>2043142.67</v>
      </c>
    </row>
    <row r="31" spans="2:12">
      <c r="B31" s="486" t="s">
        <v>841</v>
      </c>
      <c r="C31" s="486" t="s">
        <v>842</v>
      </c>
      <c r="D31" s="487" t="s">
        <v>642</v>
      </c>
      <c r="E31" s="489">
        <v>11747.45</v>
      </c>
      <c r="F31" s="482">
        <v>19348.150000000001</v>
      </c>
      <c r="G31" s="482">
        <v>17269.97</v>
      </c>
      <c r="H31" s="482">
        <v>73531.210000000006</v>
      </c>
      <c r="I31" s="482">
        <v>42691.49</v>
      </c>
      <c r="J31" s="482">
        <v>80751.539999999994</v>
      </c>
      <c r="L31" s="482">
        <v>59734.21</v>
      </c>
    </row>
    <row r="32" spans="2:12">
      <c r="B32" s="484" t="s">
        <v>691</v>
      </c>
      <c r="C32" s="484" t="s">
        <v>843</v>
      </c>
      <c r="D32" s="485" t="s">
        <v>644</v>
      </c>
      <c r="E32" s="489">
        <v>9687438.2100000009</v>
      </c>
      <c r="F32" s="482">
        <v>5490978.8700000001</v>
      </c>
      <c r="G32" s="482">
        <v>6073384.5499999998</v>
      </c>
      <c r="H32" s="482">
        <v>6814782.4699999997</v>
      </c>
      <c r="I32" s="482">
        <v>21789539.349999998</v>
      </c>
      <c r="J32" s="482">
        <v>15949471.540000001</v>
      </c>
      <c r="L32" s="482">
        <v>3736561.68</v>
      </c>
    </row>
    <row r="33" spans="2:12">
      <c r="B33" s="486" t="s">
        <v>844</v>
      </c>
      <c r="C33" s="486" t="s">
        <v>845</v>
      </c>
      <c r="D33" s="487" t="s">
        <v>646</v>
      </c>
      <c r="E33" s="489">
        <v>6129480.5199999996</v>
      </c>
      <c r="F33" s="482">
        <v>3137294.2</v>
      </c>
      <c r="G33" s="482">
        <v>3230372.16</v>
      </c>
      <c r="H33" s="482">
        <v>3423404.12</v>
      </c>
      <c r="I33" s="482">
        <v>3970695.57</v>
      </c>
      <c r="J33" s="482">
        <v>4445128.2300000004</v>
      </c>
      <c r="L33" s="482">
        <v>3736561.68</v>
      </c>
    </row>
    <row r="34" spans="2:12">
      <c r="B34" s="484" t="s">
        <v>103</v>
      </c>
      <c r="C34" s="484" t="s">
        <v>846</v>
      </c>
      <c r="D34" s="485" t="s">
        <v>648</v>
      </c>
      <c r="E34" s="489">
        <v>3557957.69</v>
      </c>
      <c r="F34" s="482">
        <v>2353684.67</v>
      </c>
      <c r="G34" s="482">
        <v>2843012.39</v>
      </c>
      <c r="H34" s="482">
        <v>3391378.35</v>
      </c>
      <c r="I34" s="482">
        <v>17818843.779999997</v>
      </c>
      <c r="J34" s="482">
        <v>11504343.310000001</v>
      </c>
      <c r="L34" s="482">
        <v>0</v>
      </c>
    </row>
    <row r="35" spans="2:12">
      <c r="B35" s="486" t="s">
        <v>847</v>
      </c>
      <c r="C35" s="486" t="s">
        <v>848</v>
      </c>
      <c r="D35" s="487" t="s">
        <v>650</v>
      </c>
      <c r="E35" s="489">
        <v>33326</v>
      </c>
      <c r="F35" s="482">
        <v>18014</v>
      </c>
      <c r="G35" s="482">
        <v>20631.599999999999</v>
      </c>
      <c r="H35" s="482">
        <v>25745.26</v>
      </c>
      <c r="I35" s="482">
        <v>286709.33</v>
      </c>
      <c r="J35" s="482">
        <v>251595.33</v>
      </c>
      <c r="L35" s="482">
        <v>0</v>
      </c>
    </row>
    <row r="36" spans="2:12">
      <c r="B36" s="486" t="s">
        <v>849</v>
      </c>
      <c r="C36" s="486" t="s">
        <v>850</v>
      </c>
      <c r="D36" s="487" t="s">
        <v>652</v>
      </c>
      <c r="E36" s="489">
        <v>2853569.12</v>
      </c>
      <c r="F36" s="482">
        <v>1068922.94</v>
      </c>
      <c r="G36" s="482">
        <v>2705700</v>
      </c>
      <c r="H36" s="482">
        <v>3172286.97</v>
      </c>
      <c r="I36" s="482">
        <v>17417202.969999999</v>
      </c>
      <c r="J36" s="482">
        <v>10333139</v>
      </c>
      <c r="L36" s="482">
        <v>0</v>
      </c>
    </row>
    <row r="37" spans="2:12">
      <c r="B37" s="486" t="s">
        <v>851</v>
      </c>
      <c r="C37" s="486" t="s">
        <v>852</v>
      </c>
      <c r="D37" s="487" t="s">
        <v>654</v>
      </c>
      <c r="E37" s="489">
        <v>0</v>
      </c>
      <c r="F37" s="482">
        <v>0</v>
      </c>
      <c r="G37" s="482">
        <v>0</v>
      </c>
      <c r="H37" s="482">
        <v>0</v>
      </c>
      <c r="I37" s="482">
        <v>0</v>
      </c>
      <c r="J37" s="482">
        <v>0</v>
      </c>
      <c r="L37" s="482">
        <v>0</v>
      </c>
    </row>
    <row r="38" spans="2:12">
      <c r="B38" s="486" t="s">
        <v>853</v>
      </c>
      <c r="C38" s="486" t="s">
        <v>854</v>
      </c>
      <c r="D38" s="487" t="s">
        <v>656</v>
      </c>
      <c r="E38" s="489">
        <v>671062.56999999995</v>
      </c>
      <c r="F38" s="482">
        <v>1266747.73</v>
      </c>
      <c r="G38" s="482">
        <v>116680.79</v>
      </c>
      <c r="H38" s="482">
        <v>193346.12</v>
      </c>
      <c r="I38" s="482">
        <v>114931.48</v>
      </c>
      <c r="J38" s="482">
        <v>919608.98</v>
      </c>
      <c r="L38" s="482">
        <v>0</v>
      </c>
    </row>
    <row r="39" spans="2:12">
      <c r="B39" s="484" t="s">
        <v>103</v>
      </c>
      <c r="C39" s="484" t="s">
        <v>855</v>
      </c>
      <c r="D39" s="485" t="s">
        <v>658</v>
      </c>
      <c r="E39" s="482">
        <v>0</v>
      </c>
      <c r="F39" s="482">
        <v>0</v>
      </c>
      <c r="G39" s="482">
        <v>0</v>
      </c>
      <c r="H39" s="482">
        <v>0</v>
      </c>
      <c r="I39" s="482">
        <v>0</v>
      </c>
      <c r="J39" s="482">
        <v>0</v>
      </c>
      <c r="L39" s="482">
        <v>0</v>
      </c>
    </row>
    <row r="40" spans="2:12">
      <c r="B40" s="486" t="s">
        <v>856</v>
      </c>
      <c r="C40" s="486" t="s">
        <v>857</v>
      </c>
      <c r="D40" s="487" t="s">
        <v>660</v>
      </c>
      <c r="E40" s="482">
        <v>0</v>
      </c>
      <c r="F40" s="482">
        <v>0</v>
      </c>
      <c r="G40" s="482">
        <v>0</v>
      </c>
      <c r="H40" s="482">
        <v>0</v>
      </c>
      <c r="I40" s="482">
        <v>0</v>
      </c>
      <c r="J40" s="482">
        <v>0</v>
      </c>
      <c r="L40" s="482">
        <v>0</v>
      </c>
    </row>
    <row r="41" spans="2:12">
      <c r="B41" s="486" t="s">
        <v>858</v>
      </c>
      <c r="C41" s="486" t="s">
        <v>859</v>
      </c>
      <c r="D41" s="487" t="s">
        <v>662</v>
      </c>
      <c r="E41" s="482">
        <v>0</v>
      </c>
      <c r="F41" s="482">
        <v>0</v>
      </c>
      <c r="G41" s="482">
        <v>0</v>
      </c>
      <c r="H41" s="482">
        <v>0</v>
      </c>
      <c r="I41" s="482">
        <v>0</v>
      </c>
      <c r="J41" s="482">
        <v>0</v>
      </c>
      <c r="L41" s="482">
        <v>0</v>
      </c>
    </row>
    <row r="42" spans="2:12">
      <c r="B42" s="486" t="s">
        <v>860</v>
      </c>
      <c r="C42" s="486" t="s">
        <v>861</v>
      </c>
      <c r="D42" s="487" t="s">
        <v>664</v>
      </c>
      <c r="E42" s="482">
        <v>0</v>
      </c>
      <c r="F42" s="482">
        <v>0</v>
      </c>
      <c r="G42" s="482">
        <v>0</v>
      </c>
      <c r="H42" s="482">
        <v>0</v>
      </c>
      <c r="I42" s="482">
        <v>0</v>
      </c>
      <c r="J42" s="482">
        <v>0</v>
      </c>
      <c r="L42" s="482">
        <v>0</v>
      </c>
    </row>
    <row r="43" spans="2:12">
      <c r="B43" s="484" t="s">
        <v>693</v>
      </c>
      <c r="C43" s="484" t="s">
        <v>862</v>
      </c>
      <c r="D43" s="485" t="s">
        <v>666</v>
      </c>
      <c r="E43" s="489">
        <v>100498.87</v>
      </c>
      <c r="F43" s="482">
        <v>104119.42</v>
      </c>
      <c r="G43" s="482">
        <v>105916.24</v>
      </c>
      <c r="H43" s="482">
        <v>109929.74</v>
      </c>
      <c r="I43" s="482">
        <v>114814.56</v>
      </c>
      <c r="J43" s="482">
        <v>116020.66</v>
      </c>
      <c r="L43" s="482">
        <v>105445.81</v>
      </c>
    </row>
    <row r="44" spans="2:12">
      <c r="B44" s="486" t="s">
        <v>863</v>
      </c>
      <c r="C44" s="486" t="s">
        <v>864</v>
      </c>
      <c r="D44" s="487" t="s">
        <v>667</v>
      </c>
      <c r="E44" s="482">
        <v>0</v>
      </c>
      <c r="F44" s="482">
        <v>0</v>
      </c>
      <c r="G44" s="482">
        <v>0</v>
      </c>
      <c r="H44" s="482">
        <v>0</v>
      </c>
      <c r="I44" s="482">
        <v>0</v>
      </c>
      <c r="J44" s="482">
        <v>0</v>
      </c>
      <c r="L44" s="482">
        <v>0</v>
      </c>
    </row>
    <row r="45" spans="2:12">
      <c r="B45" s="486" t="s">
        <v>865</v>
      </c>
      <c r="C45" s="486" t="s">
        <v>238</v>
      </c>
      <c r="D45" s="487" t="s">
        <v>668</v>
      </c>
      <c r="E45" s="482">
        <v>0</v>
      </c>
      <c r="F45" s="482">
        <v>0</v>
      </c>
      <c r="G45" s="482">
        <v>0</v>
      </c>
      <c r="H45" s="482">
        <v>0</v>
      </c>
      <c r="I45" s="482">
        <v>26.22</v>
      </c>
      <c r="J45" s="482">
        <v>6.55</v>
      </c>
      <c r="L45" s="482">
        <v>0</v>
      </c>
    </row>
    <row r="46" spans="2:12">
      <c r="B46" s="486" t="s">
        <v>866</v>
      </c>
      <c r="C46" s="486" t="s">
        <v>236</v>
      </c>
      <c r="D46" s="487" t="s">
        <v>669</v>
      </c>
      <c r="E46" s="482">
        <v>31.89</v>
      </c>
      <c r="F46" s="482">
        <v>109.68</v>
      </c>
      <c r="G46" s="482">
        <v>0.17</v>
      </c>
      <c r="H46" s="482">
        <v>50.83</v>
      </c>
      <c r="I46" s="482">
        <v>0.96</v>
      </c>
      <c r="J46" s="482">
        <v>45.44</v>
      </c>
      <c r="L46" s="482">
        <v>3</v>
      </c>
    </row>
    <row r="47" spans="2:12">
      <c r="B47" s="486" t="s">
        <v>867</v>
      </c>
      <c r="C47" s="486" t="s">
        <v>868</v>
      </c>
      <c r="D47" s="487" t="s">
        <v>670</v>
      </c>
      <c r="E47" s="482">
        <v>0</v>
      </c>
      <c r="F47" s="482">
        <v>0</v>
      </c>
      <c r="G47" s="482">
        <v>0</v>
      </c>
      <c r="H47" s="482">
        <v>0</v>
      </c>
      <c r="I47" s="482">
        <v>0</v>
      </c>
      <c r="J47" s="482">
        <v>0</v>
      </c>
      <c r="L47" s="482">
        <v>0</v>
      </c>
    </row>
    <row r="48" spans="2:12">
      <c r="B48" s="486" t="s">
        <v>869</v>
      </c>
      <c r="C48" s="486" t="s">
        <v>870</v>
      </c>
      <c r="D48" s="487" t="s">
        <v>671</v>
      </c>
      <c r="E48" s="482">
        <v>0</v>
      </c>
      <c r="F48" s="482">
        <v>0</v>
      </c>
      <c r="G48" s="482">
        <v>0</v>
      </c>
      <c r="H48" s="482">
        <v>0</v>
      </c>
      <c r="I48" s="482">
        <v>0</v>
      </c>
      <c r="J48" s="482">
        <v>0</v>
      </c>
      <c r="L48" s="482">
        <v>0</v>
      </c>
    </row>
    <row r="49" spans="2:12">
      <c r="B49" s="486" t="s">
        <v>871</v>
      </c>
      <c r="C49" s="486" t="s">
        <v>872</v>
      </c>
      <c r="D49" s="487" t="s">
        <v>672</v>
      </c>
      <c r="E49" s="482">
        <v>0</v>
      </c>
      <c r="F49" s="482">
        <v>0</v>
      </c>
      <c r="G49" s="482">
        <v>0</v>
      </c>
      <c r="H49" s="482">
        <v>0</v>
      </c>
      <c r="I49" s="482">
        <v>0</v>
      </c>
      <c r="J49" s="482">
        <v>0</v>
      </c>
      <c r="L49" s="482">
        <v>0</v>
      </c>
    </row>
    <row r="50" spans="2:12">
      <c r="B50" s="486" t="s">
        <v>873</v>
      </c>
      <c r="C50" s="486" t="s">
        <v>245</v>
      </c>
      <c r="D50" s="487" t="s">
        <v>673</v>
      </c>
      <c r="E50" s="482">
        <v>100466.98</v>
      </c>
      <c r="F50" s="482">
        <v>104009.74</v>
      </c>
      <c r="G50" s="482">
        <v>105916.07</v>
      </c>
      <c r="H50" s="482">
        <v>109878.91</v>
      </c>
      <c r="I50" s="482">
        <v>114787.38</v>
      </c>
      <c r="J50" s="482">
        <v>115968.67</v>
      </c>
      <c r="L50" s="482">
        <v>105442.81</v>
      </c>
    </row>
    <row r="51" spans="2:12">
      <c r="B51" s="486" t="s">
        <v>874</v>
      </c>
      <c r="C51" s="486" t="s">
        <v>875</v>
      </c>
      <c r="D51" s="487" t="s">
        <v>676</v>
      </c>
      <c r="E51" s="482">
        <v>0</v>
      </c>
      <c r="F51" s="482">
        <v>0</v>
      </c>
      <c r="G51" s="482">
        <v>0</v>
      </c>
      <c r="H51" s="482">
        <v>0</v>
      </c>
      <c r="I51" s="482">
        <v>0</v>
      </c>
      <c r="J51" s="482">
        <v>0</v>
      </c>
      <c r="L51" s="482">
        <v>0</v>
      </c>
    </row>
    <row r="52" spans="2:12">
      <c r="B52" s="484" t="s">
        <v>695</v>
      </c>
      <c r="C52" s="484" t="s">
        <v>876</v>
      </c>
      <c r="D52" s="485" t="s">
        <v>679</v>
      </c>
      <c r="E52" s="482">
        <v>0</v>
      </c>
      <c r="F52" s="482">
        <v>0</v>
      </c>
      <c r="G52" s="482">
        <v>0</v>
      </c>
      <c r="H52" s="482">
        <v>0</v>
      </c>
      <c r="I52" s="482">
        <v>0</v>
      </c>
      <c r="J52" s="482">
        <v>0</v>
      </c>
      <c r="L52" s="482">
        <v>0</v>
      </c>
    </row>
    <row r="53" spans="2:12">
      <c r="B53" s="486" t="s">
        <v>877</v>
      </c>
      <c r="C53" s="486" t="s">
        <v>878</v>
      </c>
      <c r="D53" s="487" t="s">
        <v>681</v>
      </c>
      <c r="E53" s="482">
        <v>0</v>
      </c>
      <c r="F53" s="482">
        <v>0</v>
      </c>
      <c r="G53" s="482">
        <v>0</v>
      </c>
      <c r="H53" s="482">
        <v>0</v>
      </c>
      <c r="I53" s="482">
        <v>0</v>
      </c>
      <c r="J53" s="482">
        <v>0</v>
      </c>
      <c r="L53" s="482">
        <v>0</v>
      </c>
    </row>
    <row r="54" spans="2:12">
      <c r="B54" s="486" t="s">
        <v>879</v>
      </c>
      <c r="C54" s="486" t="s">
        <v>880</v>
      </c>
      <c r="D54" s="487" t="s">
        <v>683</v>
      </c>
      <c r="E54" s="482">
        <v>0</v>
      </c>
      <c r="F54" s="482">
        <v>0</v>
      </c>
      <c r="G54" s="482">
        <v>0</v>
      </c>
      <c r="H54" s="482">
        <v>0</v>
      </c>
      <c r="I54" s="482">
        <v>0</v>
      </c>
      <c r="J54" s="482">
        <v>0</v>
      </c>
      <c r="L54" s="482">
        <v>0</v>
      </c>
    </row>
    <row r="55" spans="2:12">
      <c r="B55" s="486" t="s">
        <v>881</v>
      </c>
      <c r="C55" s="486" t="s">
        <v>882</v>
      </c>
      <c r="D55" s="487" t="s">
        <v>685</v>
      </c>
      <c r="E55" s="482">
        <v>0</v>
      </c>
      <c r="F55" s="482">
        <v>0</v>
      </c>
      <c r="G55" s="482">
        <v>0</v>
      </c>
      <c r="H55" s="482">
        <v>0</v>
      </c>
      <c r="I55" s="482">
        <v>0</v>
      </c>
      <c r="J55" s="482">
        <v>0</v>
      </c>
      <c r="L55" s="482">
        <v>0</v>
      </c>
    </row>
    <row r="56" spans="2:12">
      <c r="B56" s="486" t="s">
        <v>883</v>
      </c>
      <c r="C56" s="486" t="s">
        <v>884</v>
      </c>
      <c r="D56" s="487" t="s">
        <v>687</v>
      </c>
      <c r="E56" s="482">
        <v>0</v>
      </c>
      <c r="F56" s="482">
        <v>0</v>
      </c>
      <c r="G56" s="482">
        <v>0</v>
      </c>
      <c r="H56" s="482">
        <v>0</v>
      </c>
      <c r="I56" s="482">
        <v>0</v>
      </c>
      <c r="J56" s="482">
        <v>0</v>
      </c>
      <c r="L56" s="482">
        <v>0</v>
      </c>
    </row>
    <row r="57" spans="2:12">
      <c r="B57" s="484" t="s">
        <v>697</v>
      </c>
      <c r="C57" s="484" t="s">
        <v>885</v>
      </c>
      <c r="D57" s="485" t="s">
        <v>689</v>
      </c>
      <c r="E57" s="482">
        <v>0</v>
      </c>
      <c r="F57" s="482">
        <v>0</v>
      </c>
      <c r="G57" s="482">
        <v>0</v>
      </c>
      <c r="H57" s="482">
        <v>0</v>
      </c>
      <c r="I57" s="482">
        <v>371449.38</v>
      </c>
      <c r="J57" s="482">
        <v>531205.93999999994</v>
      </c>
      <c r="L57" s="482">
        <v>326276.59999999998</v>
      </c>
    </row>
    <row r="58" spans="2:12">
      <c r="B58" s="486" t="s">
        <v>886</v>
      </c>
      <c r="C58" s="486" t="s">
        <v>887</v>
      </c>
      <c r="D58" s="487" t="s">
        <v>691</v>
      </c>
      <c r="E58" s="482">
        <v>0</v>
      </c>
      <c r="F58" s="482">
        <v>0</v>
      </c>
      <c r="G58" s="482">
        <v>0</v>
      </c>
      <c r="H58" s="482">
        <v>0</v>
      </c>
      <c r="I58" s="482">
        <v>0</v>
      </c>
      <c r="J58" s="482">
        <v>0</v>
      </c>
      <c r="L58" s="482">
        <v>0</v>
      </c>
    </row>
    <row r="59" spans="2:12">
      <c r="B59" s="486" t="s">
        <v>888</v>
      </c>
      <c r="C59" s="486" t="s">
        <v>889</v>
      </c>
      <c r="D59" s="487" t="s">
        <v>693</v>
      </c>
      <c r="E59" s="482">
        <v>0</v>
      </c>
      <c r="F59" s="482">
        <v>0</v>
      </c>
      <c r="G59" s="482">
        <v>0</v>
      </c>
      <c r="H59" s="482">
        <v>0</v>
      </c>
      <c r="I59" s="482">
        <v>0</v>
      </c>
      <c r="J59" s="482">
        <v>0</v>
      </c>
      <c r="L59" s="482">
        <v>0</v>
      </c>
    </row>
    <row r="60" spans="2:12">
      <c r="B60" s="486" t="s">
        <v>890</v>
      </c>
      <c r="C60" s="486" t="s">
        <v>891</v>
      </c>
      <c r="D60" s="487" t="s">
        <v>695</v>
      </c>
      <c r="E60" s="482">
        <v>0</v>
      </c>
      <c r="F60" s="482">
        <v>0</v>
      </c>
      <c r="G60" s="482">
        <v>0</v>
      </c>
      <c r="H60" s="482">
        <v>0</v>
      </c>
      <c r="I60" s="482">
        <v>0</v>
      </c>
      <c r="J60" s="482">
        <v>0</v>
      </c>
      <c r="L60" s="482">
        <v>0</v>
      </c>
    </row>
    <row r="61" spans="2:12">
      <c r="B61" s="486" t="s">
        <v>892</v>
      </c>
      <c r="C61" s="486" t="s">
        <v>893</v>
      </c>
      <c r="D61" s="487" t="s">
        <v>697</v>
      </c>
      <c r="E61" s="482">
        <v>0</v>
      </c>
      <c r="F61" s="482">
        <v>0</v>
      </c>
      <c r="G61" s="482">
        <v>0</v>
      </c>
      <c r="H61" s="482">
        <v>0</v>
      </c>
      <c r="I61" s="482">
        <v>0</v>
      </c>
      <c r="J61" s="482">
        <v>0</v>
      </c>
      <c r="L61" s="482">
        <v>0</v>
      </c>
    </row>
    <row r="62" spans="2:12">
      <c r="B62" s="486" t="s">
        <v>894</v>
      </c>
      <c r="C62" s="486" t="s">
        <v>895</v>
      </c>
      <c r="D62" s="487" t="s">
        <v>699</v>
      </c>
      <c r="E62" s="482">
        <v>0</v>
      </c>
      <c r="F62" s="482">
        <v>0</v>
      </c>
      <c r="G62" s="482">
        <v>0</v>
      </c>
      <c r="H62" s="482">
        <v>0</v>
      </c>
      <c r="I62" s="482">
        <v>0</v>
      </c>
      <c r="J62" s="482">
        <v>0</v>
      </c>
      <c r="L62" s="482">
        <v>0</v>
      </c>
    </row>
    <row r="63" spans="2:12">
      <c r="B63" s="486" t="s">
        <v>896</v>
      </c>
      <c r="C63" s="486" t="s">
        <v>897</v>
      </c>
      <c r="D63" s="487" t="s">
        <v>701</v>
      </c>
      <c r="E63" s="482">
        <v>0</v>
      </c>
      <c r="F63" s="482">
        <v>0</v>
      </c>
      <c r="G63" s="482">
        <v>0</v>
      </c>
      <c r="H63" s="482">
        <v>0</v>
      </c>
      <c r="I63" s="482">
        <v>0</v>
      </c>
      <c r="J63" s="482">
        <v>0</v>
      </c>
      <c r="L63" s="482">
        <v>0</v>
      </c>
    </row>
    <row r="64" spans="2:12">
      <c r="B64" s="486" t="s">
        <v>898</v>
      </c>
      <c r="C64" s="486" t="s">
        <v>899</v>
      </c>
      <c r="D64" s="487" t="s">
        <v>703</v>
      </c>
      <c r="E64" s="482">
        <v>0</v>
      </c>
      <c r="F64" s="482">
        <v>0</v>
      </c>
      <c r="G64" s="482">
        <v>0</v>
      </c>
      <c r="H64" s="482">
        <v>0</v>
      </c>
      <c r="I64" s="482">
        <v>371449.38</v>
      </c>
      <c r="J64" s="482">
        <v>531205.93999999994</v>
      </c>
      <c r="L64" s="482">
        <v>326276.59999999998</v>
      </c>
    </row>
    <row r="65" spans="2:12">
      <c r="B65" s="486" t="s">
        <v>900</v>
      </c>
      <c r="C65" s="486" t="s">
        <v>901</v>
      </c>
      <c r="D65" s="487" t="s">
        <v>704</v>
      </c>
      <c r="E65" s="482">
        <v>0</v>
      </c>
      <c r="F65" s="482">
        <v>0</v>
      </c>
      <c r="G65" s="482">
        <v>0</v>
      </c>
      <c r="H65" s="482">
        <v>0</v>
      </c>
      <c r="I65" s="482">
        <v>0</v>
      </c>
      <c r="J65" s="482">
        <v>0</v>
      </c>
      <c r="L65" s="482">
        <v>0</v>
      </c>
    </row>
    <row r="66" spans="2:12">
      <c r="B66" s="486" t="s">
        <v>902</v>
      </c>
      <c r="C66" s="486" t="s">
        <v>903</v>
      </c>
      <c r="D66" s="487" t="s">
        <v>705</v>
      </c>
      <c r="E66" s="482">
        <v>0</v>
      </c>
      <c r="F66" s="482">
        <v>0</v>
      </c>
      <c r="G66" s="482">
        <v>0</v>
      </c>
      <c r="H66" s="482">
        <v>0</v>
      </c>
      <c r="I66" s="482">
        <v>0</v>
      </c>
      <c r="J66" s="482">
        <v>0</v>
      </c>
      <c r="L66" s="482">
        <v>0</v>
      </c>
    </row>
    <row r="67" spans="2:12">
      <c r="B67" s="484" t="s">
        <v>103</v>
      </c>
      <c r="C67" s="484" t="s">
        <v>904</v>
      </c>
      <c r="D67" s="485" t="s">
        <v>707</v>
      </c>
      <c r="E67" s="482">
        <v>118126438.61</v>
      </c>
      <c r="F67" s="482">
        <v>116402118.23</v>
      </c>
      <c r="G67" s="482">
        <v>123777083.66</v>
      </c>
      <c r="H67" s="482">
        <v>138532753.96000001</v>
      </c>
      <c r="I67" s="482">
        <v>178685234.05000001</v>
      </c>
      <c r="J67" s="482">
        <v>199926916.79000002</v>
      </c>
      <c r="L67" s="482">
        <v>150311470.42000002</v>
      </c>
    </row>
    <row r="68" spans="2:12">
      <c r="B68" s="63"/>
      <c r="C68" s="63"/>
      <c r="D68" s="63"/>
    </row>
    <row r="69" spans="2:12">
      <c r="B69" s="477" t="s">
        <v>701</v>
      </c>
      <c r="C69" s="477" t="s">
        <v>906</v>
      </c>
      <c r="D69" s="478" t="s">
        <v>708</v>
      </c>
      <c r="E69" s="482">
        <v>91969966.840000004</v>
      </c>
      <c r="F69" s="482">
        <v>91537466.319999993</v>
      </c>
      <c r="G69" s="482">
        <v>96758427.370000005</v>
      </c>
      <c r="H69" s="482">
        <v>106572032.08</v>
      </c>
      <c r="I69" s="482">
        <v>113754441.91</v>
      </c>
      <c r="J69" s="482">
        <v>130654218.07000001</v>
      </c>
      <c r="L69" s="482">
        <v>108426688.59</v>
      </c>
    </row>
    <row r="70" spans="2:12">
      <c r="B70" s="479" t="s">
        <v>907</v>
      </c>
      <c r="C70" s="479" t="s">
        <v>908</v>
      </c>
      <c r="D70" s="480" t="s">
        <v>710</v>
      </c>
      <c r="E70" s="482">
        <v>0</v>
      </c>
      <c r="F70" s="482">
        <v>0</v>
      </c>
      <c r="G70" s="482">
        <v>0</v>
      </c>
      <c r="H70" s="482">
        <v>0</v>
      </c>
      <c r="I70" s="482">
        <v>0</v>
      </c>
      <c r="J70" s="482">
        <v>0</v>
      </c>
      <c r="L70" s="482">
        <v>0</v>
      </c>
    </row>
    <row r="71" spans="2:12">
      <c r="B71" s="479" t="s">
        <v>909</v>
      </c>
      <c r="C71" s="479" t="s">
        <v>237</v>
      </c>
      <c r="D71" s="480" t="s">
        <v>712</v>
      </c>
      <c r="E71" s="482">
        <v>91969966.840000004</v>
      </c>
      <c r="F71" s="482">
        <v>91537466.319999993</v>
      </c>
      <c r="G71" s="482">
        <v>96758427.370000005</v>
      </c>
      <c r="H71" s="482">
        <v>106384314.98</v>
      </c>
      <c r="I71" s="482">
        <v>111345317.31999999</v>
      </c>
      <c r="J71" s="482">
        <v>127492099.15000001</v>
      </c>
      <c r="L71" s="482">
        <v>105979392.93000001</v>
      </c>
    </row>
    <row r="72" spans="2:12">
      <c r="B72" s="479" t="s">
        <v>910</v>
      </c>
      <c r="C72" s="479" t="s">
        <v>911</v>
      </c>
      <c r="D72" s="480" t="s">
        <v>714</v>
      </c>
      <c r="E72" s="482">
        <v>0</v>
      </c>
      <c r="F72" s="482">
        <v>0</v>
      </c>
      <c r="G72" s="482">
        <v>0</v>
      </c>
      <c r="H72" s="482">
        <v>187717.1</v>
      </c>
      <c r="I72" s="482">
        <v>2409124.59</v>
      </c>
      <c r="J72" s="482">
        <v>3162118.92</v>
      </c>
      <c r="L72" s="482">
        <v>2447295.66</v>
      </c>
    </row>
    <row r="73" spans="2:12">
      <c r="B73" s="477" t="s">
        <v>703</v>
      </c>
      <c r="C73" s="477" t="s">
        <v>912</v>
      </c>
      <c r="D73" s="478" t="s">
        <v>716</v>
      </c>
      <c r="E73" s="482">
        <v>0</v>
      </c>
      <c r="F73" s="482">
        <v>0</v>
      </c>
      <c r="G73" s="482">
        <v>0</v>
      </c>
      <c r="H73" s="482">
        <v>0</v>
      </c>
      <c r="I73" s="482">
        <v>0</v>
      </c>
      <c r="J73" s="482">
        <v>0</v>
      </c>
      <c r="L73" s="482">
        <v>0</v>
      </c>
    </row>
    <row r="74" spans="2:12">
      <c r="B74" s="479" t="s">
        <v>913</v>
      </c>
      <c r="C74" s="479" t="s">
        <v>914</v>
      </c>
      <c r="D74" s="480" t="s">
        <v>717</v>
      </c>
      <c r="E74" s="482">
        <v>0</v>
      </c>
      <c r="F74" s="482">
        <v>0</v>
      </c>
      <c r="G74" s="482">
        <v>0</v>
      </c>
      <c r="H74" s="482">
        <v>0</v>
      </c>
      <c r="I74" s="482">
        <v>0</v>
      </c>
      <c r="J74" s="482">
        <v>0</v>
      </c>
      <c r="L74" s="482">
        <v>0</v>
      </c>
    </row>
    <row r="75" spans="2:12">
      <c r="B75" s="479" t="s">
        <v>915</v>
      </c>
      <c r="C75" s="479" t="s">
        <v>916</v>
      </c>
      <c r="D75" s="480" t="s">
        <v>719</v>
      </c>
      <c r="E75" s="482">
        <v>0</v>
      </c>
      <c r="F75" s="482">
        <v>0</v>
      </c>
      <c r="G75" s="482">
        <v>0</v>
      </c>
      <c r="H75" s="482">
        <v>0</v>
      </c>
      <c r="I75" s="482">
        <v>0</v>
      </c>
      <c r="J75" s="482">
        <v>0</v>
      </c>
      <c r="L75" s="482">
        <v>0</v>
      </c>
    </row>
    <row r="76" spans="2:12">
      <c r="B76" s="479" t="s">
        <v>917</v>
      </c>
      <c r="C76" s="479" t="s">
        <v>918</v>
      </c>
      <c r="D76" s="480" t="s">
        <v>721</v>
      </c>
      <c r="E76" s="482">
        <v>0</v>
      </c>
      <c r="F76" s="482">
        <v>0</v>
      </c>
      <c r="G76" s="482">
        <v>0</v>
      </c>
      <c r="H76" s="482">
        <v>0</v>
      </c>
      <c r="I76" s="482">
        <v>0</v>
      </c>
      <c r="J76" s="482">
        <v>0</v>
      </c>
      <c r="L76" s="482">
        <v>0</v>
      </c>
    </row>
    <row r="77" spans="2:12">
      <c r="B77" s="479" t="s">
        <v>919</v>
      </c>
      <c r="C77" s="479" t="s">
        <v>920</v>
      </c>
      <c r="D77" s="480" t="s">
        <v>723</v>
      </c>
      <c r="E77" s="482">
        <v>0</v>
      </c>
      <c r="F77" s="482">
        <v>0</v>
      </c>
      <c r="G77" s="482">
        <v>0</v>
      </c>
      <c r="H77" s="482">
        <v>0</v>
      </c>
      <c r="I77" s="482">
        <v>0</v>
      </c>
      <c r="J77" s="482">
        <v>0</v>
      </c>
      <c r="L77" s="482">
        <v>0</v>
      </c>
    </row>
    <row r="78" spans="2:12">
      <c r="B78" s="477" t="s">
        <v>704</v>
      </c>
      <c r="C78" s="477" t="s">
        <v>921</v>
      </c>
      <c r="D78" s="478" t="s">
        <v>725</v>
      </c>
      <c r="E78" s="482">
        <v>43959</v>
      </c>
      <c r="F78" s="482">
        <v>43508.2</v>
      </c>
      <c r="G78" s="482">
        <v>43839.8</v>
      </c>
      <c r="H78" s="482">
        <v>43709.8</v>
      </c>
      <c r="I78" s="482">
        <v>32349.200000000001</v>
      </c>
      <c r="J78" s="482">
        <v>46010.04</v>
      </c>
      <c r="L78" s="482">
        <v>38084.44</v>
      </c>
    </row>
    <row r="79" spans="2:12">
      <c r="B79" s="479" t="s">
        <v>922</v>
      </c>
      <c r="C79" s="479" t="s">
        <v>923</v>
      </c>
      <c r="D79" s="480" t="s">
        <v>727</v>
      </c>
      <c r="E79" s="482">
        <v>0</v>
      </c>
      <c r="F79" s="482">
        <v>0</v>
      </c>
      <c r="G79" s="482">
        <v>0</v>
      </c>
      <c r="H79" s="482">
        <v>0</v>
      </c>
      <c r="I79" s="482">
        <v>0</v>
      </c>
      <c r="J79" s="482">
        <v>39.64</v>
      </c>
      <c r="L79" s="482">
        <v>31.64</v>
      </c>
    </row>
    <row r="80" spans="2:12">
      <c r="B80" s="479" t="s">
        <v>924</v>
      </c>
      <c r="C80" s="479" t="s">
        <v>925</v>
      </c>
      <c r="D80" s="480" t="s">
        <v>728</v>
      </c>
      <c r="E80" s="482">
        <v>43959</v>
      </c>
      <c r="F80" s="482">
        <v>43508.2</v>
      </c>
      <c r="G80" s="482">
        <v>43839.8</v>
      </c>
      <c r="H80" s="482">
        <v>43709.8</v>
      </c>
      <c r="I80" s="482">
        <v>32349.200000000001</v>
      </c>
      <c r="J80" s="482">
        <v>45970.400000000001</v>
      </c>
      <c r="L80" s="482">
        <v>38052.800000000003</v>
      </c>
    </row>
    <row r="81" spans="2:12">
      <c r="B81" s="479" t="s">
        <v>926</v>
      </c>
      <c r="C81" s="479" t="s">
        <v>927</v>
      </c>
      <c r="D81" s="480" t="s">
        <v>730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L81" s="482">
        <v>0</v>
      </c>
    </row>
    <row r="82" spans="2:12">
      <c r="B82" s="479" t="s">
        <v>928</v>
      </c>
      <c r="C82" s="479" t="s">
        <v>929</v>
      </c>
      <c r="D82" s="480" t="s">
        <v>731</v>
      </c>
      <c r="E82" s="482">
        <v>0</v>
      </c>
      <c r="F82" s="482">
        <v>0</v>
      </c>
      <c r="G82" s="482">
        <v>0</v>
      </c>
      <c r="H82" s="482">
        <v>0</v>
      </c>
      <c r="I82" s="482">
        <v>0</v>
      </c>
      <c r="J82" s="482">
        <v>0</v>
      </c>
      <c r="L82" s="482">
        <v>0</v>
      </c>
    </row>
    <row r="83" spans="2:12">
      <c r="B83" s="477" t="s">
        <v>705</v>
      </c>
      <c r="C83" s="477" t="s">
        <v>930</v>
      </c>
      <c r="D83" s="478" t="s">
        <v>732</v>
      </c>
      <c r="E83" s="482">
        <v>0</v>
      </c>
      <c r="F83" s="482">
        <v>0</v>
      </c>
      <c r="G83" s="482">
        <v>0</v>
      </c>
      <c r="H83" s="482">
        <v>0</v>
      </c>
      <c r="I83" s="482">
        <v>0</v>
      </c>
      <c r="J83" s="482">
        <v>0</v>
      </c>
      <c r="L83" s="482">
        <v>0</v>
      </c>
    </row>
    <row r="84" spans="2:12">
      <c r="B84" s="479" t="s">
        <v>931</v>
      </c>
      <c r="C84" s="479" t="s">
        <v>932</v>
      </c>
      <c r="D84" s="480" t="s">
        <v>733</v>
      </c>
      <c r="E84" s="482">
        <v>0</v>
      </c>
      <c r="F84" s="482">
        <v>0</v>
      </c>
      <c r="G84" s="482">
        <v>0</v>
      </c>
      <c r="H84" s="482">
        <v>0</v>
      </c>
      <c r="I84" s="482">
        <v>0</v>
      </c>
      <c r="J84" s="482">
        <v>0</v>
      </c>
      <c r="L84" s="482">
        <v>0</v>
      </c>
    </row>
    <row r="85" spans="2:12">
      <c r="B85" s="479" t="s">
        <v>933</v>
      </c>
      <c r="C85" s="479" t="s">
        <v>934</v>
      </c>
      <c r="D85" s="480" t="s">
        <v>734</v>
      </c>
      <c r="E85" s="482">
        <v>0</v>
      </c>
      <c r="F85" s="482">
        <v>0</v>
      </c>
      <c r="G85" s="482">
        <v>0</v>
      </c>
      <c r="H85" s="482">
        <v>0</v>
      </c>
      <c r="I85" s="482">
        <v>0</v>
      </c>
      <c r="J85" s="482">
        <v>0</v>
      </c>
      <c r="L85" s="482">
        <v>0</v>
      </c>
    </row>
    <row r="86" spans="2:12">
      <c r="B86" s="479" t="s">
        <v>935</v>
      </c>
      <c r="C86" s="479" t="s">
        <v>936</v>
      </c>
      <c r="D86" s="480" t="s">
        <v>735</v>
      </c>
      <c r="E86" s="482">
        <v>0</v>
      </c>
      <c r="F86" s="482">
        <v>0</v>
      </c>
      <c r="G86" s="482">
        <v>0</v>
      </c>
      <c r="H86" s="482">
        <v>0</v>
      </c>
      <c r="I86" s="482">
        <v>0</v>
      </c>
      <c r="J86" s="482">
        <v>0</v>
      </c>
      <c r="L86" s="482">
        <v>0</v>
      </c>
    </row>
    <row r="87" spans="2:12">
      <c r="B87" s="477" t="s">
        <v>707</v>
      </c>
      <c r="C87" s="477" t="s">
        <v>937</v>
      </c>
      <c r="D87" s="478" t="s">
        <v>737</v>
      </c>
      <c r="E87" s="482">
        <v>332499.89</v>
      </c>
      <c r="F87" s="482">
        <v>2318155.4</v>
      </c>
      <c r="G87" s="482">
        <v>26047703.530000001</v>
      </c>
      <c r="H87" s="482">
        <v>25446853.629999999</v>
      </c>
      <c r="I87" s="482">
        <v>30987820.710000001</v>
      </c>
      <c r="J87" s="482">
        <v>2113476.08</v>
      </c>
      <c r="L87" s="482">
        <v>446709.02999999997</v>
      </c>
    </row>
    <row r="88" spans="2:12">
      <c r="B88" s="479" t="s">
        <v>938</v>
      </c>
      <c r="C88" s="479" t="s">
        <v>939</v>
      </c>
      <c r="D88" s="480" t="s">
        <v>739</v>
      </c>
      <c r="E88" s="482">
        <v>194833.33</v>
      </c>
      <c r="F88" s="482">
        <v>2993.8</v>
      </c>
      <c r="G88" s="482">
        <v>0</v>
      </c>
      <c r="H88" s="482">
        <v>289400</v>
      </c>
      <c r="I88" s="482">
        <v>4621.63</v>
      </c>
      <c r="J88" s="482">
        <v>0</v>
      </c>
      <c r="L88" s="482">
        <v>0</v>
      </c>
    </row>
    <row r="89" spans="2:12">
      <c r="B89" s="479" t="s">
        <v>940</v>
      </c>
      <c r="C89" s="479" t="s">
        <v>941</v>
      </c>
      <c r="D89" s="480" t="s">
        <v>741</v>
      </c>
      <c r="E89" s="482">
        <v>0</v>
      </c>
      <c r="F89" s="482">
        <v>0</v>
      </c>
      <c r="G89" s="482">
        <v>0</v>
      </c>
      <c r="H89" s="482">
        <v>0</v>
      </c>
      <c r="I89" s="482">
        <v>0</v>
      </c>
      <c r="J89" s="482">
        <v>0</v>
      </c>
      <c r="L89" s="482">
        <v>0</v>
      </c>
    </row>
    <row r="90" spans="2:12">
      <c r="B90" s="479" t="s">
        <v>942</v>
      </c>
      <c r="C90" s="479" t="s">
        <v>835</v>
      </c>
      <c r="D90" s="480" t="s">
        <v>743</v>
      </c>
      <c r="E90" s="482">
        <v>7359.83</v>
      </c>
      <c r="F90" s="482">
        <v>0</v>
      </c>
      <c r="G90" s="482">
        <v>833.81</v>
      </c>
      <c r="H90" s="482">
        <v>5842.39</v>
      </c>
      <c r="I90" s="482">
        <v>40407.65</v>
      </c>
      <c r="J90" s="482">
        <v>12117.42</v>
      </c>
      <c r="L90" s="482">
        <v>0</v>
      </c>
    </row>
    <row r="91" spans="2:12">
      <c r="B91" s="479" t="s">
        <v>943</v>
      </c>
      <c r="C91" s="479" t="s">
        <v>837</v>
      </c>
      <c r="D91" s="480" t="s">
        <v>745</v>
      </c>
      <c r="E91" s="482">
        <v>0</v>
      </c>
      <c r="F91" s="482">
        <v>56969.09</v>
      </c>
      <c r="G91" s="482">
        <v>168.3</v>
      </c>
      <c r="H91" s="482">
        <v>219.5</v>
      </c>
      <c r="I91" s="482">
        <v>0</v>
      </c>
      <c r="J91" s="482">
        <v>0</v>
      </c>
      <c r="L91" s="482">
        <v>0</v>
      </c>
    </row>
    <row r="92" spans="2:12">
      <c r="B92" s="479" t="s">
        <v>944</v>
      </c>
      <c r="C92" s="479" t="s">
        <v>945</v>
      </c>
      <c r="D92" s="480" t="s">
        <v>747</v>
      </c>
      <c r="E92" s="482">
        <v>0</v>
      </c>
      <c r="F92" s="482">
        <v>0</v>
      </c>
      <c r="G92" s="482">
        <v>0</v>
      </c>
      <c r="H92" s="482">
        <v>0</v>
      </c>
      <c r="I92" s="482">
        <v>0</v>
      </c>
      <c r="J92" s="482">
        <v>0</v>
      </c>
      <c r="L92" s="482">
        <v>0</v>
      </c>
    </row>
    <row r="93" spans="2:12">
      <c r="B93" s="479" t="s">
        <v>946</v>
      </c>
      <c r="C93" s="479" t="s">
        <v>947</v>
      </c>
      <c r="D93" s="480" t="s">
        <v>749</v>
      </c>
      <c r="E93" s="482">
        <v>130306.73</v>
      </c>
      <c r="F93" s="482">
        <v>2258192.5099999998</v>
      </c>
      <c r="G93" s="482">
        <v>26046701.420000002</v>
      </c>
      <c r="H93" s="482">
        <v>25151391.739999998</v>
      </c>
      <c r="I93" s="482">
        <v>30942791.43</v>
      </c>
      <c r="J93" s="482">
        <v>2101358.66</v>
      </c>
      <c r="L93" s="482">
        <v>446709.02999999997</v>
      </c>
    </row>
    <row r="94" spans="2:12">
      <c r="B94" s="477" t="s">
        <v>708</v>
      </c>
      <c r="C94" s="477" t="s">
        <v>948</v>
      </c>
      <c r="D94" s="478" t="s">
        <v>751</v>
      </c>
      <c r="E94" s="482">
        <v>4368225.57</v>
      </c>
      <c r="F94" s="482">
        <v>3135530.72</v>
      </c>
      <c r="G94" s="482">
        <v>1304184.8500000001</v>
      </c>
      <c r="H94" s="482">
        <v>2788397.42</v>
      </c>
      <c r="I94" s="482">
        <v>842174.89999999991</v>
      </c>
      <c r="J94" s="482">
        <v>1248333.77</v>
      </c>
      <c r="L94" s="482">
        <v>599532.47</v>
      </c>
    </row>
    <row r="95" spans="2:12">
      <c r="B95" s="477" t="s">
        <v>103</v>
      </c>
      <c r="C95" s="477" t="s">
        <v>949</v>
      </c>
      <c r="D95" s="478" t="s">
        <v>753</v>
      </c>
      <c r="E95" s="482">
        <v>4368225.57</v>
      </c>
      <c r="F95" s="482">
        <v>3135530.72</v>
      </c>
      <c r="G95" s="482">
        <v>1304184.8500000001</v>
      </c>
      <c r="H95" s="482">
        <v>2788397.42</v>
      </c>
      <c r="I95" s="482">
        <v>842174.89999999991</v>
      </c>
      <c r="J95" s="482">
        <v>1248333.77</v>
      </c>
      <c r="L95" s="482">
        <v>599532.47</v>
      </c>
    </row>
    <row r="96" spans="2:12">
      <c r="B96" s="479" t="s">
        <v>950</v>
      </c>
      <c r="C96" s="479" t="s">
        <v>951</v>
      </c>
      <c r="D96" s="480" t="s">
        <v>755</v>
      </c>
      <c r="E96" s="482">
        <v>30468</v>
      </c>
      <c r="F96" s="482">
        <v>33326</v>
      </c>
      <c r="G96" s="482">
        <v>18014</v>
      </c>
      <c r="H96" s="482">
        <v>20631.599999999999</v>
      </c>
      <c r="I96" s="482">
        <v>25745.26</v>
      </c>
      <c r="J96" s="482">
        <v>286709.33</v>
      </c>
      <c r="L96" s="482">
        <v>0</v>
      </c>
    </row>
    <row r="97" spans="2:12">
      <c r="B97" s="479" t="s">
        <v>952</v>
      </c>
      <c r="C97" s="479" t="s">
        <v>953</v>
      </c>
      <c r="D97" s="480" t="s">
        <v>757</v>
      </c>
      <c r="E97" s="482">
        <v>4337757.57</v>
      </c>
      <c r="F97" s="482">
        <v>3100369.12</v>
      </c>
      <c r="G97" s="482">
        <v>1008922.94</v>
      </c>
      <c r="H97" s="482">
        <v>2765700</v>
      </c>
      <c r="I97" s="482">
        <v>771577.7</v>
      </c>
      <c r="J97" s="482">
        <v>961624.44</v>
      </c>
      <c r="L97" s="482">
        <v>599532.47</v>
      </c>
    </row>
    <row r="98" spans="2:12">
      <c r="B98" s="479" t="s">
        <v>954</v>
      </c>
      <c r="C98" s="479" t="s">
        <v>955</v>
      </c>
      <c r="D98" s="480" t="s">
        <v>759</v>
      </c>
      <c r="E98" s="482">
        <v>0</v>
      </c>
      <c r="F98" s="482">
        <v>0</v>
      </c>
      <c r="G98" s="482">
        <v>0</v>
      </c>
      <c r="H98" s="482">
        <v>0</v>
      </c>
      <c r="I98" s="482">
        <v>0</v>
      </c>
      <c r="J98" s="482">
        <v>0</v>
      </c>
      <c r="L98" s="482">
        <v>0</v>
      </c>
    </row>
    <row r="99" spans="2:12">
      <c r="B99" s="479" t="s">
        <v>956</v>
      </c>
      <c r="C99" s="479" t="s">
        <v>957</v>
      </c>
      <c r="D99" s="480" t="s">
        <v>761</v>
      </c>
      <c r="E99" s="482">
        <v>0</v>
      </c>
      <c r="F99" s="482">
        <v>1835.6</v>
      </c>
      <c r="G99" s="482">
        <v>277247.90999999997</v>
      </c>
      <c r="H99" s="482">
        <v>2065.8200000000002</v>
      </c>
      <c r="I99" s="482">
        <v>44851.94</v>
      </c>
      <c r="J99" s="482">
        <v>0</v>
      </c>
      <c r="L99" s="482">
        <v>0</v>
      </c>
    </row>
    <row r="100" spans="2:12">
      <c r="B100" s="477" t="s">
        <v>103</v>
      </c>
      <c r="C100" s="477" t="s">
        <v>958</v>
      </c>
      <c r="D100" s="478" t="s">
        <v>763</v>
      </c>
      <c r="E100" s="482">
        <v>0</v>
      </c>
      <c r="F100" s="482">
        <v>0</v>
      </c>
      <c r="G100" s="482">
        <v>0</v>
      </c>
      <c r="H100" s="482">
        <v>0</v>
      </c>
      <c r="I100" s="482">
        <v>0</v>
      </c>
      <c r="J100" s="482">
        <v>0</v>
      </c>
      <c r="L100" s="482">
        <v>0</v>
      </c>
    </row>
    <row r="101" spans="2:12">
      <c r="B101" s="479" t="s">
        <v>959</v>
      </c>
      <c r="C101" s="479" t="s">
        <v>960</v>
      </c>
      <c r="D101" s="480" t="s">
        <v>765</v>
      </c>
      <c r="E101" s="482">
        <v>0</v>
      </c>
      <c r="F101" s="482">
        <v>0</v>
      </c>
      <c r="G101" s="482">
        <v>0</v>
      </c>
      <c r="H101" s="482">
        <v>0</v>
      </c>
      <c r="I101" s="482">
        <v>0</v>
      </c>
      <c r="J101" s="482">
        <v>0</v>
      </c>
      <c r="L101" s="482">
        <v>0</v>
      </c>
    </row>
    <row r="102" spans="2:12">
      <c r="B102" s="479" t="s">
        <v>961</v>
      </c>
      <c r="C102" s="479" t="s">
        <v>962</v>
      </c>
      <c r="D102" s="480" t="s">
        <v>768</v>
      </c>
      <c r="E102" s="482">
        <v>0</v>
      </c>
      <c r="F102" s="482">
        <v>0</v>
      </c>
      <c r="G102" s="482">
        <v>0</v>
      </c>
      <c r="H102" s="482">
        <v>0</v>
      </c>
      <c r="I102" s="482">
        <v>0</v>
      </c>
      <c r="J102" s="482">
        <v>0</v>
      </c>
      <c r="L102" s="482">
        <v>0</v>
      </c>
    </row>
    <row r="103" spans="2:12">
      <c r="B103" s="479" t="s">
        <v>963</v>
      </c>
      <c r="C103" s="479" t="s">
        <v>861</v>
      </c>
      <c r="D103" s="480" t="s">
        <v>771</v>
      </c>
      <c r="E103" s="482">
        <v>0</v>
      </c>
      <c r="F103" s="482">
        <v>0</v>
      </c>
      <c r="G103" s="482">
        <v>0</v>
      </c>
      <c r="H103" s="482">
        <v>0</v>
      </c>
      <c r="I103" s="482">
        <v>0</v>
      </c>
      <c r="J103" s="482">
        <v>0</v>
      </c>
      <c r="L103" s="482">
        <v>0</v>
      </c>
    </row>
    <row r="104" spans="2:12">
      <c r="B104" s="477" t="s">
        <v>710</v>
      </c>
      <c r="C104" s="477" t="s">
        <v>964</v>
      </c>
      <c r="D104" s="478" t="s">
        <v>773</v>
      </c>
      <c r="E104" s="482">
        <v>333.11</v>
      </c>
      <c r="F104" s="482">
        <v>361.68</v>
      </c>
      <c r="G104" s="482">
        <v>478.89</v>
      </c>
      <c r="H104" s="482">
        <v>437.84</v>
      </c>
      <c r="I104" s="482">
        <v>730.83999999999992</v>
      </c>
      <c r="J104" s="482">
        <v>1435.4699999999998</v>
      </c>
      <c r="L104" s="482">
        <v>1163.46</v>
      </c>
    </row>
    <row r="105" spans="2:12">
      <c r="B105" s="479" t="s">
        <v>965</v>
      </c>
      <c r="C105" s="479" t="s">
        <v>966</v>
      </c>
      <c r="D105" s="480" t="s">
        <v>775</v>
      </c>
      <c r="E105" s="482">
        <v>0</v>
      </c>
      <c r="F105" s="482">
        <v>0</v>
      </c>
      <c r="G105" s="482">
        <v>0</v>
      </c>
      <c r="H105" s="482">
        <v>0</v>
      </c>
      <c r="I105" s="482">
        <v>0</v>
      </c>
      <c r="J105" s="482">
        <v>0</v>
      </c>
      <c r="L105" s="482">
        <v>0</v>
      </c>
    </row>
    <row r="106" spans="2:12">
      <c r="B106" s="479" t="s">
        <v>967</v>
      </c>
      <c r="C106" s="479" t="s">
        <v>238</v>
      </c>
      <c r="D106" s="480" t="s">
        <v>777</v>
      </c>
      <c r="E106" s="482">
        <v>332.93</v>
      </c>
      <c r="F106" s="482">
        <v>361.68</v>
      </c>
      <c r="G106" s="482">
        <v>355.56</v>
      </c>
      <c r="H106" s="482">
        <v>435.33</v>
      </c>
      <c r="I106" s="482">
        <v>496.01</v>
      </c>
      <c r="J106" s="482">
        <v>1244.3399999999999</v>
      </c>
      <c r="L106" s="482">
        <v>972.33</v>
      </c>
    </row>
    <row r="107" spans="2:12">
      <c r="B107" s="479" t="s">
        <v>968</v>
      </c>
      <c r="C107" s="479" t="s">
        <v>239</v>
      </c>
      <c r="D107" s="480" t="s">
        <v>779</v>
      </c>
      <c r="E107" s="482">
        <v>0</v>
      </c>
      <c r="F107" s="482">
        <v>0</v>
      </c>
      <c r="G107" s="482">
        <v>6.1</v>
      </c>
      <c r="H107" s="482">
        <v>0</v>
      </c>
      <c r="I107" s="482">
        <v>77.91</v>
      </c>
      <c r="J107" s="482">
        <v>0</v>
      </c>
      <c r="L107" s="482">
        <v>0</v>
      </c>
    </row>
    <row r="108" spans="2:12">
      <c r="B108" s="479" t="s">
        <v>969</v>
      </c>
      <c r="C108" s="479" t="s">
        <v>970</v>
      </c>
      <c r="D108" s="480" t="s">
        <v>782</v>
      </c>
      <c r="E108" s="482">
        <v>0</v>
      </c>
      <c r="F108" s="482">
        <v>0</v>
      </c>
      <c r="G108" s="482">
        <v>0</v>
      </c>
      <c r="H108" s="482">
        <v>0</v>
      </c>
      <c r="I108" s="482">
        <v>0</v>
      </c>
      <c r="J108" s="482">
        <v>0</v>
      </c>
      <c r="L108" s="482">
        <v>0</v>
      </c>
    </row>
    <row r="109" spans="2:12">
      <c r="B109" s="479" t="s">
        <v>971</v>
      </c>
      <c r="C109" s="479" t="s">
        <v>972</v>
      </c>
      <c r="D109" s="480" t="s">
        <v>784</v>
      </c>
      <c r="E109" s="482">
        <v>0</v>
      </c>
      <c r="F109" s="482">
        <v>0</v>
      </c>
      <c r="G109" s="482">
        <v>0</v>
      </c>
      <c r="H109" s="482">
        <v>0</v>
      </c>
      <c r="I109" s="482">
        <v>0</v>
      </c>
      <c r="J109" s="482">
        <v>0</v>
      </c>
      <c r="L109" s="482">
        <v>0</v>
      </c>
    </row>
    <row r="110" spans="2:12">
      <c r="B110" s="479" t="s">
        <v>973</v>
      </c>
      <c r="C110" s="479" t="s">
        <v>974</v>
      </c>
      <c r="D110" s="480" t="s">
        <v>785</v>
      </c>
      <c r="E110" s="482">
        <v>0</v>
      </c>
      <c r="F110" s="482">
        <v>0</v>
      </c>
      <c r="G110" s="482">
        <v>0</v>
      </c>
      <c r="H110" s="482">
        <v>0</v>
      </c>
      <c r="I110" s="482">
        <v>0</v>
      </c>
      <c r="J110" s="482">
        <v>0</v>
      </c>
      <c r="L110" s="482">
        <v>0</v>
      </c>
    </row>
    <row r="111" spans="2:12">
      <c r="B111" s="479" t="s">
        <v>975</v>
      </c>
      <c r="C111" s="479" t="s">
        <v>976</v>
      </c>
      <c r="D111" s="480" t="s">
        <v>787</v>
      </c>
      <c r="E111" s="482">
        <v>0</v>
      </c>
      <c r="F111" s="482">
        <v>0</v>
      </c>
      <c r="G111" s="482">
        <v>0</v>
      </c>
      <c r="H111" s="482">
        <v>0</v>
      </c>
      <c r="I111" s="482">
        <v>0</v>
      </c>
      <c r="J111" s="482">
        <v>0</v>
      </c>
      <c r="L111" s="482">
        <v>0</v>
      </c>
    </row>
    <row r="112" spans="2:12">
      <c r="B112" s="479" t="s">
        <v>977</v>
      </c>
      <c r="C112" s="479" t="s">
        <v>978</v>
      </c>
      <c r="D112" s="480" t="s">
        <v>788</v>
      </c>
      <c r="E112" s="482">
        <v>0.18</v>
      </c>
      <c r="F112" s="482">
        <v>0</v>
      </c>
      <c r="G112" s="482">
        <v>117.23</v>
      </c>
      <c r="H112" s="482">
        <v>2.5099999999999998</v>
      </c>
      <c r="I112" s="482">
        <v>156.91999999999999</v>
      </c>
      <c r="J112" s="482">
        <v>191.13</v>
      </c>
      <c r="L112" s="482">
        <v>191.13</v>
      </c>
    </row>
    <row r="113" spans="2:12">
      <c r="B113" s="477" t="s">
        <v>712</v>
      </c>
      <c r="C113" s="477" t="s">
        <v>979</v>
      </c>
      <c r="D113" s="478" t="s">
        <v>789</v>
      </c>
      <c r="E113" s="482">
        <v>81035.89</v>
      </c>
      <c r="F113" s="482">
        <v>31728.76</v>
      </c>
      <c r="G113" s="482">
        <v>641.16</v>
      </c>
      <c r="H113" s="482">
        <v>173.66</v>
      </c>
      <c r="I113" s="482">
        <v>31555.13</v>
      </c>
      <c r="J113" s="482">
        <v>187.62</v>
      </c>
      <c r="L113" s="482">
        <v>187.62</v>
      </c>
    </row>
    <row r="114" spans="2:12">
      <c r="B114" s="479" t="s">
        <v>980</v>
      </c>
      <c r="C114" s="479" t="s">
        <v>981</v>
      </c>
      <c r="D114" s="480" t="s">
        <v>791</v>
      </c>
      <c r="E114" s="482">
        <v>0</v>
      </c>
      <c r="F114" s="482">
        <v>0</v>
      </c>
      <c r="G114" s="482">
        <v>0</v>
      </c>
      <c r="H114" s="482">
        <v>0</v>
      </c>
      <c r="I114" s="482">
        <v>0</v>
      </c>
      <c r="J114" s="482">
        <v>0</v>
      </c>
      <c r="L114" s="482">
        <v>0</v>
      </c>
    </row>
    <row r="115" spans="2:12">
      <c r="B115" s="479" t="s">
        <v>982</v>
      </c>
      <c r="C115" s="479" t="s">
        <v>983</v>
      </c>
      <c r="D115" s="480" t="s">
        <v>793</v>
      </c>
      <c r="E115" s="482">
        <v>0</v>
      </c>
      <c r="F115" s="482">
        <v>0</v>
      </c>
      <c r="G115" s="482">
        <v>0</v>
      </c>
      <c r="H115" s="482">
        <v>0</v>
      </c>
      <c r="I115" s="482">
        <v>0</v>
      </c>
      <c r="J115" s="482">
        <v>0</v>
      </c>
      <c r="L115" s="482">
        <v>0</v>
      </c>
    </row>
    <row r="116" spans="2:12">
      <c r="B116" s="479" t="s">
        <v>984</v>
      </c>
      <c r="C116" s="479" t="s">
        <v>985</v>
      </c>
      <c r="D116" s="480" t="s">
        <v>795</v>
      </c>
      <c r="E116" s="482">
        <v>687</v>
      </c>
      <c r="F116" s="482">
        <v>390</v>
      </c>
      <c r="G116" s="482">
        <v>270</v>
      </c>
      <c r="H116" s="482">
        <v>0</v>
      </c>
      <c r="I116" s="482">
        <v>0</v>
      </c>
      <c r="J116" s="482">
        <v>0</v>
      </c>
      <c r="L116" s="482">
        <v>0</v>
      </c>
    </row>
    <row r="117" spans="2:12">
      <c r="B117" s="479" t="s">
        <v>986</v>
      </c>
      <c r="C117" s="479" t="s">
        <v>987</v>
      </c>
      <c r="D117" s="480" t="s">
        <v>797</v>
      </c>
      <c r="E117" s="482">
        <v>80348.89</v>
      </c>
      <c r="F117" s="482">
        <v>31338.76</v>
      </c>
      <c r="G117" s="482">
        <v>371.16</v>
      </c>
      <c r="H117" s="482">
        <v>173.66</v>
      </c>
      <c r="I117" s="482">
        <v>31555.13</v>
      </c>
      <c r="J117" s="482">
        <v>187.62</v>
      </c>
      <c r="L117" s="482">
        <v>187.62</v>
      </c>
    </row>
    <row r="118" spans="2:12">
      <c r="B118" s="477" t="s">
        <v>714</v>
      </c>
      <c r="C118" s="477" t="s">
        <v>988</v>
      </c>
      <c r="D118" s="478" t="s">
        <v>798</v>
      </c>
      <c r="E118" s="482">
        <v>2870726.65</v>
      </c>
      <c r="F118" s="482">
        <v>2010776.08</v>
      </c>
      <c r="G118" s="482">
        <v>2008088.45</v>
      </c>
      <c r="H118" s="482">
        <v>3405270.57</v>
      </c>
      <c r="I118" s="482">
        <v>7957437.6099999994</v>
      </c>
      <c r="J118" s="482">
        <v>46509141</v>
      </c>
      <c r="L118" s="482">
        <v>29198501.270000003</v>
      </c>
    </row>
    <row r="119" spans="2:12">
      <c r="B119" s="479" t="s">
        <v>989</v>
      </c>
      <c r="C119" s="479" t="s">
        <v>990</v>
      </c>
      <c r="D119" s="480" t="s">
        <v>435</v>
      </c>
      <c r="E119" s="482">
        <v>10000</v>
      </c>
      <c r="F119" s="482">
        <v>5556.71</v>
      </c>
      <c r="G119" s="482">
        <v>10716.79</v>
      </c>
      <c r="H119" s="482">
        <v>696925.83</v>
      </c>
      <c r="I119" s="482">
        <v>4145185.38</v>
      </c>
      <c r="J119" s="482">
        <v>38383092.729999997</v>
      </c>
      <c r="L119" s="482">
        <v>25710366.170000002</v>
      </c>
    </row>
    <row r="120" spans="2:12">
      <c r="B120" s="479" t="s">
        <v>991</v>
      </c>
      <c r="C120" s="479" t="s">
        <v>992</v>
      </c>
      <c r="D120" s="480" t="s">
        <v>438</v>
      </c>
      <c r="E120" s="482">
        <v>2694460.78</v>
      </c>
      <c r="F120" s="482">
        <v>1932921.8</v>
      </c>
      <c r="G120" s="482">
        <v>1941541.27</v>
      </c>
      <c r="H120" s="482">
        <v>2014394.82</v>
      </c>
      <c r="I120" s="482">
        <v>2415953.08</v>
      </c>
      <c r="J120" s="482">
        <v>2826184.75</v>
      </c>
      <c r="L120" s="482">
        <v>2390829.2400000002</v>
      </c>
    </row>
    <row r="121" spans="2:12">
      <c r="B121" s="479" t="s">
        <v>993</v>
      </c>
      <c r="C121" s="479" t="s">
        <v>994</v>
      </c>
      <c r="D121" s="480" t="s">
        <v>441</v>
      </c>
      <c r="E121" s="482">
        <v>8229</v>
      </c>
      <c r="F121" s="482">
        <v>5360</v>
      </c>
      <c r="G121" s="482">
        <v>4637.88</v>
      </c>
      <c r="H121" s="482">
        <v>631078.67000000004</v>
      </c>
      <c r="I121" s="482">
        <v>1294968.26</v>
      </c>
      <c r="J121" s="482">
        <v>5150864.95</v>
      </c>
      <c r="L121" s="482">
        <v>988252.53</v>
      </c>
    </row>
    <row r="122" spans="2:12">
      <c r="B122" s="479" t="s">
        <v>995</v>
      </c>
      <c r="C122" s="479" t="s">
        <v>996</v>
      </c>
      <c r="D122" s="480" t="s">
        <v>444</v>
      </c>
      <c r="E122" s="482">
        <v>0</v>
      </c>
      <c r="F122" s="482">
        <v>0</v>
      </c>
      <c r="G122" s="482">
        <v>0</v>
      </c>
      <c r="H122" s="482">
        <v>0</v>
      </c>
      <c r="I122" s="482">
        <v>0</v>
      </c>
      <c r="J122" s="482">
        <v>0</v>
      </c>
      <c r="L122" s="482">
        <v>0</v>
      </c>
    </row>
    <row r="123" spans="2:12">
      <c r="B123" s="479" t="s">
        <v>997</v>
      </c>
      <c r="C123" s="479" t="s">
        <v>998</v>
      </c>
      <c r="D123" s="480" t="s">
        <v>446</v>
      </c>
      <c r="E123" s="482">
        <v>0</v>
      </c>
      <c r="F123" s="482">
        <v>0</v>
      </c>
      <c r="G123" s="482">
        <v>0</v>
      </c>
      <c r="H123" s="482">
        <v>0</v>
      </c>
      <c r="I123" s="482">
        <v>0</v>
      </c>
      <c r="J123" s="482">
        <v>0</v>
      </c>
      <c r="L123" s="482">
        <v>0</v>
      </c>
    </row>
    <row r="124" spans="2:12">
      <c r="B124" s="479" t="s">
        <v>999</v>
      </c>
      <c r="C124" s="479" t="s">
        <v>1000</v>
      </c>
      <c r="D124" s="480" t="s">
        <v>449</v>
      </c>
      <c r="E124" s="482">
        <v>15463.71</v>
      </c>
      <c r="F124" s="482">
        <v>0</v>
      </c>
      <c r="G124" s="482">
        <v>0</v>
      </c>
      <c r="H124" s="482">
        <v>0</v>
      </c>
      <c r="I124" s="482">
        <v>0</v>
      </c>
      <c r="J124" s="482">
        <v>0</v>
      </c>
      <c r="L124" s="482">
        <v>0</v>
      </c>
    </row>
    <row r="125" spans="2:12">
      <c r="B125" s="479" t="s">
        <v>1001</v>
      </c>
      <c r="C125" s="479" t="s">
        <v>1002</v>
      </c>
      <c r="D125" s="480" t="s">
        <v>452</v>
      </c>
      <c r="E125" s="482">
        <v>27253.54</v>
      </c>
      <c r="F125" s="482">
        <v>44122.44</v>
      </c>
      <c r="G125" s="482">
        <v>24297.06</v>
      </c>
      <c r="H125" s="482">
        <v>32849.74</v>
      </c>
      <c r="I125" s="482">
        <v>68728.89</v>
      </c>
      <c r="J125" s="482">
        <v>100360.25</v>
      </c>
      <c r="L125" s="482">
        <v>69149.429999999993</v>
      </c>
    </row>
    <row r="126" spans="2:12">
      <c r="B126" s="479" t="s">
        <v>1003</v>
      </c>
      <c r="C126" s="479" t="s">
        <v>1004</v>
      </c>
      <c r="D126" s="480" t="s">
        <v>454</v>
      </c>
      <c r="E126" s="482">
        <v>115319.62</v>
      </c>
      <c r="F126" s="482">
        <v>22815.13</v>
      </c>
      <c r="G126" s="482">
        <v>26895.45</v>
      </c>
      <c r="H126" s="482">
        <v>30021.51</v>
      </c>
      <c r="I126" s="482">
        <v>32602</v>
      </c>
      <c r="J126" s="482">
        <v>48638.32</v>
      </c>
      <c r="L126" s="482">
        <v>39903.9</v>
      </c>
    </row>
    <row r="127" spans="2:12">
      <c r="B127" s="479" t="s">
        <v>1005</v>
      </c>
      <c r="C127" s="479" t="s">
        <v>1006</v>
      </c>
      <c r="D127" s="480" t="s">
        <v>457</v>
      </c>
      <c r="E127" s="482">
        <v>0</v>
      </c>
      <c r="F127" s="482">
        <v>0</v>
      </c>
      <c r="G127" s="482">
        <v>0</v>
      </c>
      <c r="H127" s="482">
        <v>0</v>
      </c>
      <c r="I127" s="482">
        <v>0</v>
      </c>
      <c r="J127" s="482"/>
      <c r="L127" s="482">
        <v>0</v>
      </c>
    </row>
    <row r="128" spans="2:12">
      <c r="B128" s="477" t="s">
        <v>716</v>
      </c>
      <c r="C128" s="477" t="s">
        <v>1007</v>
      </c>
      <c r="D128" s="478" t="s">
        <v>460</v>
      </c>
      <c r="E128" s="482">
        <v>0</v>
      </c>
      <c r="F128" s="482">
        <v>0</v>
      </c>
      <c r="G128" s="482">
        <v>0</v>
      </c>
      <c r="H128" s="482">
        <v>0</v>
      </c>
      <c r="I128" s="482">
        <v>0</v>
      </c>
      <c r="J128" s="482"/>
      <c r="L128" s="482">
        <v>0</v>
      </c>
    </row>
    <row r="129" spans="2:12">
      <c r="B129" s="479" t="s">
        <v>1008</v>
      </c>
      <c r="C129" s="479" t="s">
        <v>1009</v>
      </c>
      <c r="D129" s="480" t="s">
        <v>462</v>
      </c>
      <c r="E129" s="482">
        <v>0</v>
      </c>
      <c r="F129" s="482">
        <v>0</v>
      </c>
      <c r="G129" s="482">
        <v>0</v>
      </c>
      <c r="H129" s="482">
        <v>0</v>
      </c>
      <c r="I129" s="482">
        <v>0</v>
      </c>
      <c r="J129" s="482"/>
      <c r="L129" s="482">
        <v>0</v>
      </c>
    </row>
    <row r="130" spans="2:12">
      <c r="B130" s="479" t="s">
        <v>1010</v>
      </c>
      <c r="C130" s="479" t="s">
        <v>1011</v>
      </c>
      <c r="D130" s="480" t="s">
        <v>465</v>
      </c>
      <c r="E130" s="482">
        <v>0</v>
      </c>
      <c r="F130" s="482">
        <v>0</v>
      </c>
      <c r="G130" s="482">
        <v>0</v>
      </c>
      <c r="H130" s="482">
        <v>0</v>
      </c>
      <c r="I130" s="482">
        <v>0</v>
      </c>
      <c r="J130" s="482"/>
      <c r="L130" s="482">
        <v>0</v>
      </c>
    </row>
    <row r="131" spans="2:12">
      <c r="B131" s="479" t="s">
        <v>1012</v>
      </c>
      <c r="C131" s="479" t="s">
        <v>1013</v>
      </c>
      <c r="D131" s="480" t="s">
        <v>468</v>
      </c>
      <c r="E131" s="482">
        <v>0</v>
      </c>
      <c r="F131" s="482">
        <v>0</v>
      </c>
      <c r="G131" s="482">
        <v>0</v>
      </c>
      <c r="H131" s="482">
        <v>0</v>
      </c>
      <c r="I131" s="482">
        <v>0</v>
      </c>
      <c r="J131" s="482"/>
      <c r="L131" s="482">
        <v>0</v>
      </c>
    </row>
    <row r="132" spans="2:12">
      <c r="B132" s="479" t="s">
        <v>1014</v>
      </c>
      <c r="C132" s="479" t="s">
        <v>1015</v>
      </c>
      <c r="D132" s="480" t="s">
        <v>471</v>
      </c>
      <c r="E132" s="482">
        <v>0</v>
      </c>
      <c r="F132" s="482">
        <v>0</v>
      </c>
      <c r="G132" s="482">
        <v>0</v>
      </c>
      <c r="H132" s="482">
        <v>0</v>
      </c>
      <c r="I132" s="482">
        <v>0</v>
      </c>
      <c r="J132" s="482"/>
      <c r="L132" s="482">
        <v>0</v>
      </c>
    </row>
    <row r="133" spans="2:12">
      <c r="B133" s="479" t="s">
        <v>1016</v>
      </c>
      <c r="C133" s="479" t="s">
        <v>1017</v>
      </c>
      <c r="D133" s="480" t="s">
        <v>473</v>
      </c>
      <c r="E133" s="482">
        <v>0</v>
      </c>
      <c r="F133" s="482">
        <v>0</v>
      </c>
      <c r="G133" s="482">
        <v>0</v>
      </c>
      <c r="H133" s="482">
        <v>0</v>
      </c>
      <c r="I133" s="482">
        <v>0</v>
      </c>
      <c r="J133" s="482"/>
      <c r="L133" s="482">
        <v>0</v>
      </c>
    </row>
    <row r="134" spans="2:12">
      <c r="B134" s="479" t="s">
        <v>1018</v>
      </c>
      <c r="C134" s="479" t="s">
        <v>1019</v>
      </c>
      <c r="D134" s="480" t="s">
        <v>475</v>
      </c>
      <c r="E134" s="482">
        <v>0</v>
      </c>
      <c r="F134" s="482">
        <v>0</v>
      </c>
      <c r="G134" s="482">
        <v>0</v>
      </c>
      <c r="H134" s="482">
        <v>0</v>
      </c>
      <c r="I134" s="482">
        <v>0</v>
      </c>
      <c r="J134" s="482"/>
      <c r="L134" s="482">
        <v>0</v>
      </c>
    </row>
    <row r="135" spans="2:12">
      <c r="B135" s="479" t="s">
        <v>1020</v>
      </c>
      <c r="C135" s="479" t="s">
        <v>1021</v>
      </c>
      <c r="D135" s="480" t="s">
        <v>477</v>
      </c>
      <c r="E135" s="482">
        <v>0</v>
      </c>
      <c r="F135" s="482">
        <v>0</v>
      </c>
      <c r="G135" s="482">
        <v>0</v>
      </c>
      <c r="H135" s="482">
        <v>0</v>
      </c>
      <c r="I135" s="482">
        <v>0</v>
      </c>
      <c r="J135" s="482"/>
      <c r="L135" s="482">
        <v>0</v>
      </c>
    </row>
    <row r="136" spans="2:12">
      <c r="B136" s="479" t="s">
        <v>1022</v>
      </c>
      <c r="C136" s="479" t="s">
        <v>1023</v>
      </c>
      <c r="D136" s="480" t="s">
        <v>480</v>
      </c>
      <c r="E136" s="482">
        <v>0</v>
      </c>
      <c r="F136" s="482">
        <v>0</v>
      </c>
      <c r="G136" s="482">
        <v>0</v>
      </c>
      <c r="H136" s="482">
        <v>0</v>
      </c>
      <c r="I136" s="482">
        <v>0</v>
      </c>
      <c r="J136" s="482"/>
      <c r="L136" s="482">
        <v>0</v>
      </c>
    </row>
    <row r="137" spans="2:12">
      <c r="B137" s="479" t="s">
        <v>1024</v>
      </c>
      <c r="C137" s="479" t="s">
        <v>1025</v>
      </c>
      <c r="D137" s="480" t="s">
        <v>483</v>
      </c>
      <c r="E137" s="482">
        <v>0</v>
      </c>
      <c r="F137" s="482">
        <v>0</v>
      </c>
      <c r="G137" s="482">
        <v>0</v>
      </c>
      <c r="H137" s="482">
        <v>0</v>
      </c>
      <c r="I137" s="482">
        <v>0</v>
      </c>
      <c r="J137" s="482"/>
      <c r="L137" s="482">
        <v>0</v>
      </c>
    </row>
    <row r="138" spans="2:12">
      <c r="B138" s="477" t="s">
        <v>103</v>
      </c>
      <c r="C138" s="477" t="s">
        <v>1026</v>
      </c>
      <c r="D138" s="478" t="s">
        <v>485</v>
      </c>
      <c r="E138" s="482">
        <v>99666746.950000003</v>
      </c>
      <c r="F138" s="482">
        <v>99077527.159999996</v>
      </c>
      <c r="G138" s="482">
        <v>126163364.05</v>
      </c>
      <c r="H138" s="482">
        <v>138256875</v>
      </c>
      <c r="I138" s="482">
        <v>153606510.30000001</v>
      </c>
      <c r="J138" s="482">
        <v>180572802.05000001</v>
      </c>
      <c r="L138" s="482">
        <v>138710866.88000003</v>
      </c>
    </row>
    <row r="139" spans="2:12">
      <c r="B139" s="477" t="s">
        <v>103</v>
      </c>
      <c r="C139" s="477" t="s">
        <v>1027</v>
      </c>
      <c r="D139" s="478" t="s">
        <v>487</v>
      </c>
      <c r="E139" s="482">
        <v>-18459691.66</v>
      </c>
      <c r="F139" s="482">
        <v>-17324591.07</v>
      </c>
      <c r="G139" s="482">
        <v>2386280.39</v>
      </c>
      <c r="H139" s="482">
        <v>-275878.96000000002</v>
      </c>
      <c r="I139" s="482">
        <v>-25078723.75</v>
      </c>
      <c r="J139" s="482">
        <v>-19354114.74000001</v>
      </c>
      <c r="L139" s="482">
        <v>-11600603.53999999</v>
      </c>
    </row>
    <row r="140" spans="2:12">
      <c r="B140" s="479" t="s">
        <v>1028</v>
      </c>
      <c r="C140" s="479" t="s">
        <v>1029</v>
      </c>
      <c r="D140" s="480" t="s">
        <v>489</v>
      </c>
      <c r="E140" s="482">
        <v>49734.48</v>
      </c>
      <c r="F140" s="482">
        <v>8220.94</v>
      </c>
      <c r="G140" s="482">
        <v>8142.71</v>
      </c>
      <c r="H140" s="482">
        <v>65784.350000000006</v>
      </c>
      <c r="I140" s="482">
        <v>1577.33</v>
      </c>
      <c r="J140" s="482">
        <v>53353.52</v>
      </c>
      <c r="L140" s="482">
        <v>10609.22</v>
      </c>
    </row>
    <row r="141" spans="2:12">
      <c r="B141" s="479" t="s">
        <v>1030</v>
      </c>
      <c r="C141" s="479" t="s">
        <v>1031</v>
      </c>
      <c r="D141" s="480" t="s">
        <v>491</v>
      </c>
      <c r="E141" s="482">
        <v>0</v>
      </c>
      <c r="F141" s="482">
        <v>0</v>
      </c>
      <c r="G141" s="482">
        <v>0</v>
      </c>
      <c r="H141" s="482">
        <v>0</v>
      </c>
      <c r="I141" s="482">
        <v>0</v>
      </c>
      <c r="J141" s="482">
        <v>0</v>
      </c>
      <c r="L141" s="482">
        <v>0</v>
      </c>
    </row>
    <row r="142" spans="2:12">
      <c r="B142" s="477" t="s">
        <v>103</v>
      </c>
      <c r="C142" s="477" t="s">
        <v>1032</v>
      </c>
      <c r="D142" s="478" t="s">
        <v>493</v>
      </c>
      <c r="E142" s="482">
        <v>-18509426.140000001</v>
      </c>
      <c r="F142" s="482">
        <v>-17332812.010000002</v>
      </c>
      <c r="G142" s="482">
        <v>2378137.6800000002</v>
      </c>
      <c r="H142" s="482">
        <v>-341663.31</v>
      </c>
      <c r="I142" s="482">
        <v>-25080301.079999998</v>
      </c>
      <c r="J142" s="482">
        <v>-19407468.260000009</v>
      </c>
      <c r="L142" s="482">
        <v>-11611212.75999999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544ED-B79D-43FE-B568-A7D39929B8D9}">
  <sheetPr>
    <tabColor theme="0"/>
  </sheetPr>
  <dimension ref="B4:U40"/>
  <sheetViews>
    <sheetView topLeftCell="A4" workbookViewId="0">
      <selection activeCell="C23" sqref="C23"/>
    </sheetView>
  </sheetViews>
  <sheetFormatPr baseColWidth="10" defaultColWidth="8.83203125" defaultRowHeight="15"/>
  <cols>
    <col min="1" max="1" width="7.6640625" style="69" customWidth="1"/>
    <col min="2" max="2" width="35.6640625" style="69" customWidth="1"/>
    <col min="3" max="6" width="8.83203125" style="69"/>
    <col min="7" max="7" width="13.5" style="69" customWidth="1"/>
    <col min="8" max="8" width="12.1640625" style="69" bestFit="1" customWidth="1"/>
    <col min="9" max="9" width="12.5" style="69" customWidth="1"/>
    <col min="10" max="16" width="8.83203125" style="69"/>
    <col min="17" max="19" width="11.5" style="69" customWidth="1"/>
    <col min="20" max="16384" width="8.83203125" style="69"/>
  </cols>
  <sheetData>
    <row r="4" spans="2:21" ht="16" thickBot="1"/>
    <row r="5" spans="2:21" ht="51">
      <c r="B5" s="1616" t="s">
        <v>3463</v>
      </c>
      <c r="C5" s="1564" t="s">
        <v>3456</v>
      </c>
      <c r="D5" s="1564" t="s">
        <v>3456</v>
      </c>
      <c r="E5" s="1564" t="s">
        <v>3459</v>
      </c>
      <c r="F5" s="1618" t="s">
        <v>3168</v>
      </c>
      <c r="G5" s="1618" t="s">
        <v>1044</v>
      </c>
      <c r="H5" s="1618" t="s">
        <v>1045</v>
      </c>
      <c r="I5" s="1564" t="s">
        <v>3475</v>
      </c>
      <c r="T5" s="1564" t="s">
        <v>3467</v>
      </c>
      <c r="U5" s="1564" t="s">
        <v>3467</v>
      </c>
    </row>
    <row r="6" spans="2:21" ht="52" thickBot="1">
      <c r="B6" s="1617"/>
      <c r="C6" s="1565" t="s">
        <v>3457</v>
      </c>
      <c r="D6" s="1565" t="s">
        <v>3458</v>
      </c>
      <c r="E6" s="1565" t="s">
        <v>3461</v>
      </c>
      <c r="F6" s="1619"/>
      <c r="G6" s="1619"/>
      <c r="H6" s="1619"/>
      <c r="I6" s="1565"/>
      <c r="K6" s="552"/>
      <c r="L6" s="552"/>
      <c r="M6" s="552"/>
      <c r="N6" s="552"/>
      <c r="O6" s="552"/>
      <c r="P6" s="552"/>
      <c r="T6" s="1565"/>
      <c r="U6" s="1565"/>
    </row>
    <row r="7" spans="2:21" ht="18" thickBot="1">
      <c r="B7" s="1566" t="s">
        <v>3462</v>
      </c>
      <c r="C7" s="1573">
        <v>8497</v>
      </c>
      <c r="D7" s="1573">
        <v>8899</v>
      </c>
      <c r="E7" s="1573">
        <f t="shared" ref="E7:E22" si="0">T7+U7</f>
        <v>8280.8139982693647</v>
      </c>
      <c r="F7" s="1568">
        <v>110</v>
      </c>
      <c r="G7" s="1567">
        <v>4.3</v>
      </c>
      <c r="H7" s="1572">
        <f>E7*G7/(F7*365)</f>
        <v>0.88686177316458947</v>
      </c>
      <c r="I7" s="1573">
        <f>E7*G7</f>
        <v>35607.500192558269</v>
      </c>
      <c r="J7" s="1122"/>
      <c r="T7" s="1573">
        <v>7867</v>
      </c>
      <c r="U7" s="1573">
        <f>'Hospit_Data_"A"_ExtraHPA'!O5</f>
        <v>413.81399826936541</v>
      </c>
    </row>
    <row r="8" spans="2:21" ht="18" thickBot="1">
      <c r="B8" s="1566" t="s">
        <v>1113</v>
      </c>
      <c r="C8" s="1573">
        <v>5586</v>
      </c>
      <c r="D8" s="1573">
        <v>6372</v>
      </c>
      <c r="E8" s="1573">
        <f t="shared" si="0"/>
        <v>4089.9812072686655</v>
      </c>
      <c r="F8" s="1568">
        <v>67</v>
      </c>
      <c r="G8" s="1567">
        <v>5.9</v>
      </c>
      <c r="H8" s="1572">
        <f t="shared" ref="H8:H22" si="1">E8*G8/(F8*365)</f>
        <v>0.98674664170456461</v>
      </c>
      <c r="I8" s="1573">
        <f t="shared" ref="I8:I22" si="2">E8*G8</f>
        <v>24130.889122885128</v>
      </c>
      <c r="J8" s="1122"/>
      <c r="T8" s="1573">
        <v>5828</v>
      </c>
      <c r="U8" s="1573">
        <f>'Hospit_Data_"A"_ExtraHPA'!O6</f>
        <v>-1738.0187927313345</v>
      </c>
    </row>
    <row r="9" spans="2:21" ht="18" thickBot="1">
      <c r="B9" s="1566" t="s">
        <v>1114</v>
      </c>
      <c r="C9" s="1573">
        <v>3619</v>
      </c>
      <c r="D9" s="1573">
        <v>4994</v>
      </c>
      <c r="E9" s="1573">
        <f t="shared" si="0"/>
        <v>4288</v>
      </c>
      <c r="F9" s="1568">
        <v>70</v>
      </c>
      <c r="G9" s="1567">
        <v>5.8</v>
      </c>
      <c r="H9" s="1572">
        <f t="shared" si="1"/>
        <v>0.97340117416829741</v>
      </c>
      <c r="I9" s="1573">
        <f t="shared" si="2"/>
        <v>24870.399999999998</v>
      </c>
      <c r="J9" s="1122"/>
      <c r="T9" s="1573">
        <v>4288</v>
      </c>
      <c r="U9" s="1573">
        <f>'Hospit_Data_"A"_ExtraHPA'!O31</f>
        <v>0</v>
      </c>
    </row>
    <row r="10" spans="2:21" ht="18" thickBot="1">
      <c r="B10" s="1566" t="s">
        <v>1115</v>
      </c>
      <c r="C10" s="1573">
        <v>418</v>
      </c>
      <c r="D10" s="1573">
        <v>594</v>
      </c>
      <c r="E10" s="1573">
        <f t="shared" si="0"/>
        <v>595</v>
      </c>
      <c r="F10" s="1568">
        <v>11</v>
      </c>
      <c r="G10" s="1567">
        <v>5.8</v>
      </c>
      <c r="H10" s="1572">
        <f t="shared" si="1"/>
        <v>0.85952677459526772</v>
      </c>
      <c r="I10" s="1573">
        <f t="shared" si="2"/>
        <v>3451</v>
      </c>
      <c r="J10" s="1122"/>
      <c r="T10" s="1573">
        <v>595</v>
      </c>
      <c r="U10" s="1573">
        <f>'Hospit_Data_"A"_ExtraHPA'!O32</f>
        <v>0</v>
      </c>
    </row>
    <row r="11" spans="2:21" ht="18" thickBot="1">
      <c r="B11" s="1566" t="s">
        <v>1116</v>
      </c>
      <c r="C11" s="1573">
        <v>3616</v>
      </c>
      <c r="D11" s="1573">
        <v>3676</v>
      </c>
      <c r="E11" s="1573">
        <f t="shared" si="0"/>
        <v>4913.2559930774614</v>
      </c>
      <c r="F11" s="1568">
        <v>57</v>
      </c>
      <c r="G11" s="1567">
        <v>3.2</v>
      </c>
      <c r="H11" s="1572">
        <f t="shared" si="1"/>
        <v>0.75570387781052051</v>
      </c>
      <c r="I11" s="1573">
        <f t="shared" si="2"/>
        <v>15722.419177847878</v>
      </c>
      <c r="J11" s="1122"/>
      <c r="T11" s="1573">
        <v>3258</v>
      </c>
      <c r="U11" s="1573">
        <f>'Hospit_Data_"A"_ExtraHPA'!O8</f>
        <v>1655.2559930774617</v>
      </c>
    </row>
    <row r="12" spans="2:21" ht="18" thickBot="1">
      <c r="B12" s="1566" t="s">
        <v>1117</v>
      </c>
      <c r="C12" s="1573">
        <v>2088</v>
      </c>
      <c r="D12" s="1573">
        <v>2859</v>
      </c>
      <c r="E12" s="1573">
        <f t="shared" si="0"/>
        <v>2503</v>
      </c>
      <c r="F12" s="1568">
        <v>35</v>
      </c>
      <c r="G12" s="1567">
        <v>3.5</v>
      </c>
      <c r="H12" s="1572">
        <f t="shared" si="1"/>
        <v>0.68575342465753419</v>
      </c>
      <c r="I12" s="1573">
        <f t="shared" si="2"/>
        <v>8760.5</v>
      </c>
      <c r="J12" s="1122"/>
      <c r="T12" s="1573">
        <v>2503</v>
      </c>
      <c r="U12" s="1573"/>
    </row>
    <row r="13" spans="2:21" ht="18" thickBot="1">
      <c r="B13" s="1566" t="s">
        <v>1118</v>
      </c>
      <c r="C13" s="1573">
        <v>2931</v>
      </c>
      <c r="D13" s="1573">
        <v>3163</v>
      </c>
      <c r="E13" s="1573">
        <f t="shared" si="0"/>
        <v>3219</v>
      </c>
      <c r="F13" s="1568">
        <v>48</v>
      </c>
      <c r="G13" s="1567">
        <v>3.8</v>
      </c>
      <c r="H13" s="1572">
        <f t="shared" si="1"/>
        <v>0.69818493150684924</v>
      </c>
      <c r="I13" s="1573">
        <f t="shared" si="2"/>
        <v>12232.199999999999</v>
      </c>
      <c r="J13" s="1122"/>
      <c r="T13" s="1573">
        <v>3219</v>
      </c>
      <c r="U13" s="1573"/>
    </row>
    <row r="14" spans="2:21" ht="18" thickBot="1">
      <c r="B14" s="1566" t="s">
        <v>1119</v>
      </c>
      <c r="C14" s="1573">
        <v>2775</v>
      </c>
      <c r="D14" s="1573">
        <v>2779</v>
      </c>
      <c r="E14" s="1573">
        <f t="shared" si="0"/>
        <v>2544</v>
      </c>
      <c r="F14" s="1568">
        <v>40</v>
      </c>
      <c r="G14" s="1567">
        <v>4.95</v>
      </c>
      <c r="H14" s="1572">
        <f t="shared" si="1"/>
        <v>0.86252054794520561</v>
      </c>
      <c r="I14" s="1573">
        <f t="shared" si="2"/>
        <v>12592.800000000001</v>
      </c>
      <c r="J14" s="1122"/>
      <c r="T14" s="1573">
        <v>2544</v>
      </c>
      <c r="U14" s="1573"/>
    </row>
    <row r="15" spans="2:21" ht="18" thickBot="1">
      <c r="B15" s="1566" t="s">
        <v>387</v>
      </c>
      <c r="C15" s="1573">
        <v>1905</v>
      </c>
      <c r="D15" s="1573">
        <v>1934</v>
      </c>
      <c r="E15" s="1573">
        <f t="shared" si="0"/>
        <v>1575</v>
      </c>
      <c r="F15" s="1568">
        <v>11</v>
      </c>
      <c r="G15" s="1567">
        <v>2.16</v>
      </c>
      <c r="H15" s="1572">
        <f t="shared" si="1"/>
        <v>0.84732254047322542</v>
      </c>
      <c r="I15" s="1573">
        <f t="shared" si="2"/>
        <v>3402</v>
      </c>
      <c r="J15" s="1122"/>
      <c r="T15" s="1573">
        <v>1575</v>
      </c>
      <c r="U15" s="1573"/>
    </row>
    <row r="16" spans="2:21" ht="18" thickBot="1">
      <c r="B16" s="1566" t="s">
        <v>1120</v>
      </c>
      <c r="C16" s="1573">
        <v>1890</v>
      </c>
      <c r="D16" s="1573">
        <v>4302</v>
      </c>
      <c r="E16" s="1573">
        <f t="shared" si="0"/>
        <v>3269.4650043265865</v>
      </c>
      <c r="F16" s="1568">
        <v>50</v>
      </c>
      <c r="G16" s="1567">
        <v>5.05</v>
      </c>
      <c r="H16" s="1572">
        <f t="shared" si="1"/>
        <v>0.90470127516982246</v>
      </c>
      <c r="I16" s="1573">
        <f t="shared" si="2"/>
        <v>16510.79827184926</v>
      </c>
      <c r="J16" s="1122"/>
      <c r="T16" s="1573">
        <v>4304</v>
      </c>
      <c r="U16" s="1573">
        <f>'Hospit_Data_"A"_ExtraHPA'!O9</f>
        <v>-1034.5349956734135</v>
      </c>
    </row>
    <row r="17" spans="2:21" ht="18" thickBot="1">
      <c r="B17" s="1566" t="s">
        <v>375</v>
      </c>
      <c r="C17" s="1573">
        <v>1736</v>
      </c>
      <c r="D17" s="1573">
        <v>1767</v>
      </c>
      <c r="E17" s="1573">
        <f t="shared" si="0"/>
        <v>1798</v>
      </c>
      <c r="F17" s="1568">
        <v>35</v>
      </c>
      <c r="G17" s="1567">
        <v>5.8</v>
      </c>
      <c r="H17" s="1572">
        <f t="shared" si="1"/>
        <v>0.81631311154598818</v>
      </c>
      <c r="I17" s="1573">
        <f t="shared" si="2"/>
        <v>10428.4</v>
      </c>
      <c r="J17" s="1122"/>
      <c r="T17" s="1573">
        <v>1798</v>
      </c>
      <c r="U17" s="1573"/>
    </row>
    <row r="18" spans="2:21" ht="18" thickBot="1">
      <c r="B18" s="1566" t="s">
        <v>1121</v>
      </c>
      <c r="C18" s="1573">
        <v>1001</v>
      </c>
      <c r="D18" s="1573">
        <v>1143</v>
      </c>
      <c r="E18" s="1573">
        <f t="shared" si="0"/>
        <v>1000</v>
      </c>
      <c r="F18" s="1568">
        <v>15</v>
      </c>
      <c r="G18" s="1567">
        <v>4.4000000000000004</v>
      </c>
      <c r="H18" s="1572">
        <f t="shared" si="1"/>
        <v>0.80365296803652964</v>
      </c>
      <c r="I18" s="1573">
        <f t="shared" si="2"/>
        <v>4400</v>
      </c>
      <c r="J18" s="1122"/>
      <c r="T18" s="1573">
        <v>1000</v>
      </c>
      <c r="U18" s="1573"/>
    </row>
    <row r="19" spans="2:21" ht="18" thickBot="1">
      <c r="B19" s="1566" t="s">
        <v>1122</v>
      </c>
      <c r="C19" s="1573">
        <v>740</v>
      </c>
      <c r="D19" s="1573">
        <v>925</v>
      </c>
      <c r="E19" s="1573">
        <f t="shared" si="0"/>
        <v>810</v>
      </c>
      <c r="F19" s="1568">
        <v>10</v>
      </c>
      <c r="G19" s="1567">
        <v>4.0999999999999996</v>
      </c>
      <c r="H19" s="1572">
        <f t="shared" si="1"/>
        <v>0.90986301369862999</v>
      </c>
      <c r="I19" s="1573">
        <f t="shared" si="2"/>
        <v>3320.9999999999995</v>
      </c>
      <c r="J19" s="1122"/>
      <c r="T19" s="1573">
        <v>810</v>
      </c>
      <c r="U19" s="1573"/>
    </row>
    <row r="20" spans="2:21" ht="18" thickBot="1">
      <c r="B20" s="1566" t="s">
        <v>382</v>
      </c>
      <c r="C20" s="1573">
        <v>606</v>
      </c>
      <c r="D20" s="1573">
        <v>606</v>
      </c>
      <c r="E20" s="1573">
        <f t="shared" si="0"/>
        <v>1715.0511986154925</v>
      </c>
      <c r="F20" s="1568">
        <v>48</v>
      </c>
      <c r="G20" s="1567">
        <v>6.5</v>
      </c>
      <c r="H20" s="1572">
        <f t="shared" si="1"/>
        <v>0.6362918259703596</v>
      </c>
      <c r="I20" s="1573">
        <f t="shared" si="2"/>
        <v>11147.832791000701</v>
      </c>
      <c r="J20" s="1122"/>
      <c r="T20" s="1573">
        <v>1384</v>
      </c>
      <c r="U20" s="1573">
        <f>'Hospit_Data_"A"_ExtraHPA'!O14</f>
        <v>331.05119861549235</v>
      </c>
    </row>
    <row r="21" spans="2:21" ht="18" thickBot="1">
      <c r="B21" s="1566" t="s">
        <v>1123</v>
      </c>
      <c r="C21" s="1573">
        <v>533</v>
      </c>
      <c r="D21" s="1573">
        <v>533</v>
      </c>
      <c r="E21" s="1573">
        <f t="shared" si="0"/>
        <v>542</v>
      </c>
      <c r="F21" s="1568">
        <v>15</v>
      </c>
      <c r="G21" s="1567">
        <v>8.23</v>
      </c>
      <c r="H21" s="1572">
        <f t="shared" si="1"/>
        <v>0.81473242009132418</v>
      </c>
      <c r="I21" s="1573">
        <f t="shared" si="2"/>
        <v>4460.66</v>
      </c>
      <c r="J21" s="1122"/>
      <c r="T21" s="1573">
        <v>542</v>
      </c>
      <c r="U21" s="1573">
        <f>'Hospit_Data_"A"_ExtraHPA'!O47</f>
        <v>0</v>
      </c>
    </row>
    <row r="22" spans="2:21" ht="18" thickBot="1">
      <c r="B22" s="1566" t="s">
        <v>1124</v>
      </c>
      <c r="C22" s="1573">
        <v>304</v>
      </c>
      <c r="D22" s="1573">
        <v>305</v>
      </c>
      <c r="E22" s="1573">
        <f t="shared" si="0"/>
        <v>885.3138447101187</v>
      </c>
      <c r="F22" s="1568">
        <v>21</v>
      </c>
      <c r="G22" s="1567">
        <v>7.8</v>
      </c>
      <c r="H22" s="1572">
        <f t="shared" si="1"/>
        <v>0.90090645645648093</v>
      </c>
      <c r="I22" s="1573">
        <f t="shared" si="2"/>
        <v>6905.4479887389261</v>
      </c>
      <c r="J22" s="1122"/>
      <c r="T22" s="1573">
        <v>816</v>
      </c>
      <c r="U22" s="1573">
        <f>'Hospit_Data_"A"_ExtraHPA'!O45</f>
        <v>69.313844710118701</v>
      </c>
    </row>
    <row r="23" spans="2:21" ht="24" thickBot="1">
      <c r="B23" s="1569"/>
      <c r="C23" s="1574">
        <f>SUM(C7:C22)</f>
        <v>38245</v>
      </c>
      <c r="D23" s="1574">
        <f t="shared" ref="D23:E23" si="3">SUM(D7:D22)</f>
        <v>44851</v>
      </c>
      <c r="E23" s="1574">
        <f t="shared" si="3"/>
        <v>42027.88124626768</v>
      </c>
      <c r="F23" s="1570">
        <f>SUM(F7:F22)</f>
        <v>643</v>
      </c>
      <c r="G23" s="1576">
        <f>I23/E23</f>
        <v>4.7098221864909906</v>
      </c>
      <c r="H23" s="1575">
        <f>I23/(F23*365)</f>
        <v>0.84340888193135832</v>
      </c>
      <c r="I23" s="1574">
        <f>SUM(I7:I22)</f>
        <v>197943.84754488015</v>
      </c>
      <c r="T23" s="1574">
        <f>SUM(T7:T22)</f>
        <v>42331</v>
      </c>
      <c r="U23" s="1574">
        <f>SUM(U7:U22)</f>
        <v>-303.11875373230998</v>
      </c>
    </row>
    <row r="24" spans="2:21" ht="16" thickBot="1"/>
    <row r="25" spans="2:21" ht="51">
      <c r="B25" s="1620" t="s">
        <v>3464</v>
      </c>
      <c r="C25" s="1564" t="s">
        <v>3456</v>
      </c>
      <c r="D25" s="1564" t="s">
        <v>3456</v>
      </c>
      <c r="E25" s="1564" t="s">
        <v>3459</v>
      </c>
      <c r="F25" s="1618" t="s">
        <v>3168</v>
      </c>
      <c r="G25" s="1618" t="s">
        <v>1044</v>
      </c>
      <c r="H25" s="1618" t="s">
        <v>1045</v>
      </c>
      <c r="I25" s="1564"/>
      <c r="T25" s="1564" t="s">
        <v>3459</v>
      </c>
      <c r="U25" s="1564" t="s">
        <v>3459</v>
      </c>
    </row>
    <row r="26" spans="2:21" ht="52" thickBot="1">
      <c r="B26" s="1621"/>
      <c r="C26" s="1565" t="s">
        <v>3457</v>
      </c>
      <c r="D26" s="1565" t="s">
        <v>3458</v>
      </c>
      <c r="E26" s="1565" t="s">
        <v>3465</v>
      </c>
      <c r="F26" s="1619"/>
      <c r="G26" s="1619"/>
      <c r="H26" s="1619"/>
      <c r="I26" s="1565"/>
      <c r="T26" s="1565" t="s">
        <v>3465</v>
      </c>
      <c r="U26" s="1565" t="s">
        <v>3465</v>
      </c>
    </row>
    <row r="27" spans="2:21" ht="18" thickBot="1">
      <c r="B27" s="1566" t="s">
        <v>1125</v>
      </c>
      <c r="C27" s="1573">
        <v>2682</v>
      </c>
      <c r="D27" s="1573">
        <v>2775</v>
      </c>
      <c r="E27" s="1573">
        <f t="shared" ref="E27:E38" si="4">T27+U27</f>
        <v>4531.4001925582706</v>
      </c>
      <c r="F27" s="1568">
        <v>180</v>
      </c>
      <c r="G27" s="1567">
        <v>12.5</v>
      </c>
      <c r="H27" s="1572">
        <f t="shared" ref="H27:H38" si="5">E27*G27/(F27*365)</f>
        <v>0.86213854500728138</v>
      </c>
      <c r="I27" s="1573">
        <f t="shared" ref="I27:I38" si="6">E27*G27</f>
        <v>56642.502406978383</v>
      </c>
      <c r="J27" s="1122"/>
      <c r="T27" s="1573">
        <v>2752</v>
      </c>
      <c r="U27" s="1573">
        <f>'Hospit_Data_"A"_ExtraHPA'!O10</f>
        <v>1779.4001925582711</v>
      </c>
    </row>
    <row r="28" spans="2:21" ht="18" thickBot="1">
      <c r="B28" s="1566" t="s">
        <v>3466</v>
      </c>
      <c r="C28" s="1573">
        <v>1727</v>
      </c>
      <c r="D28" s="1573">
        <v>1906</v>
      </c>
      <c r="E28" s="1573">
        <f t="shared" si="4"/>
        <v>2974.5349956734135</v>
      </c>
      <c r="F28" s="1568">
        <v>60</v>
      </c>
      <c r="G28" s="1567">
        <v>6.1</v>
      </c>
      <c r="H28" s="1572">
        <f t="shared" si="5"/>
        <v>0.82852344628346219</v>
      </c>
      <c r="I28" s="1573">
        <f t="shared" si="6"/>
        <v>18144.663473607823</v>
      </c>
      <c r="J28" s="1122"/>
      <c r="T28" s="1573">
        <v>1940</v>
      </c>
      <c r="U28" s="1573">
        <f>'Hospit_Data_"A"_ExtraHPA'!O33</f>
        <v>1034.5349956734135</v>
      </c>
    </row>
    <row r="29" spans="2:21" ht="18" thickBot="1">
      <c r="B29" s="1566" t="s">
        <v>1126</v>
      </c>
      <c r="C29" s="1573">
        <v>658</v>
      </c>
      <c r="D29" s="1573">
        <v>683</v>
      </c>
      <c r="E29" s="1573">
        <f t="shared" si="4"/>
        <v>847.52984095642728</v>
      </c>
      <c r="F29" s="1568">
        <v>10</v>
      </c>
      <c r="G29" s="1567">
        <v>4.0999999999999996</v>
      </c>
      <c r="H29" s="1572">
        <f t="shared" si="5"/>
        <v>0.95201982134831542</v>
      </c>
      <c r="I29" s="1573">
        <f t="shared" si="6"/>
        <v>3474.8723479213513</v>
      </c>
      <c r="J29" s="1122"/>
      <c r="T29" s="1573">
        <v>598</v>
      </c>
      <c r="U29" s="1573">
        <f>'Hospit_Data_"A"_ExtraHPA'!O43</f>
        <v>249.52984095642731</v>
      </c>
    </row>
    <row r="30" spans="2:21" ht="18" thickBot="1">
      <c r="B30" s="1566" t="s">
        <v>1127</v>
      </c>
      <c r="C30" s="1573">
        <v>843</v>
      </c>
      <c r="D30" s="1573">
        <v>860</v>
      </c>
      <c r="E30" s="1573">
        <f t="shared" si="4"/>
        <v>945.3138447101187</v>
      </c>
      <c r="F30" s="1568">
        <v>14</v>
      </c>
      <c r="G30" s="1567">
        <v>5.0999999999999996</v>
      </c>
      <c r="H30" s="1572">
        <f t="shared" si="5"/>
        <v>0.94346391546411057</v>
      </c>
      <c r="I30" s="1573">
        <f t="shared" si="6"/>
        <v>4821.1006080216048</v>
      </c>
      <c r="J30" s="1122"/>
      <c r="T30" s="1573">
        <v>876</v>
      </c>
      <c r="U30" s="1573">
        <f>'Hospit_Data_"A"_ExtraHPA'!O41</f>
        <v>69.313844710118701</v>
      </c>
    </row>
    <row r="31" spans="2:21" ht="18" thickBot="1">
      <c r="B31" s="1566" t="s">
        <v>1128</v>
      </c>
      <c r="C31" s="1573">
        <v>1147</v>
      </c>
      <c r="D31" s="1573">
        <v>1147</v>
      </c>
      <c r="E31" s="1573">
        <f t="shared" si="4"/>
        <v>1582.8830682607122</v>
      </c>
      <c r="F31" s="1568">
        <v>24</v>
      </c>
      <c r="G31" s="1567">
        <v>4.99</v>
      </c>
      <c r="H31" s="1572">
        <f t="shared" si="5"/>
        <v>0.90166512678321398</v>
      </c>
      <c r="I31" s="1573">
        <f t="shared" si="6"/>
        <v>7898.586510620954</v>
      </c>
      <c r="J31" s="1122"/>
      <c r="T31" s="1573">
        <v>1167</v>
      </c>
      <c r="U31" s="1573">
        <f>'Hospit_Data_"A"_ExtraHPA'!O44</f>
        <v>415.88306826071221</v>
      </c>
    </row>
    <row r="32" spans="2:21" ht="18" thickBot="1">
      <c r="B32" s="1566" t="s">
        <v>1129</v>
      </c>
      <c r="C32" s="1573">
        <v>1128</v>
      </c>
      <c r="D32" s="1573">
        <v>1330</v>
      </c>
      <c r="E32" s="1573">
        <f t="shared" si="4"/>
        <v>2676.6492047821366</v>
      </c>
      <c r="F32" s="1568">
        <v>60</v>
      </c>
      <c r="G32" s="1567">
        <v>7.5</v>
      </c>
      <c r="H32" s="1572">
        <f t="shared" si="5"/>
        <v>0.91666068656922484</v>
      </c>
      <c r="I32" s="1573">
        <f t="shared" si="6"/>
        <v>20074.869035866024</v>
      </c>
      <c r="J32" s="1122"/>
      <c r="T32" s="1573">
        <v>1429</v>
      </c>
      <c r="U32" s="1573">
        <f>'Hospit_Data_"A"_ExtraHPA'!O40</f>
        <v>1247.6492047821366</v>
      </c>
    </row>
    <row r="33" spans="2:21" ht="18" thickBot="1">
      <c r="B33" s="1566" t="s">
        <v>1130</v>
      </c>
      <c r="C33" s="1573">
        <v>952</v>
      </c>
      <c r="D33" s="1573">
        <v>952</v>
      </c>
      <c r="E33" s="1573">
        <f t="shared" si="4"/>
        <v>782.64677269571507</v>
      </c>
      <c r="F33" s="1568">
        <v>10</v>
      </c>
      <c r="G33" s="1567">
        <v>4.5999999999999996</v>
      </c>
      <c r="H33" s="1572">
        <f t="shared" si="5"/>
        <v>0.98634935736994223</v>
      </c>
      <c r="I33" s="1573">
        <f t="shared" si="6"/>
        <v>3600.1751544002891</v>
      </c>
      <c r="J33" s="1122"/>
      <c r="T33" s="1573">
        <v>949</v>
      </c>
      <c r="U33" s="1573">
        <f>'Hospit_Data_"A"_ExtraHPA'!O42</f>
        <v>-166.35322730428487</v>
      </c>
    </row>
    <row r="34" spans="2:21" ht="18" thickBot="1">
      <c r="B34" s="1566" t="s">
        <v>1123</v>
      </c>
      <c r="C34" s="1573">
        <v>1530</v>
      </c>
      <c r="D34" s="1573">
        <v>1530</v>
      </c>
      <c r="E34" s="1573">
        <f t="shared" si="4"/>
        <v>988.6264733770264</v>
      </c>
      <c r="F34" s="1568">
        <v>20</v>
      </c>
      <c r="G34" s="1567">
        <v>7</v>
      </c>
      <c r="H34" s="1572">
        <f t="shared" si="5"/>
        <v>0.94799798816975134</v>
      </c>
      <c r="I34" s="1573">
        <f t="shared" si="6"/>
        <v>6920.3853136391845</v>
      </c>
      <c r="J34" s="1122"/>
      <c r="T34" s="1573">
        <v>1557</v>
      </c>
      <c r="U34" s="1573">
        <f>'Hospit_Data_"A"_ExtraHPA'!O46</f>
        <v>-568.3735266229736</v>
      </c>
    </row>
    <row r="35" spans="2:21" ht="18" thickBot="1">
      <c r="B35" s="1566" t="s">
        <v>1120</v>
      </c>
      <c r="C35" s="1573">
        <v>1395</v>
      </c>
      <c r="D35" s="1573">
        <v>1412</v>
      </c>
      <c r="E35" s="1573">
        <f t="shared" si="4"/>
        <v>1351</v>
      </c>
      <c r="F35" s="1568">
        <v>25</v>
      </c>
      <c r="G35" s="1567">
        <v>6.5</v>
      </c>
      <c r="H35" s="1572">
        <f t="shared" si="5"/>
        <v>0.96235616438356164</v>
      </c>
      <c r="I35" s="1573">
        <f t="shared" si="6"/>
        <v>8781.5</v>
      </c>
      <c r="J35" s="1122"/>
      <c r="T35" s="1573">
        <v>1351</v>
      </c>
      <c r="U35" s="1573"/>
    </row>
    <row r="36" spans="2:21" ht="18" thickBot="1">
      <c r="B36" s="1566" t="s">
        <v>1131</v>
      </c>
      <c r="C36" s="1573">
        <v>575</v>
      </c>
      <c r="D36" s="1573">
        <v>589</v>
      </c>
      <c r="E36" s="1573">
        <f t="shared" si="4"/>
        <v>632.3138447101187</v>
      </c>
      <c r="F36" s="1568">
        <v>20</v>
      </c>
      <c r="G36" s="1567">
        <v>10.64</v>
      </c>
      <c r="H36" s="1572">
        <f t="shared" si="5"/>
        <v>0.92161908324872099</v>
      </c>
      <c r="I36" s="1573">
        <f t="shared" si="6"/>
        <v>6727.8193077156629</v>
      </c>
      <c r="J36" s="1122"/>
      <c r="T36" s="1573">
        <v>563</v>
      </c>
      <c r="U36" s="1573">
        <f>'Hospit_Data_"A"_ExtraHPA'!O39</f>
        <v>69.313844710118701</v>
      </c>
    </row>
    <row r="37" spans="2:21" ht="18" thickBot="1">
      <c r="B37" s="1566" t="s">
        <v>1132</v>
      </c>
      <c r="C37" s="1573">
        <v>0</v>
      </c>
      <c r="D37" s="1573">
        <v>0</v>
      </c>
      <c r="E37" s="1573">
        <f t="shared" si="4"/>
        <v>547.45046981828341</v>
      </c>
      <c r="F37" s="1568">
        <v>35</v>
      </c>
      <c r="G37" s="1567">
        <v>21</v>
      </c>
      <c r="H37" s="1572">
        <f t="shared" si="5"/>
        <v>0.89991858052320561</v>
      </c>
      <c r="I37" s="1573">
        <f t="shared" si="6"/>
        <v>11496.459866183952</v>
      </c>
      <c r="J37" s="1122"/>
      <c r="T37" s="1573">
        <v>504</v>
      </c>
      <c r="U37" s="1573">
        <f>'Hospit_Data_"A"_ExtraHPA'!O36</f>
        <v>43.450469818283366</v>
      </c>
    </row>
    <row r="38" spans="2:21" ht="18" thickBot="1">
      <c r="B38" s="1566" t="s">
        <v>1133</v>
      </c>
      <c r="C38" s="1573">
        <v>0</v>
      </c>
      <c r="D38" s="1573">
        <v>0</v>
      </c>
      <c r="E38" s="1573">
        <f t="shared" si="4"/>
        <v>167.38442957599452</v>
      </c>
      <c r="F38" s="1568">
        <v>35</v>
      </c>
      <c r="G38" s="1567">
        <v>75</v>
      </c>
      <c r="H38" s="1572">
        <f t="shared" si="5"/>
        <v>0.98268745347941977</v>
      </c>
      <c r="I38" s="1573">
        <f t="shared" si="6"/>
        <v>12553.832218199588</v>
      </c>
      <c r="J38" s="1122"/>
      <c r="T38" s="1573">
        <v>66</v>
      </c>
      <c r="U38" s="1573">
        <f>'Hospit_Data_"A"_ExtraHPA'!O37</f>
        <v>101.38442957599452</v>
      </c>
    </row>
    <row r="39" spans="2:21" ht="24" thickBot="1">
      <c r="B39" s="1569"/>
      <c r="C39" s="1574">
        <f>SUM(C27:C38)</f>
        <v>12637</v>
      </c>
      <c r="D39" s="1574">
        <f t="shared" ref="D39:E39" si="7">SUM(D27:D38)</f>
        <v>13184</v>
      </c>
      <c r="E39" s="1574">
        <f t="shared" si="7"/>
        <v>18027.733137118219</v>
      </c>
      <c r="F39" s="1574">
        <f>SUM(F27:F38)</f>
        <v>493</v>
      </c>
      <c r="G39" s="1576">
        <f>I39/E39</f>
        <v>8.9382711080508574</v>
      </c>
      <c r="H39" s="1575">
        <f>I39/(F39*365)</f>
        <v>0.8954778751460436</v>
      </c>
      <c r="I39" s="1574">
        <f>SUM(I27:I38)</f>
        <v>161136.76624315482</v>
      </c>
      <c r="T39" s="1574">
        <f>SUM(T27:T38)</f>
        <v>13752</v>
      </c>
      <c r="U39" s="1574">
        <f>SUM(U27:U38)</f>
        <v>4275.7331371182181</v>
      </c>
    </row>
    <row r="40" spans="2:21" ht="17" thickBot="1">
      <c r="F40" s="1574">
        <f>F39+F23</f>
        <v>1136</v>
      </c>
    </row>
  </sheetData>
  <mergeCells count="8">
    <mergeCell ref="B5:B6"/>
    <mergeCell ref="F5:F6"/>
    <mergeCell ref="G5:G6"/>
    <mergeCell ref="H5:H6"/>
    <mergeCell ref="B25:B26"/>
    <mergeCell ref="F25:F26"/>
    <mergeCell ref="G25:G26"/>
    <mergeCell ref="H25:H26"/>
  </mergeCells>
  <pageMargins left="0.7" right="0.7" top="0.75" bottom="0.75" header="0.3" footer="0.3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2D9A-F0B0-423E-BCEE-CDF00C482788}">
  <sheetPr>
    <tabColor theme="0"/>
  </sheetPr>
  <dimension ref="B4:I40"/>
  <sheetViews>
    <sheetView workbookViewId="0"/>
  </sheetViews>
  <sheetFormatPr baseColWidth="10" defaultColWidth="8.83203125" defaultRowHeight="15"/>
  <cols>
    <col min="1" max="1" width="7.6640625" style="69" customWidth="1"/>
    <col min="2" max="2" width="35.6640625" style="69" customWidth="1"/>
    <col min="3" max="8" width="8.83203125" style="69"/>
    <col min="9" max="9" width="12.1640625" style="69" bestFit="1" customWidth="1"/>
    <col min="10" max="16384" width="8.83203125" style="69"/>
  </cols>
  <sheetData>
    <row r="4" spans="2:9" ht="16" thickBot="1"/>
    <row r="5" spans="2:9" ht="51">
      <c r="B5" s="1616" t="s">
        <v>3463</v>
      </c>
      <c r="C5" s="1564" t="s">
        <v>3456</v>
      </c>
      <c r="D5" s="1564" t="s">
        <v>3456</v>
      </c>
      <c r="E5" s="1564" t="s">
        <v>3459</v>
      </c>
      <c r="F5" s="1564" t="s">
        <v>3459</v>
      </c>
      <c r="G5" s="1618" t="s">
        <v>3168</v>
      </c>
      <c r="H5" s="1618" t="s">
        <v>1044</v>
      </c>
      <c r="I5" s="1618" t="s">
        <v>1045</v>
      </c>
    </row>
    <row r="6" spans="2:9" ht="52" thickBot="1">
      <c r="B6" s="1617"/>
      <c r="C6" s="1565" t="s">
        <v>3457</v>
      </c>
      <c r="D6" s="1565" t="s">
        <v>3458</v>
      </c>
      <c r="E6" s="1565" t="s">
        <v>3460</v>
      </c>
      <c r="F6" s="1565" t="s">
        <v>3461</v>
      </c>
      <c r="G6" s="1619"/>
      <c r="H6" s="1619"/>
      <c r="I6" s="1619"/>
    </row>
    <row r="7" spans="2:9" ht="18" thickBot="1">
      <c r="B7" s="1566" t="s">
        <v>3462</v>
      </c>
      <c r="C7" s="1567">
        <v>8497</v>
      </c>
      <c r="D7" s="1567">
        <v>8899</v>
      </c>
      <c r="E7" s="1567">
        <v>7512</v>
      </c>
      <c r="F7" s="1567">
        <v>7867</v>
      </c>
      <c r="G7" s="1568">
        <v>110</v>
      </c>
      <c r="H7" s="1567">
        <v>4.3</v>
      </c>
      <c r="I7" s="1572">
        <f>F7*H7/(G7*365)</f>
        <v>0.8425429638854296</v>
      </c>
    </row>
    <row r="8" spans="2:9" ht="18" thickBot="1">
      <c r="B8" s="1566" t="s">
        <v>1113</v>
      </c>
      <c r="C8" s="1567">
        <v>5586</v>
      </c>
      <c r="D8" s="1567">
        <v>6372</v>
      </c>
      <c r="E8" s="1567">
        <v>5108</v>
      </c>
      <c r="F8" s="1567">
        <v>5828</v>
      </c>
      <c r="G8" s="1568">
        <v>115</v>
      </c>
      <c r="H8" s="1567">
        <v>5.9</v>
      </c>
      <c r="I8" s="1572">
        <f t="shared" ref="I8:I22" si="0">F8*H8/(G8*365)</f>
        <v>0.81918284693269816</v>
      </c>
    </row>
    <row r="9" spans="2:9" ht="18" thickBot="1">
      <c r="B9" s="1566" t="s">
        <v>1114</v>
      </c>
      <c r="C9" s="1567">
        <v>3619</v>
      </c>
      <c r="D9" s="1567">
        <v>4994</v>
      </c>
      <c r="E9" s="1567">
        <v>2973</v>
      </c>
      <c r="F9" s="1567">
        <v>4288</v>
      </c>
      <c r="G9" s="1568">
        <v>80</v>
      </c>
      <c r="H9" s="1567">
        <v>5.8</v>
      </c>
      <c r="I9" s="1572">
        <f t="shared" si="0"/>
        <v>0.85172602739726022</v>
      </c>
    </row>
    <row r="10" spans="2:9" ht="18" thickBot="1">
      <c r="B10" s="1566" t="s">
        <v>1115</v>
      </c>
      <c r="C10" s="1567">
        <v>418</v>
      </c>
      <c r="D10" s="1567">
        <v>594</v>
      </c>
      <c r="E10" s="1567">
        <v>418</v>
      </c>
      <c r="F10" s="1567">
        <v>595</v>
      </c>
      <c r="G10" s="1568">
        <v>11</v>
      </c>
      <c r="H10" s="1567">
        <v>5.8</v>
      </c>
      <c r="I10" s="1572">
        <f t="shared" si="0"/>
        <v>0.85952677459526772</v>
      </c>
    </row>
    <row r="11" spans="2:9" ht="18" thickBot="1">
      <c r="B11" s="1566" t="s">
        <v>1116</v>
      </c>
      <c r="C11" s="1567">
        <v>3616</v>
      </c>
      <c r="D11" s="1567">
        <v>3676</v>
      </c>
      <c r="E11" s="1567">
        <v>3208</v>
      </c>
      <c r="F11" s="1567">
        <v>3258</v>
      </c>
      <c r="G11" s="1568">
        <v>35</v>
      </c>
      <c r="H11" s="1567">
        <v>3.2</v>
      </c>
      <c r="I11" s="1572">
        <f t="shared" si="0"/>
        <v>0.81609393346379655</v>
      </c>
    </row>
    <row r="12" spans="2:9" ht="18" thickBot="1">
      <c r="B12" s="1566" t="s">
        <v>1117</v>
      </c>
      <c r="C12" s="1567">
        <v>2088</v>
      </c>
      <c r="D12" s="1567">
        <v>2859</v>
      </c>
      <c r="E12" s="1567">
        <v>1828</v>
      </c>
      <c r="F12" s="1567">
        <v>2503</v>
      </c>
      <c r="G12" s="1568">
        <v>28</v>
      </c>
      <c r="H12" s="1567">
        <v>3.5</v>
      </c>
      <c r="I12" s="1572">
        <f t="shared" si="0"/>
        <v>0.85719178082191783</v>
      </c>
    </row>
    <row r="13" spans="2:9" ht="18" thickBot="1">
      <c r="B13" s="1566" t="s">
        <v>1118</v>
      </c>
      <c r="C13" s="1567">
        <v>2931</v>
      </c>
      <c r="D13" s="1567">
        <v>3163</v>
      </c>
      <c r="E13" s="1567">
        <v>2983</v>
      </c>
      <c r="F13" s="1567">
        <v>3219</v>
      </c>
      <c r="G13" s="1568">
        <v>40</v>
      </c>
      <c r="H13" s="1567">
        <v>3.8</v>
      </c>
      <c r="I13" s="1572">
        <f t="shared" si="0"/>
        <v>0.83782191780821913</v>
      </c>
    </row>
    <row r="14" spans="2:9" ht="18" thickBot="1">
      <c r="B14" s="1566" t="s">
        <v>1119</v>
      </c>
      <c r="C14" s="1567">
        <v>2775</v>
      </c>
      <c r="D14" s="1567">
        <v>2779</v>
      </c>
      <c r="E14" s="1567">
        <v>254</v>
      </c>
      <c r="F14" s="1567">
        <v>2544</v>
      </c>
      <c r="G14" s="1568">
        <v>40</v>
      </c>
      <c r="H14" s="1567">
        <v>4.95</v>
      </c>
      <c r="I14" s="1572">
        <f t="shared" si="0"/>
        <v>0.86252054794520561</v>
      </c>
    </row>
    <row r="15" spans="2:9" ht="18" thickBot="1">
      <c r="B15" s="1566" t="s">
        <v>387</v>
      </c>
      <c r="C15" s="1567">
        <v>1905</v>
      </c>
      <c r="D15" s="1567">
        <v>1934</v>
      </c>
      <c r="E15" s="1567">
        <v>1551</v>
      </c>
      <c r="F15" s="1567">
        <v>1575</v>
      </c>
      <c r="G15" s="1568">
        <v>11</v>
      </c>
      <c r="H15" s="1567">
        <v>2.16</v>
      </c>
      <c r="I15" s="1572">
        <f t="shared" si="0"/>
        <v>0.84732254047322542</v>
      </c>
    </row>
    <row r="16" spans="2:9" ht="18" thickBot="1">
      <c r="B16" s="1566" t="s">
        <v>1120</v>
      </c>
      <c r="C16" s="1567">
        <v>189</v>
      </c>
      <c r="D16" s="1567">
        <v>4302</v>
      </c>
      <c r="E16" s="1567">
        <v>1891</v>
      </c>
      <c r="F16" s="1567">
        <v>4304</v>
      </c>
      <c r="G16" s="1568">
        <v>68</v>
      </c>
      <c r="H16" s="1567">
        <v>5.05</v>
      </c>
      <c r="I16" s="1572">
        <f t="shared" si="0"/>
        <v>0.8757131345688961</v>
      </c>
    </row>
    <row r="17" spans="2:9" ht="18" thickBot="1">
      <c r="B17" s="1566" t="s">
        <v>375</v>
      </c>
      <c r="C17" s="1567">
        <v>1736</v>
      </c>
      <c r="D17" s="1567">
        <v>1767</v>
      </c>
      <c r="E17" s="1567">
        <v>1767</v>
      </c>
      <c r="F17" s="1567">
        <v>1798</v>
      </c>
      <c r="G17" s="1568">
        <v>35</v>
      </c>
      <c r="H17" s="1567">
        <v>5.8</v>
      </c>
      <c r="I17" s="1572">
        <f t="shared" si="0"/>
        <v>0.81631311154598818</v>
      </c>
    </row>
    <row r="18" spans="2:9" ht="18" thickBot="1">
      <c r="B18" s="1566" t="s">
        <v>1121</v>
      </c>
      <c r="C18" s="1567">
        <v>1001</v>
      </c>
      <c r="D18" s="1567">
        <v>1143</v>
      </c>
      <c r="E18" s="1567">
        <v>876</v>
      </c>
      <c r="F18" s="1567">
        <v>1000</v>
      </c>
      <c r="G18" s="1568">
        <v>15</v>
      </c>
      <c r="H18" s="1567">
        <v>4.4000000000000004</v>
      </c>
      <c r="I18" s="1572">
        <f t="shared" si="0"/>
        <v>0.80365296803652964</v>
      </c>
    </row>
    <row r="19" spans="2:9" ht="18" thickBot="1">
      <c r="B19" s="1566" t="s">
        <v>1122</v>
      </c>
      <c r="C19" s="1567">
        <v>740</v>
      </c>
      <c r="D19" s="1567">
        <v>925</v>
      </c>
      <c r="E19" s="1567">
        <v>647</v>
      </c>
      <c r="F19" s="1567">
        <v>810</v>
      </c>
      <c r="G19" s="1568">
        <v>11</v>
      </c>
      <c r="H19" s="1567">
        <v>4.0999999999999996</v>
      </c>
      <c r="I19" s="1572">
        <f t="shared" si="0"/>
        <v>0.82714819427148178</v>
      </c>
    </row>
    <row r="20" spans="2:9" ht="18" thickBot="1">
      <c r="B20" s="1566" t="s">
        <v>382</v>
      </c>
      <c r="C20" s="1567">
        <v>606</v>
      </c>
      <c r="D20" s="1567">
        <v>606</v>
      </c>
      <c r="E20" s="1567">
        <v>1384</v>
      </c>
      <c r="F20" s="1567">
        <v>1384</v>
      </c>
      <c r="G20" s="1568">
        <v>36</v>
      </c>
      <c r="H20" s="1567">
        <v>6.5</v>
      </c>
      <c r="I20" s="1572">
        <f t="shared" si="0"/>
        <v>0.68462709284627088</v>
      </c>
    </row>
    <row r="21" spans="2:9" ht="18" thickBot="1">
      <c r="B21" s="1566" t="s">
        <v>1123</v>
      </c>
      <c r="C21" s="1567">
        <v>533</v>
      </c>
      <c r="D21" s="1567">
        <v>533</v>
      </c>
      <c r="E21" s="1567">
        <v>542</v>
      </c>
      <c r="F21" s="1567">
        <v>542</v>
      </c>
      <c r="G21" s="1568">
        <v>15</v>
      </c>
      <c r="H21" s="1567">
        <v>8.23</v>
      </c>
      <c r="I21" s="1572">
        <f t="shared" si="0"/>
        <v>0.81473242009132418</v>
      </c>
    </row>
    <row r="22" spans="2:9" ht="18" thickBot="1">
      <c r="B22" s="1566" t="s">
        <v>1124</v>
      </c>
      <c r="C22" s="1567">
        <v>304</v>
      </c>
      <c r="D22" s="1567">
        <v>305</v>
      </c>
      <c r="E22" s="1567">
        <v>815</v>
      </c>
      <c r="F22" s="1567">
        <v>816</v>
      </c>
      <c r="G22" s="1568">
        <v>21</v>
      </c>
      <c r="H22" s="1567">
        <v>7.8</v>
      </c>
      <c r="I22" s="1572">
        <f t="shared" si="0"/>
        <v>0.83037181996086107</v>
      </c>
    </row>
    <row r="23" spans="2:9" ht="24" thickBot="1">
      <c r="B23" s="1569"/>
      <c r="C23" s="1570">
        <v>12635</v>
      </c>
      <c r="D23" s="1570">
        <v>13184</v>
      </c>
      <c r="E23" s="1570">
        <v>1319</v>
      </c>
      <c r="F23" s="1570">
        <v>13751</v>
      </c>
      <c r="G23" s="1570">
        <f>SUM(G7:G22)</f>
        <v>671</v>
      </c>
      <c r="H23" s="1571"/>
      <c r="I23" s="1571"/>
    </row>
    <row r="24" spans="2:9" ht="16" thickBot="1"/>
    <row r="25" spans="2:9" ht="51">
      <c r="B25" s="1620" t="s">
        <v>3464</v>
      </c>
      <c r="C25" s="1564" t="s">
        <v>3456</v>
      </c>
      <c r="D25" s="1564" t="s">
        <v>3456</v>
      </c>
      <c r="E25" s="1564" t="s">
        <v>3459</v>
      </c>
      <c r="F25" s="1564" t="s">
        <v>3459</v>
      </c>
      <c r="G25" s="1618" t="s">
        <v>3168</v>
      </c>
      <c r="H25" s="1618" t="s">
        <v>1044</v>
      </c>
      <c r="I25" s="1618" t="s">
        <v>1045</v>
      </c>
    </row>
    <row r="26" spans="2:9" ht="52" thickBot="1">
      <c r="B26" s="1621"/>
      <c r="C26" s="1565" t="s">
        <v>3457</v>
      </c>
      <c r="D26" s="1565" t="s">
        <v>3458</v>
      </c>
      <c r="E26" s="1565" t="s">
        <v>3460</v>
      </c>
      <c r="F26" s="1565" t="s">
        <v>3465</v>
      </c>
      <c r="G26" s="1619"/>
      <c r="H26" s="1619"/>
      <c r="I26" s="1619"/>
    </row>
    <row r="27" spans="2:9" ht="18" thickBot="1">
      <c r="B27" s="1566" t="s">
        <v>1125</v>
      </c>
      <c r="C27" s="1567">
        <v>2682</v>
      </c>
      <c r="D27" s="1567">
        <v>2775</v>
      </c>
      <c r="E27" s="1567">
        <v>266</v>
      </c>
      <c r="F27" s="1567">
        <v>2752</v>
      </c>
      <c r="G27" s="1568">
        <v>135</v>
      </c>
      <c r="H27" s="1567">
        <v>12.5</v>
      </c>
      <c r="I27" s="1572">
        <f t="shared" ref="I27:I38" si="1">F27*H27/(G27*365)</f>
        <v>0.6981227803145611</v>
      </c>
    </row>
    <row r="28" spans="2:9" ht="18" thickBot="1">
      <c r="B28" s="1566" t="s">
        <v>3466</v>
      </c>
      <c r="C28" s="1567">
        <v>1727</v>
      </c>
      <c r="D28" s="1567">
        <v>1906</v>
      </c>
      <c r="E28" s="1567">
        <v>1757</v>
      </c>
      <c r="F28" s="1567">
        <v>1940</v>
      </c>
      <c r="G28" s="1568">
        <v>40</v>
      </c>
      <c r="H28" s="1567">
        <v>6.1</v>
      </c>
      <c r="I28" s="1572">
        <f t="shared" si="1"/>
        <v>0.81054794520547946</v>
      </c>
    </row>
    <row r="29" spans="2:9" ht="18" thickBot="1">
      <c r="B29" s="1566" t="s">
        <v>1126</v>
      </c>
      <c r="C29" s="1567">
        <v>658</v>
      </c>
      <c r="D29" s="1567">
        <v>683</v>
      </c>
      <c r="E29" s="1567">
        <v>576</v>
      </c>
      <c r="F29" s="1567">
        <v>598</v>
      </c>
      <c r="G29" s="1568">
        <v>10</v>
      </c>
      <c r="H29" s="1567">
        <v>4.0999999999999996</v>
      </c>
      <c r="I29" s="1572">
        <f t="shared" si="1"/>
        <v>0.67172602739726017</v>
      </c>
    </row>
    <row r="30" spans="2:9" ht="18" thickBot="1">
      <c r="B30" s="1566" t="s">
        <v>1127</v>
      </c>
      <c r="C30" s="1567">
        <v>843</v>
      </c>
      <c r="D30" s="1567">
        <v>860</v>
      </c>
      <c r="E30" s="1567">
        <v>858</v>
      </c>
      <c r="F30" s="1567">
        <v>876</v>
      </c>
      <c r="G30" s="1568">
        <v>14</v>
      </c>
      <c r="H30" s="1567">
        <v>5.0999999999999996</v>
      </c>
      <c r="I30" s="1572">
        <f t="shared" si="1"/>
        <v>0.87428571428571422</v>
      </c>
    </row>
    <row r="31" spans="2:9" ht="18" thickBot="1">
      <c r="B31" s="1566" t="s">
        <v>1128</v>
      </c>
      <c r="C31" s="1567">
        <v>1147</v>
      </c>
      <c r="D31" s="1567">
        <v>1147</v>
      </c>
      <c r="E31" s="1567">
        <v>1167</v>
      </c>
      <c r="F31" s="1567">
        <v>1167</v>
      </c>
      <c r="G31" s="1568">
        <v>24</v>
      </c>
      <c r="H31" s="1567">
        <v>4.99</v>
      </c>
      <c r="I31" s="1572">
        <f t="shared" si="1"/>
        <v>0.66476369863013696</v>
      </c>
    </row>
    <row r="32" spans="2:9" ht="18" thickBot="1">
      <c r="B32" s="1566" t="s">
        <v>1129</v>
      </c>
      <c r="C32" s="1567">
        <v>1128</v>
      </c>
      <c r="D32" s="1567">
        <v>133</v>
      </c>
      <c r="E32" s="1567">
        <v>1211</v>
      </c>
      <c r="F32" s="1567">
        <v>1429</v>
      </c>
      <c r="G32" s="1568">
        <v>34</v>
      </c>
      <c r="H32" s="1567">
        <v>7.5</v>
      </c>
      <c r="I32" s="1572">
        <f t="shared" si="1"/>
        <v>0.86361804995970992</v>
      </c>
    </row>
    <row r="33" spans="2:9" ht="18" thickBot="1">
      <c r="B33" s="1566" t="s">
        <v>1130</v>
      </c>
      <c r="C33" s="1567">
        <v>952</v>
      </c>
      <c r="D33" s="1567">
        <v>952</v>
      </c>
      <c r="E33" s="1567">
        <v>949</v>
      </c>
      <c r="F33" s="1567">
        <v>949</v>
      </c>
      <c r="G33" s="1568">
        <v>15</v>
      </c>
      <c r="H33" s="1567">
        <v>4.5999999999999996</v>
      </c>
      <c r="I33" s="1572">
        <f t="shared" si="1"/>
        <v>0.79733333333333323</v>
      </c>
    </row>
    <row r="34" spans="2:9" ht="18" thickBot="1">
      <c r="B34" s="1566" t="s">
        <v>1123</v>
      </c>
      <c r="C34" s="1567">
        <v>153</v>
      </c>
      <c r="D34" s="1567">
        <v>153</v>
      </c>
      <c r="E34" s="1567">
        <v>1557</v>
      </c>
      <c r="F34" s="1567">
        <v>1557</v>
      </c>
      <c r="G34" s="1568">
        <v>36</v>
      </c>
      <c r="H34" s="1567">
        <v>7</v>
      </c>
      <c r="I34" s="1572">
        <f t="shared" si="1"/>
        <v>0.82945205479452055</v>
      </c>
    </row>
    <row r="35" spans="2:9" ht="18" thickBot="1">
      <c r="B35" s="1566" t="s">
        <v>1120</v>
      </c>
      <c r="C35" s="1567">
        <v>1395</v>
      </c>
      <c r="D35" s="1567">
        <v>1412</v>
      </c>
      <c r="E35" s="1567">
        <v>1335</v>
      </c>
      <c r="F35" s="1567">
        <v>1351</v>
      </c>
      <c r="G35" s="1568">
        <v>30</v>
      </c>
      <c r="H35" s="1567">
        <v>6.5</v>
      </c>
      <c r="I35" s="1572">
        <f t="shared" si="1"/>
        <v>0.80196347031963466</v>
      </c>
    </row>
    <row r="36" spans="2:9" ht="18" thickBot="1">
      <c r="B36" s="1566" t="s">
        <v>1131</v>
      </c>
      <c r="C36" s="1567">
        <v>575</v>
      </c>
      <c r="D36" s="1567">
        <v>589</v>
      </c>
      <c r="E36" s="1567">
        <v>550</v>
      </c>
      <c r="F36" s="1567">
        <v>563</v>
      </c>
      <c r="G36" s="1568">
        <v>20</v>
      </c>
      <c r="H36" s="1567">
        <v>10.64</v>
      </c>
      <c r="I36" s="1572">
        <f t="shared" si="1"/>
        <v>0.82059178082191786</v>
      </c>
    </row>
    <row r="37" spans="2:9" ht="18" thickBot="1">
      <c r="B37" s="1566" t="s">
        <v>1132</v>
      </c>
      <c r="C37" s="1567">
        <v>0</v>
      </c>
      <c r="D37" s="1567">
        <v>0</v>
      </c>
      <c r="E37" s="1567">
        <v>504</v>
      </c>
      <c r="F37" s="1567">
        <v>504</v>
      </c>
      <c r="G37" s="1568">
        <v>32</v>
      </c>
      <c r="H37" s="1567">
        <v>21</v>
      </c>
      <c r="I37" s="1572">
        <f t="shared" si="1"/>
        <v>0.90616438356164386</v>
      </c>
    </row>
    <row r="38" spans="2:9" ht="18" thickBot="1">
      <c r="B38" s="1566" t="s">
        <v>1133</v>
      </c>
      <c r="C38" s="1567">
        <v>0</v>
      </c>
      <c r="D38" s="1567">
        <v>0</v>
      </c>
      <c r="E38" s="1567">
        <v>66</v>
      </c>
      <c r="F38" s="1567">
        <v>66</v>
      </c>
      <c r="G38" s="1568">
        <v>14</v>
      </c>
      <c r="H38" s="1567">
        <v>75</v>
      </c>
      <c r="I38" s="1572">
        <f t="shared" si="1"/>
        <v>0.96868884540117417</v>
      </c>
    </row>
    <row r="39" spans="2:9" ht="24" thickBot="1">
      <c r="B39" s="1569"/>
      <c r="C39" s="1570">
        <v>12635</v>
      </c>
      <c r="D39" s="1570">
        <v>13184</v>
      </c>
      <c r="E39" s="1570">
        <v>1319</v>
      </c>
      <c r="F39" s="1570">
        <v>13751</v>
      </c>
      <c r="G39" s="1570">
        <f>SUM(G27:G38)</f>
        <v>404</v>
      </c>
      <c r="H39" s="1571"/>
      <c r="I39" s="1571"/>
    </row>
    <row r="40" spans="2:9" ht="17" thickBot="1">
      <c r="G40" s="1570">
        <f>G39+G23</f>
        <v>1075</v>
      </c>
    </row>
  </sheetData>
  <mergeCells count="8">
    <mergeCell ref="B5:B6"/>
    <mergeCell ref="G5:G6"/>
    <mergeCell ref="H5:H6"/>
    <mergeCell ref="I5:I6"/>
    <mergeCell ref="B25:B26"/>
    <mergeCell ref="G25:G26"/>
    <mergeCell ref="H25:H26"/>
    <mergeCell ref="I25:I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3D2AB-A142-41EE-88E5-8B5F79D2FFD5}">
  <sheetPr>
    <tabColor theme="6" tint="0.79998168889431442"/>
  </sheetPr>
  <dimension ref="B2:J23"/>
  <sheetViews>
    <sheetView workbookViewId="0"/>
  </sheetViews>
  <sheetFormatPr baseColWidth="10" defaultColWidth="8.83203125" defaultRowHeight="15"/>
  <cols>
    <col min="1" max="1" width="6.83203125" style="69" customWidth="1"/>
    <col min="2" max="2" width="50.33203125" style="69" customWidth="1"/>
    <col min="3" max="3" width="12.6640625" style="69" customWidth="1"/>
    <col min="4" max="33" width="10.83203125" style="69" customWidth="1"/>
    <col min="34" max="16384" width="8.83203125" style="69"/>
  </cols>
  <sheetData>
    <row r="2" spans="2:10" s="1033" customFormat="1" ht="32">
      <c r="B2" s="1159" t="s">
        <v>3323</v>
      </c>
      <c r="C2" s="1160" t="s">
        <v>3322</v>
      </c>
      <c r="D2" s="1161">
        <v>2022</v>
      </c>
      <c r="E2" s="1161">
        <v>2023</v>
      </c>
      <c r="F2" s="1161">
        <v>2024</v>
      </c>
      <c r="G2" s="1161">
        <v>2025</v>
      </c>
      <c r="H2" s="1161">
        <v>2026</v>
      </c>
      <c r="I2" s="1161">
        <v>2027</v>
      </c>
      <c r="J2" s="1161">
        <v>2028</v>
      </c>
    </row>
    <row r="3" spans="2:10" ht="16">
      <c r="B3" s="1034" t="s">
        <v>3324</v>
      </c>
      <c r="C3" s="813">
        <f>capex_final!AC42/1000</f>
        <v>48474.439911673915</v>
      </c>
      <c r="D3" s="69" cm="1">
        <f t="array" ref="D3:D6">TRANSPOSE(capex_final!AC43:AF43)/1000</f>
        <v>0</v>
      </c>
      <c r="E3" s="69" cm="1">
        <f t="array" ref="E3:E6">TRANSPOSE(capex_final!AC44:AF44)/1000</f>
        <v>7347.6727487999997</v>
      </c>
      <c r="F3" s="69" cm="1">
        <f t="array" ref="F3:F6">TRANSPOSE(capex_final!AC45:AF45)/1000</f>
        <v>2278.8140711999999</v>
      </c>
      <c r="G3" s="69" cm="1">
        <f t="array" ref="G3:G6">TRANSPOSE(capex_final!AC46:AF46)/1000</f>
        <v>883.79176800000005</v>
      </c>
      <c r="H3" s="69" cm="1">
        <f t="array" ref="H3:H6">TRANSPOSE(capex_final!AC47:AF47)/1000</f>
        <v>7592.8322647347841</v>
      </c>
      <c r="I3" s="69" cm="1">
        <f t="array" ref="I3:I6">TRANSPOSE(capex_final!AC48:AF48)/1000</f>
        <v>18982.080661836961</v>
      </c>
      <c r="J3" s="69" cm="1">
        <f t="array" ref="J3:J6">TRANSPOSE(capex_final!AC49:AF49)/1000</f>
        <v>11389.248397102177</v>
      </c>
    </row>
    <row r="4" spans="2:10" ht="16">
      <c r="B4" s="1034" t="s">
        <v>3326</v>
      </c>
      <c r="C4" s="813">
        <f>capex_final!AD42/1000</f>
        <v>300183.03301999997</v>
      </c>
      <c r="D4" s="69">
        <v>13363.568471500001</v>
      </c>
      <c r="E4" s="69">
        <v>63361.254844939998</v>
      </c>
      <c r="F4" s="69">
        <v>124885.13761048</v>
      </c>
      <c r="G4" s="69">
        <v>98573.072093080002</v>
      </c>
      <c r="H4" s="69">
        <v>0</v>
      </c>
      <c r="I4" s="69">
        <v>0</v>
      </c>
      <c r="J4" s="69">
        <v>0</v>
      </c>
    </row>
    <row r="5" spans="2:10" ht="16">
      <c r="B5" s="1034" t="s">
        <v>3327</v>
      </c>
      <c r="C5" s="813">
        <f>capex_final!AE42/1000</f>
        <v>321516.06109384389</v>
      </c>
      <c r="D5" s="69">
        <v>0</v>
      </c>
      <c r="E5" s="69">
        <v>14388.074937600002</v>
      </c>
      <c r="F5" s="69">
        <v>3597.0187344000005</v>
      </c>
      <c r="G5" s="69">
        <v>0</v>
      </c>
      <c r="H5" s="69">
        <v>60706.193484368778</v>
      </c>
      <c r="I5" s="69">
        <v>151765.48371092195</v>
      </c>
      <c r="J5" s="69">
        <v>91059.290226553174</v>
      </c>
    </row>
    <row r="6" spans="2:10" ht="16">
      <c r="B6" s="1036" t="s">
        <v>3325</v>
      </c>
      <c r="C6" s="1037">
        <f>capex_final!AF42/1000</f>
        <v>69971.121068402004</v>
      </c>
      <c r="D6" s="604">
        <v>8557.3711936</v>
      </c>
      <c r="E6" s="604">
        <v>28391.831211199999</v>
      </c>
      <c r="F6" s="604">
        <v>15741.892905776</v>
      </c>
      <c r="G6" s="604">
        <v>16861.550169344002</v>
      </c>
      <c r="H6" s="604">
        <v>83.695117696400629</v>
      </c>
      <c r="I6" s="604">
        <v>209.23779424100158</v>
      </c>
      <c r="J6" s="604">
        <v>125.54267654460095</v>
      </c>
    </row>
    <row r="7" spans="2:10" s="457" customFormat="1" ht="16">
      <c r="B7" s="1162" t="s">
        <v>1165</v>
      </c>
      <c r="C7" s="1163">
        <f>SUM(C3:C6)</f>
        <v>740144.65509391972</v>
      </c>
      <c r="D7" s="1164">
        <f t="shared" ref="D7:J7" si="0">SUM(D3:D6)</f>
        <v>21920.939665099999</v>
      </c>
      <c r="E7" s="1164">
        <f t="shared" si="0"/>
        <v>113488.83374254</v>
      </c>
      <c r="F7" s="1164">
        <f t="shared" si="0"/>
        <v>146502.86332185601</v>
      </c>
      <c r="G7" s="1164">
        <f t="shared" si="0"/>
        <v>116318.414030424</v>
      </c>
      <c r="H7" s="1164">
        <f t="shared" si="0"/>
        <v>68382.720866799966</v>
      </c>
      <c r="I7" s="1164">
        <f t="shared" si="0"/>
        <v>170956.8021669999</v>
      </c>
      <c r="J7" s="1164">
        <f t="shared" si="0"/>
        <v>102574.08130019995</v>
      </c>
    </row>
    <row r="10" spans="2:10" ht="32">
      <c r="B10" s="1159" t="s">
        <v>3323</v>
      </c>
      <c r="C10" s="1160" t="s">
        <v>3322</v>
      </c>
      <c r="D10" s="1161">
        <v>2022</v>
      </c>
      <c r="E10" s="1161">
        <v>2023</v>
      </c>
      <c r="F10" s="1161">
        <v>2024</v>
      </c>
      <c r="G10" s="1161">
        <v>2025</v>
      </c>
      <c r="H10" s="1161">
        <v>2026</v>
      </c>
      <c r="I10" s="1161">
        <v>2027</v>
      </c>
      <c r="J10" s="1161">
        <v>2028</v>
      </c>
    </row>
    <row r="11" spans="2:10" ht="16">
      <c r="B11" s="1129" t="s">
        <v>3386</v>
      </c>
      <c r="C11" s="1130">
        <f>SUM(D11:J11)</f>
        <v>52137417.658799998</v>
      </c>
      <c r="D11" s="1055">
        <f>capex_final!AP50</f>
        <v>0</v>
      </c>
      <c r="E11" s="1055">
        <f>capex_final!AQ50</f>
        <v>0</v>
      </c>
      <c r="F11" s="1055">
        <f>capex_final!AR50</f>
        <v>0</v>
      </c>
      <c r="G11" s="1055">
        <f>capex_final!AS50</f>
        <v>52137417.658799998</v>
      </c>
      <c r="H11" s="1055">
        <f>capex_final!AT50</f>
        <v>0</v>
      </c>
      <c r="I11" s="1055">
        <f>capex_final!AU50</f>
        <v>0</v>
      </c>
      <c r="J11" s="1055">
        <f>capex_final!AV50</f>
        <v>0</v>
      </c>
    </row>
    <row r="12" spans="2:10" ht="16">
      <c r="B12" s="1034" t="s">
        <v>3387</v>
      </c>
      <c r="C12" s="813">
        <f t="shared" ref="C12:C13" si="1">SUM(D12:J12)</f>
        <v>195647392.45199999</v>
      </c>
      <c r="D12" s="69">
        <f>capex_final!AP51</f>
        <v>16487851.4715</v>
      </c>
      <c r="E12" s="69">
        <f>capex_final!AQ51</f>
        <v>66005780.869659998</v>
      </c>
      <c r="F12" s="69">
        <f>capex_final!AR51</f>
        <v>94691159.002719998</v>
      </c>
      <c r="G12" s="69">
        <f>capex_final!AS51</f>
        <v>18462601.108120002</v>
      </c>
      <c r="H12" s="69">
        <f>capex_final!AT51</f>
        <v>0</v>
      </c>
      <c r="I12" s="69">
        <f>capex_final!AU51</f>
        <v>0</v>
      </c>
      <c r="J12" s="69">
        <f>capex_final!AV51</f>
        <v>0</v>
      </c>
    </row>
    <row r="13" spans="2:10" ht="16">
      <c r="B13" s="1162" t="s">
        <v>1165</v>
      </c>
      <c r="C13" s="1163">
        <f t="shared" si="1"/>
        <v>247784810.1108</v>
      </c>
      <c r="D13" s="1164">
        <f t="shared" ref="D13:J13" si="2">SUM(D11:D12)</f>
        <v>16487851.4715</v>
      </c>
      <c r="E13" s="1164">
        <f t="shared" si="2"/>
        <v>66005780.869659998</v>
      </c>
      <c r="F13" s="1164">
        <f t="shared" si="2"/>
        <v>94691159.002719998</v>
      </c>
      <c r="G13" s="1164">
        <f t="shared" si="2"/>
        <v>70600018.76692</v>
      </c>
      <c r="H13" s="1164">
        <f t="shared" si="2"/>
        <v>0</v>
      </c>
      <c r="I13" s="1164">
        <f t="shared" si="2"/>
        <v>0</v>
      </c>
      <c r="J13" s="1164">
        <f t="shared" si="2"/>
        <v>0</v>
      </c>
    </row>
    <row r="15" spans="2:10" ht="32">
      <c r="B15" s="1159" t="s">
        <v>3323</v>
      </c>
      <c r="C15" s="1160" t="s">
        <v>3322</v>
      </c>
      <c r="D15" s="1161">
        <v>2022</v>
      </c>
      <c r="E15" s="1161">
        <v>2023</v>
      </c>
      <c r="F15" s="1161">
        <v>2024</v>
      </c>
      <c r="G15" s="1161">
        <v>2025</v>
      </c>
      <c r="H15" s="1161">
        <v>2026</v>
      </c>
      <c r="I15" s="1161">
        <v>2027</v>
      </c>
      <c r="J15" s="1161">
        <v>2028</v>
      </c>
    </row>
    <row r="16" spans="2:10" ht="16">
      <c r="B16" s="1129" t="s">
        <v>3388</v>
      </c>
      <c r="C16" s="1130">
        <f>SUM(D16:J16)</f>
        <v>17135589.961199999</v>
      </c>
      <c r="D16" s="1055">
        <f>capex_final!AP55</f>
        <v>0</v>
      </c>
      <c r="E16" s="1055">
        <f>capex_final!AQ55</f>
        <v>0</v>
      </c>
      <c r="F16" s="1055">
        <f>capex_final!AR55</f>
        <v>2412459.6129600001</v>
      </c>
      <c r="G16" s="1055">
        <f>capex_final!AS55</f>
        <v>14723130.348239999</v>
      </c>
      <c r="H16" s="1055">
        <f>capex_final!AT55</f>
        <v>0</v>
      </c>
      <c r="I16" s="1055">
        <f>capex_final!AU55</f>
        <v>0</v>
      </c>
      <c r="J16" s="1055">
        <f>capex_final!AV55</f>
        <v>0</v>
      </c>
    </row>
    <row r="17" spans="2:10" ht="16">
      <c r="B17" s="1034" t="s">
        <v>3389</v>
      </c>
      <c r="C17" s="813">
        <f t="shared" ref="C17:C18" si="3">SUM(D17:J17)</f>
        <v>67040108.403999999</v>
      </c>
      <c r="D17" s="69">
        <f>capex_final!AP56</f>
        <v>1772800</v>
      </c>
      <c r="E17" s="69">
        <f>capex_final!AQ56</f>
        <v>11503801.20248</v>
      </c>
      <c r="F17" s="69">
        <f>capex_final!AR56</f>
        <v>33557952.455600001</v>
      </c>
      <c r="G17" s="69">
        <f>capex_final!AS56</f>
        <v>20205554.745920006</v>
      </c>
      <c r="H17" s="69">
        <f>capex_final!AT56</f>
        <v>0</v>
      </c>
      <c r="I17" s="69">
        <f>capex_final!AU56</f>
        <v>0</v>
      </c>
      <c r="J17" s="69">
        <f>capex_final!AV56</f>
        <v>0</v>
      </c>
    </row>
    <row r="18" spans="2:10" ht="16">
      <c r="B18" s="1162" t="s">
        <v>1165</v>
      </c>
      <c r="C18" s="1163">
        <f t="shared" si="3"/>
        <v>84175698.365200013</v>
      </c>
      <c r="D18" s="1164">
        <f t="shared" ref="D18:J18" si="4">SUM(D16:D17)</f>
        <v>1772800</v>
      </c>
      <c r="E18" s="1164">
        <f t="shared" si="4"/>
        <v>11503801.20248</v>
      </c>
      <c r="F18" s="1164">
        <f t="shared" si="4"/>
        <v>35970412.068560004</v>
      </c>
      <c r="G18" s="1164">
        <f t="shared" si="4"/>
        <v>34928685.094160005</v>
      </c>
      <c r="H18" s="1164">
        <f t="shared" si="4"/>
        <v>0</v>
      </c>
      <c r="I18" s="1164">
        <f t="shared" si="4"/>
        <v>0</v>
      </c>
      <c r="J18" s="1164">
        <f t="shared" si="4"/>
        <v>0</v>
      </c>
    </row>
    <row r="20" spans="2:10" ht="32">
      <c r="B20" s="1159" t="s">
        <v>3323</v>
      </c>
      <c r="C20" s="1160" t="s">
        <v>3322</v>
      </c>
      <c r="D20" s="1161">
        <v>2022</v>
      </c>
      <c r="E20" s="1161">
        <v>2023</v>
      </c>
      <c r="F20" s="1161">
        <v>2024</v>
      </c>
      <c r="G20" s="1161">
        <v>2025</v>
      </c>
      <c r="H20" s="1161">
        <v>2026</v>
      </c>
      <c r="I20" s="1161">
        <v>2027</v>
      </c>
      <c r="J20" s="1161">
        <v>2028</v>
      </c>
    </row>
    <row r="21" spans="2:10" ht="16">
      <c r="B21" s="1129" t="s">
        <v>3390</v>
      </c>
      <c r="C21" s="1130">
        <f>SUM(D21:J21)</f>
        <v>93264116.039833724</v>
      </c>
      <c r="D21" s="1055">
        <f>capex_final!AP60</f>
        <v>0</v>
      </c>
      <c r="E21" s="1055">
        <f>capex_final!AQ60</f>
        <v>0</v>
      </c>
      <c r="F21" s="1055">
        <f>capex_final!AR60</f>
        <v>2091978.8697760003</v>
      </c>
      <c r="G21" s="1055">
        <f>capex_final!AS60</f>
        <v>392539.102144</v>
      </c>
      <c r="H21" s="1055">
        <f>capex_final!AT60</f>
        <v>0</v>
      </c>
      <c r="I21" s="1055">
        <f>capex_final!AU60</f>
        <v>0</v>
      </c>
      <c r="J21" s="1055">
        <f>capex_final!AV60</f>
        <v>90779598.067913726</v>
      </c>
    </row>
    <row r="22" spans="2:10" ht="16">
      <c r="B22" s="1034" t="s">
        <v>3391</v>
      </c>
      <c r="C22" s="813">
        <f t="shared" ref="C22:C23" si="5">SUM(D22:J22)</f>
        <v>314920030.57808614</v>
      </c>
      <c r="D22" s="69">
        <f>capex_final!AP61</f>
        <v>3660288.1936000008</v>
      </c>
      <c r="E22" s="69">
        <f>capex_final!AQ61</f>
        <v>35979251.670400001</v>
      </c>
      <c r="F22" s="69">
        <f>capex_final!AR61</f>
        <v>13749313.380800001</v>
      </c>
      <c r="G22" s="69">
        <f>capex_final!AS61</f>
        <v>10397171.067200001</v>
      </c>
      <c r="H22" s="69">
        <f>capex_final!AT61</f>
        <v>68382720.866799966</v>
      </c>
      <c r="I22" s="69">
        <f>capex_final!AU61</f>
        <v>170956802.16699994</v>
      </c>
      <c r="J22" s="69">
        <f>capex_final!AV61</f>
        <v>11794483.23228623</v>
      </c>
    </row>
    <row r="23" spans="2:10" ht="16">
      <c r="B23" s="1162" t="s">
        <v>1165</v>
      </c>
      <c r="C23" s="1163">
        <f t="shared" si="5"/>
        <v>408184146.61791992</v>
      </c>
      <c r="D23" s="1164">
        <f t="shared" ref="D23:J23" si="6">SUM(D21:D22)</f>
        <v>3660288.1936000008</v>
      </c>
      <c r="E23" s="1164">
        <f t="shared" si="6"/>
        <v>35979251.670400001</v>
      </c>
      <c r="F23" s="1164">
        <f t="shared" si="6"/>
        <v>15841292.250576001</v>
      </c>
      <c r="G23" s="1164">
        <f t="shared" si="6"/>
        <v>10789710.169344001</v>
      </c>
      <c r="H23" s="1164">
        <f t="shared" si="6"/>
        <v>68382720.866799966</v>
      </c>
      <c r="I23" s="1164">
        <f t="shared" si="6"/>
        <v>170956802.16699994</v>
      </c>
      <c r="J23" s="1164">
        <f t="shared" si="6"/>
        <v>102574081.30019996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679D-F2A3-470C-965E-6D9B15E44C04}">
  <sheetPr>
    <tabColor theme="0"/>
  </sheetPr>
  <dimension ref="A1:O965"/>
  <sheetViews>
    <sheetView workbookViewId="0"/>
  </sheetViews>
  <sheetFormatPr baseColWidth="10" defaultColWidth="8.83203125" defaultRowHeight="15"/>
  <cols>
    <col min="1" max="1" width="19.6640625" style="63" bestFit="1" customWidth="1"/>
    <col min="2" max="2" width="45" style="63" customWidth="1"/>
    <col min="3" max="3" width="13.83203125" style="63" hidden="1" customWidth="1"/>
    <col min="4" max="8" width="13.83203125" style="63" customWidth="1"/>
    <col min="9" max="9" width="8.83203125" style="63"/>
    <col min="10" max="10" width="15" style="63" customWidth="1"/>
    <col min="11" max="11" width="13.83203125" style="63" customWidth="1"/>
    <col min="12" max="16384" width="8.83203125" style="63"/>
  </cols>
  <sheetData>
    <row r="1" spans="1:11">
      <c r="A1" s="584" t="s">
        <v>1206</v>
      </c>
      <c r="B1" s="584" t="s">
        <v>1207</v>
      </c>
      <c r="C1" s="585" t="s">
        <v>428</v>
      </c>
      <c r="D1" s="585" t="s">
        <v>427</v>
      </c>
      <c r="E1" s="585" t="s">
        <v>799</v>
      </c>
      <c r="F1" s="585" t="s">
        <v>800</v>
      </c>
      <c r="G1" s="585" t="s">
        <v>2821</v>
      </c>
      <c r="H1" s="585" t="s">
        <v>2879</v>
      </c>
      <c r="I1" s="586"/>
      <c r="K1" s="585" t="s">
        <v>2822</v>
      </c>
    </row>
    <row r="2" spans="1:11">
      <c r="A2" s="355" t="s">
        <v>1210</v>
      </c>
      <c r="B2" s="355" t="s">
        <v>1211</v>
      </c>
      <c r="C2" s="69">
        <v>894567.94</v>
      </c>
      <c r="D2" s="69">
        <v>910196.23</v>
      </c>
      <c r="E2" s="69">
        <v>916508.92</v>
      </c>
      <c r="F2" s="69">
        <v>920788.6</v>
      </c>
      <c r="G2" s="69">
        <v>953403.85</v>
      </c>
      <c r="H2" s="69">
        <f>VLOOKUP(A2,Ucto_HK_2021!$A$2:$D$929,4,FALSE)</f>
        <v>961685.62</v>
      </c>
      <c r="K2" s="69">
        <v>957185.62</v>
      </c>
    </row>
    <row r="3" spans="1:11">
      <c r="A3" s="355" t="s">
        <v>1212</v>
      </c>
      <c r="C3" s="69">
        <v>894567.94</v>
      </c>
      <c r="D3" s="69">
        <v>910196.23</v>
      </c>
      <c r="E3" s="69">
        <v>916508.92</v>
      </c>
      <c r="F3" s="69">
        <v>920788.6</v>
      </c>
      <c r="G3" s="69">
        <v>953403.85</v>
      </c>
      <c r="H3" s="69">
        <f>VLOOKUP(A3,Ucto_HK_2021!$A$2:$D$929,4,FALSE)</f>
        <v>961685.62</v>
      </c>
      <c r="K3" s="69">
        <v>957185.62</v>
      </c>
    </row>
    <row r="4" spans="1:11">
      <c r="A4" s="584" t="s">
        <v>1213</v>
      </c>
      <c r="C4" s="587">
        <v>894567.94</v>
      </c>
      <c r="D4" s="587">
        <v>910196.23</v>
      </c>
      <c r="E4" s="69">
        <v>916508.92</v>
      </c>
      <c r="F4" s="69">
        <v>920788.6</v>
      </c>
      <c r="G4" s="69">
        <v>953403.85</v>
      </c>
      <c r="H4" s="69">
        <f>VLOOKUP(A4,Ucto_HK_2021!$A$2:$D$929,4,FALSE)</f>
        <v>961685.62</v>
      </c>
      <c r="K4" s="69">
        <v>957185.62</v>
      </c>
    </row>
    <row r="5" spans="1:11">
      <c r="A5" s="355" t="s">
        <v>1214</v>
      </c>
      <c r="B5" s="355" t="s">
        <v>1215</v>
      </c>
      <c r="C5" s="69">
        <v>32660644.329999998</v>
      </c>
      <c r="D5" s="69">
        <v>33074421.640000001</v>
      </c>
      <c r="E5" s="69">
        <v>33041619.109999999</v>
      </c>
      <c r="F5" s="69">
        <v>33010936.690000001</v>
      </c>
      <c r="G5" s="69">
        <v>33023206.77</v>
      </c>
      <c r="H5" s="69">
        <f>VLOOKUP(A5,Ucto_HK_2021!$A$2:$D$929,4,FALSE)</f>
        <v>33206694.27</v>
      </c>
      <c r="K5" s="69">
        <v>33099432.09</v>
      </c>
    </row>
    <row r="6" spans="1:11">
      <c r="A6" s="355" t="s">
        <v>1216</v>
      </c>
      <c r="B6" s="355" t="s">
        <v>1217</v>
      </c>
      <c r="C6" s="69">
        <v>31268163.629999999</v>
      </c>
      <c r="D6" s="69">
        <v>31943289.579999998</v>
      </c>
      <c r="E6" s="69">
        <v>31943289.579999998</v>
      </c>
      <c r="F6" s="69">
        <v>32984692.449999999</v>
      </c>
      <c r="G6" s="69">
        <v>33779823.770000003</v>
      </c>
      <c r="H6" s="69">
        <f>VLOOKUP(A6,Ucto_HK_2021!$A$2:$D$929,4,FALSE)</f>
        <v>34574733.130000003</v>
      </c>
      <c r="K6" s="69">
        <v>34418921.93</v>
      </c>
    </row>
    <row r="7" spans="1:11">
      <c r="A7" s="355" t="s">
        <v>1218</v>
      </c>
      <c r="C7" s="69">
        <v>63928807.960000001</v>
      </c>
      <c r="D7" s="69">
        <v>65017711.219999999</v>
      </c>
      <c r="E7" s="69">
        <v>64984908.689999998</v>
      </c>
      <c r="F7" s="69">
        <v>65995629.140000001</v>
      </c>
      <c r="G7" s="69">
        <v>66803030.539999999</v>
      </c>
      <c r="H7" s="69">
        <f>VLOOKUP(A7,Ucto_HK_2021!$A$2:$D$929,4,FALSE)</f>
        <v>67781427.400000006</v>
      </c>
      <c r="K7" s="69">
        <v>67518354.019999996</v>
      </c>
    </row>
    <row r="8" spans="1:11">
      <c r="A8" s="355" t="s">
        <v>1219</v>
      </c>
      <c r="B8" s="355" t="s">
        <v>1220</v>
      </c>
      <c r="C8" s="69">
        <v>75866666.620000005</v>
      </c>
      <c r="D8" s="69">
        <v>76265147.239999995</v>
      </c>
      <c r="E8" s="69">
        <v>72753875.400000006</v>
      </c>
      <c r="F8" s="69">
        <v>74674288.409999996</v>
      </c>
      <c r="G8" s="69">
        <v>76283712.549999997</v>
      </c>
      <c r="H8" s="69">
        <f>VLOOKUP(A8,Ucto_HK_2021!$A$2:$D$929,4,FALSE)</f>
        <v>79337986.730000004</v>
      </c>
      <c r="K8" s="69">
        <v>78074740.590000004</v>
      </c>
    </row>
    <row r="9" spans="1:11">
      <c r="A9" s="355" t="s">
        <v>1221</v>
      </c>
      <c r="C9" s="69">
        <v>75866666.620000005</v>
      </c>
      <c r="D9" s="69">
        <v>76265147.239999995</v>
      </c>
      <c r="E9" s="69">
        <v>72753875.400000006</v>
      </c>
      <c r="F9" s="69">
        <v>74674288.409999996</v>
      </c>
      <c r="G9" s="69">
        <v>76283712.549999997</v>
      </c>
      <c r="H9" s="69">
        <f>VLOOKUP(A9,Ucto_HK_2021!$A$2:$D$929,4,FALSE)</f>
        <v>79337986.730000004</v>
      </c>
      <c r="K9" s="69">
        <v>78074740.590000004</v>
      </c>
    </row>
    <row r="10" spans="1:11">
      <c r="A10" s="355" t="s">
        <v>1222</v>
      </c>
      <c r="B10" s="355" t="s">
        <v>1223</v>
      </c>
      <c r="C10" s="69">
        <v>643404.18000000005</v>
      </c>
      <c r="D10" s="69">
        <v>650964.18000000005</v>
      </c>
      <c r="E10" s="69">
        <v>624614.56000000006</v>
      </c>
      <c r="F10" s="69">
        <v>639596.89</v>
      </c>
      <c r="G10" s="69">
        <v>552522.13</v>
      </c>
      <c r="H10" s="69">
        <f>VLOOKUP(A10,Ucto_HK_2021!$A$2:$D$929,4,FALSE)</f>
        <v>601287.93000000005</v>
      </c>
      <c r="K10" s="69">
        <v>601287.93000000005</v>
      </c>
    </row>
    <row r="11" spans="1:11">
      <c r="A11" s="355" t="s">
        <v>1224</v>
      </c>
      <c r="C11" s="69">
        <v>643404.18000000005</v>
      </c>
      <c r="D11" s="69">
        <v>650964.18000000005</v>
      </c>
      <c r="E11" s="69">
        <v>624614.56000000006</v>
      </c>
      <c r="F11" s="69">
        <v>639596.89</v>
      </c>
      <c r="G11" s="69">
        <v>552522.13</v>
      </c>
      <c r="H11" s="69">
        <f>VLOOKUP(A11,Ucto_HK_2021!$A$2:$D$929,4,FALSE)</f>
        <v>601287.93000000005</v>
      </c>
      <c r="K11" s="69">
        <v>601287.93000000005</v>
      </c>
    </row>
    <row r="12" spans="1:11">
      <c r="A12" s="355" t="s">
        <v>1225</v>
      </c>
      <c r="B12" s="355" t="s">
        <v>1226</v>
      </c>
      <c r="C12" s="69">
        <v>288292.89</v>
      </c>
      <c r="D12" s="69">
        <v>287898.98</v>
      </c>
      <c r="E12" s="69">
        <v>287464.31</v>
      </c>
      <c r="F12" s="69">
        <v>288686.67</v>
      </c>
      <c r="G12" s="69">
        <v>288686.67</v>
      </c>
      <c r="H12" s="69">
        <f>VLOOKUP(A12,Ucto_HK_2021!$A$2:$D$929,4,FALSE)</f>
        <v>285599.8</v>
      </c>
      <c r="K12" s="69">
        <v>285599.8</v>
      </c>
    </row>
    <row r="13" spans="1:11">
      <c r="A13" s="355" t="s">
        <v>1227</v>
      </c>
      <c r="B13" s="355" t="s">
        <v>1228</v>
      </c>
      <c r="C13" s="69">
        <v>8685832.3699999992</v>
      </c>
      <c r="D13" s="69">
        <v>8634287.2899999991</v>
      </c>
      <c r="E13" s="69">
        <v>8634287.2899999991</v>
      </c>
      <c r="F13" s="69">
        <v>8634287.2899999991</v>
      </c>
      <c r="G13" s="69">
        <v>8800347.3000000007</v>
      </c>
      <c r="H13" s="69">
        <f>VLOOKUP(A13,Ucto_HK_2021!$A$2:$D$929,4,FALSE)</f>
        <v>8800347.3000000007</v>
      </c>
      <c r="K13" s="69">
        <v>8800347.3000000007</v>
      </c>
    </row>
    <row r="14" spans="1:11">
      <c r="A14" s="355" t="s">
        <v>1229</v>
      </c>
      <c r="B14" s="355" t="s">
        <v>1230</v>
      </c>
      <c r="C14" s="69">
        <v>0</v>
      </c>
      <c r="D14" s="69">
        <v>120290.46</v>
      </c>
      <c r="E14" s="69">
        <v>297460.92</v>
      </c>
      <c r="F14" s="69">
        <v>297460.92</v>
      </c>
      <c r="G14" s="69">
        <v>469000.92</v>
      </c>
      <c r="H14" s="69">
        <f>VLOOKUP(A14,Ucto_HK_2021!$A$2:$D$929,4,FALSE)</f>
        <v>577762.07999999996</v>
      </c>
      <c r="K14" s="69">
        <v>469000.92</v>
      </c>
    </row>
    <row r="15" spans="1:11">
      <c r="A15" s="355" t="s">
        <v>1231</v>
      </c>
      <c r="C15" s="69">
        <v>8974125.2599999998</v>
      </c>
      <c r="D15" s="69">
        <v>9042476.7300000004</v>
      </c>
      <c r="E15" s="69">
        <v>9219212.5199999996</v>
      </c>
      <c r="F15" s="69">
        <v>9220434.8800000008</v>
      </c>
      <c r="G15" s="69">
        <v>9558034.8900000006</v>
      </c>
      <c r="H15" s="69">
        <f>VLOOKUP(A15,Ucto_HK_2021!$A$2:$D$929,4,FALSE)</f>
        <v>9663709.1799999997</v>
      </c>
      <c r="K15" s="69">
        <v>9554948.0199999996</v>
      </c>
    </row>
    <row r="16" spans="1:11" s="456" customFormat="1">
      <c r="A16" s="590" t="s">
        <v>1232</v>
      </c>
      <c r="C16" s="591">
        <v>149413004.02000001</v>
      </c>
      <c r="D16" s="591">
        <v>150976299.37</v>
      </c>
      <c r="E16" s="457">
        <v>147582611.16999999</v>
      </c>
      <c r="F16" s="457">
        <v>150529949.31999999</v>
      </c>
      <c r="G16" s="457">
        <v>153197300.11000001</v>
      </c>
      <c r="H16" s="457">
        <f>VLOOKUP(A16,Ucto_HK_2021!$A$2:$D$929,4,FALSE)</f>
        <v>157384411.24000001</v>
      </c>
      <c r="K16" s="457">
        <v>155749330.56</v>
      </c>
    </row>
    <row r="17" spans="1:11">
      <c r="A17" s="355" t="s">
        <v>1233</v>
      </c>
      <c r="B17" s="355" t="s">
        <v>1234</v>
      </c>
      <c r="C17" s="69">
        <v>7954115.5899999999</v>
      </c>
      <c r="D17" s="69">
        <v>7954115.5899999999</v>
      </c>
      <c r="E17" s="69">
        <v>7954115.5899999999</v>
      </c>
      <c r="F17" s="69">
        <v>7950047.3399999999</v>
      </c>
      <c r="G17" s="69">
        <v>7945421.4400000004</v>
      </c>
      <c r="H17" s="69">
        <f>VLOOKUP(A17,Ucto_HK_2021!$A$2:$D$929,4,FALSE)</f>
        <v>7945421.4400000004</v>
      </c>
      <c r="K17" s="69">
        <v>7945421.4400000004</v>
      </c>
    </row>
    <row r="18" spans="1:11">
      <c r="A18" s="355" t="s">
        <v>1235</v>
      </c>
      <c r="B18" s="355" t="s">
        <v>1236</v>
      </c>
      <c r="C18" s="69">
        <v>3639731.69</v>
      </c>
      <c r="D18" s="69">
        <v>3639731.69</v>
      </c>
      <c r="E18" s="69">
        <v>3639731.69</v>
      </c>
      <c r="F18" s="69">
        <v>3587652.16</v>
      </c>
      <c r="G18" s="69">
        <v>3587652.16</v>
      </c>
      <c r="H18" s="69">
        <f>VLOOKUP(A18,Ucto_HK_2021!$A$2:$D$929,4,FALSE)</f>
        <v>3587652.16</v>
      </c>
      <c r="K18" s="69">
        <v>3587652.16</v>
      </c>
    </row>
    <row r="19" spans="1:11">
      <c r="A19" s="355" t="s">
        <v>1237</v>
      </c>
      <c r="C19" s="69">
        <v>11593847.279999999</v>
      </c>
      <c r="D19" s="69">
        <v>11593847.279999999</v>
      </c>
      <c r="E19" s="69">
        <v>11593847.279999999</v>
      </c>
      <c r="F19" s="69">
        <v>11537699.5</v>
      </c>
      <c r="G19" s="69">
        <v>11533073.6</v>
      </c>
      <c r="H19" s="69">
        <f>VLOOKUP(A19,Ucto_HK_2021!$A$2:$D$929,4,FALSE)</f>
        <v>11533073.6</v>
      </c>
      <c r="K19" s="69">
        <v>11533073.6</v>
      </c>
    </row>
    <row r="20" spans="1:11">
      <c r="A20" s="355" t="s">
        <v>1238</v>
      </c>
      <c r="B20" s="355" t="s">
        <v>1239</v>
      </c>
      <c r="C20" s="69">
        <v>43644.53</v>
      </c>
      <c r="D20" s="69">
        <v>43644.53</v>
      </c>
      <c r="E20" s="69">
        <v>43644.53</v>
      </c>
      <c r="F20" s="69">
        <v>43644.53</v>
      </c>
      <c r="G20" s="69">
        <v>43644.53</v>
      </c>
      <c r="H20" s="69">
        <f>VLOOKUP(A20,Ucto_HK_2021!$A$2:$D$929,4,FALSE)</f>
        <v>43644.53</v>
      </c>
      <c r="K20" s="69">
        <v>43644.53</v>
      </c>
    </row>
    <row r="21" spans="1:11">
      <c r="A21" s="355" t="s">
        <v>1240</v>
      </c>
      <c r="C21" s="69">
        <v>43644.53</v>
      </c>
      <c r="D21" s="69">
        <v>43644.53</v>
      </c>
      <c r="E21" s="69">
        <v>43644.53</v>
      </c>
      <c r="F21" s="69">
        <v>43644.53</v>
      </c>
      <c r="G21" s="69">
        <v>43644.53</v>
      </c>
      <c r="H21" s="69">
        <f>VLOOKUP(A21,Ucto_HK_2021!$A$2:$D$929,4,FALSE)</f>
        <v>43644.53</v>
      </c>
      <c r="K21" s="69">
        <v>43644.53</v>
      </c>
    </row>
    <row r="22" spans="1:11" s="456" customFormat="1">
      <c r="A22" s="590" t="s">
        <v>1241</v>
      </c>
      <c r="C22" s="591">
        <v>11637491.810000001</v>
      </c>
      <c r="D22" s="591">
        <v>11637491.810000001</v>
      </c>
      <c r="E22" s="457">
        <v>11637491.810000001</v>
      </c>
      <c r="F22" s="457">
        <v>11581344.029999999</v>
      </c>
      <c r="G22" s="457">
        <v>11576718.130000001</v>
      </c>
      <c r="H22" s="457">
        <f>VLOOKUP(A22,Ucto_HK_2021!$A$2:$D$929,4,FALSE)</f>
        <v>11576718.130000001</v>
      </c>
      <c r="K22" s="457">
        <v>11576718.130000001</v>
      </c>
    </row>
    <row r="23" spans="1:11">
      <c r="A23" s="355" t="s">
        <v>1242</v>
      </c>
      <c r="B23" s="355" t="s">
        <v>1243</v>
      </c>
      <c r="C23" s="69">
        <v>0</v>
      </c>
      <c r="D23" s="69">
        <v>0</v>
      </c>
      <c r="E23" s="69">
        <v>9956.4</v>
      </c>
      <c r="F23" s="69">
        <v>0</v>
      </c>
      <c r="G23" s="69">
        <v>0</v>
      </c>
      <c r="H23" s="69">
        <f>VLOOKUP(A23,Ucto_HK_2021!$A$2:$D$929,4,FALSE)</f>
        <v>126804.89</v>
      </c>
      <c r="K23" s="69">
        <v>4500</v>
      </c>
    </row>
    <row r="24" spans="1:11">
      <c r="A24" s="355" t="s">
        <v>1244</v>
      </c>
      <c r="C24" s="69">
        <v>0</v>
      </c>
      <c r="D24" s="69">
        <v>0</v>
      </c>
      <c r="E24" s="69">
        <v>9956.4</v>
      </c>
      <c r="F24" s="69">
        <v>0</v>
      </c>
      <c r="G24" s="69">
        <v>0</v>
      </c>
      <c r="H24" s="69">
        <f>VLOOKUP(A24,Ucto_HK_2021!$A$2:$D$929,4,FALSE)</f>
        <v>126804.89</v>
      </c>
      <c r="K24" s="69">
        <v>4500</v>
      </c>
    </row>
    <row r="25" spans="1:11">
      <c r="A25" s="355" t="s">
        <v>1245</v>
      </c>
      <c r="B25" s="355" t="s">
        <v>1246</v>
      </c>
      <c r="C25" s="69">
        <v>883355.81</v>
      </c>
      <c r="D25" s="69">
        <v>0</v>
      </c>
      <c r="E25" s="69">
        <v>0</v>
      </c>
      <c r="F25" s="69">
        <v>205737.68</v>
      </c>
      <c r="G25" s="69">
        <v>126840</v>
      </c>
      <c r="H25" s="69">
        <f>VLOOKUP(A25,Ucto_HK_2021!$A$2:$D$929,4,FALSE)</f>
        <v>246930.37</v>
      </c>
      <c r="K25" s="69">
        <v>490057.84</v>
      </c>
    </row>
    <row r="26" spans="1:11">
      <c r="A26" s="355" t="s">
        <v>1247</v>
      </c>
      <c r="B26" s="355" t="s">
        <v>1248</v>
      </c>
      <c r="C26" s="69">
        <v>1616461.48</v>
      </c>
      <c r="D26" s="69">
        <v>165440.4</v>
      </c>
      <c r="E26" s="69">
        <v>669279.19999999995</v>
      </c>
      <c r="F26" s="69">
        <v>3538742.39</v>
      </c>
      <c r="G26" s="69">
        <v>4459797.7300000004</v>
      </c>
      <c r="H26" s="69">
        <f>VLOOKUP(A26,Ucto_HK_2021!$A$2:$D$929,4,FALSE)</f>
        <v>1211411.1499999999</v>
      </c>
      <c r="K26" s="69">
        <v>2239561.34</v>
      </c>
    </row>
    <row r="27" spans="1:11">
      <c r="A27" s="355" t="s">
        <v>1249</v>
      </c>
      <c r="B27" s="355" t="s">
        <v>1250</v>
      </c>
      <c r="C27" s="69">
        <v>41694</v>
      </c>
      <c r="D27" s="69">
        <v>40344</v>
      </c>
      <c r="E27" s="69">
        <v>65454</v>
      </c>
      <c r="F27" s="69">
        <v>293594.8</v>
      </c>
      <c r="G27" s="69">
        <v>436414.71999999997</v>
      </c>
      <c r="H27" s="69">
        <f>VLOOKUP(A27,Ucto_HK_2021!$A$2:$D$929,4,FALSE)</f>
        <v>482146.72</v>
      </c>
      <c r="K27" s="69">
        <v>503206.72</v>
      </c>
    </row>
    <row r="28" spans="1:11">
      <c r="A28" s="355" t="s">
        <v>2642</v>
      </c>
      <c r="B28" s="355" t="s">
        <v>2643</v>
      </c>
      <c r="C28" s="69">
        <v>0</v>
      </c>
      <c r="D28" s="69">
        <v>0</v>
      </c>
      <c r="E28" s="69">
        <v>0</v>
      </c>
      <c r="F28" s="69">
        <v>0</v>
      </c>
      <c r="G28" s="69"/>
      <c r="H28" s="69">
        <f>VLOOKUP(A28,Ucto_HK_2021!$A$2:$D$929,4,FALSE)</f>
        <v>61336.91</v>
      </c>
      <c r="K28" s="69">
        <v>0</v>
      </c>
    </row>
    <row r="29" spans="1:11">
      <c r="A29" s="355" t="s">
        <v>1251</v>
      </c>
      <c r="C29" s="69">
        <v>2541511.29</v>
      </c>
      <c r="D29" s="69">
        <v>205784.4</v>
      </c>
      <c r="E29" s="69">
        <v>734733.2</v>
      </c>
      <c r="F29" s="69">
        <v>4038074.87</v>
      </c>
      <c r="G29" s="69">
        <v>5023052.45</v>
      </c>
      <c r="H29" s="69">
        <f>VLOOKUP(A29,Ucto_HK_2021!$A$2:$D$929,4,FALSE)</f>
        <v>2001825.15</v>
      </c>
      <c r="K29" s="69">
        <v>3232825.9</v>
      </c>
    </row>
    <row r="30" spans="1:11" s="456" customFormat="1">
      <c r="A30" s="590" t="s">
        <v>1252</v>
      </c>
      <c r="C30" s="591">
        <v>2541511.29</v>
      </c>
      <c r="D30" s="591">
        <v>205784.4</v>
      </c>
      <c r="E30" s="457">
        <v>744689.6</v>
      </c>
      <c r="F30" s="457">
        <v>4038074.87</v>
      </c>
      <c r="G30" s="457">
        <v>5023052.45</v>
      </c>
      <c r="H30" s="457">
        <f>VLOOKUP(A30,Ucto_HK_2021!$A$2:$D$929,4,FALSE)</f>
        <v>2128630.04</v>
      </c>
      <c r="K30" s="457">
        <v>3237325.9</v>
      </c>
    </row>
    <row r="31" spans="1:11">
      <c r="A31" s="355" t="s">
        <v>1253</v>
      </c>
      <c r="B31" s="355" t="s">
        <v>1254</v>
      </c>
      <c r="C31" s="69">
        <v>0</v>
      </c>
      <c r="D31" s="69">
        <v>0</v>
      </c>
      <c r="E31" s="69">
        <v>0</v>
      </c>
      <c r="F31" s="69">
        <v>13359.6</v>
      </c>
      <c r="G31" s="69">
        <v>0</v>
      </c>
      <c r="H31" s="69">
        <f>VLOOKUP(A31,Ucto_HK_2021!$A$2:$D$929,4,FALSE)</f>
        <v>0</v>
      </c>
      <c r="K31" s="69">
        <v>0</v>
      </c>
    </row>
    <row r="32" spans="1:11">
      <c r="A32" s="355" t="s">
        <v>1255</v>
      </c>
      <c r="C32" s="69">
        <v>0</v>
      </c>
      <c r="D32" s="69">
        <v>0</v>
      </c>
      <c r="E32" s="69">
        <v>0</v>
      </c>
      <c r="F32" s="69">
        <v>13359.6</v>
      </c>
      <c r="G32" s="69">
        <v>0</v>
      </c>
      <c r="H32" s="69">
        <f>VLOOKUP(A32,Ucto_HK_2021!$A$2:$D$929,4,FALSE)</f>
        <v>0</v>
      </c>
      <c r="K32" s="69">
        <v>0</v>
      </c>
    </row>
    <row r="33" spans="1:11" s="456" customFormat="1">
      <c r="A33" s="590" t="s">
        <v>1256</v>
      </c>
      <c r="C33" s="591">
        <v>0</v>
      </c>
      <c r="D33" s="591">
        <v>0</v>
      </c>
      <c r="E33" s="457">
        <v>0</v>
      </c>
      <c r="F33" s="457">
        <v>13359.6</v>
      </c>
      <c r="G33" s="457">
        <v>0</v>
      </c>
      <c r="H33" s="457">
        <f>VLOOKUP(A33,Ucto_HK_2021!$A$2:$D$929,4,FALSE)</f>
        <v>0</v>
      </c>
      <c r="K33" s="457">
        <v>0</v>
      </c>
    </row>
    <row r="34" spans="1:11">
      <c r="A34" s="355" t="s">
        <v>1257</v>
      </c>
      <c r="B34" s="355" t="s">
        <v>1258</v>
      </c>
      <c r="C34" s="69">
        <v>-810841.1</v>
      </c>
      <c r="D34" s="69">
        <v>-830972.66</v>
      </c>
      <c r="E34" s="69">
        <v>-847896.65</v>
      </c>
      <c r="F34" s="69">
        <v>-877769.74</v>
      </c>
      <c r="G34" s="69">
        <v>-928446.37</v>
      </c>
      <c r="H34" s="69">
        <f>VLOOKUP(A34,Ucto_HK_2021!$A$2:$D$929,4,FALSE)</f>
        <v>-936267.19</v>
      </c>
      <c r="K34" s="69">
        <v>-935515.89</v>
      </c>
    </row>
    <row r="35" spans="1:11">
      <c r="A35" s="355" t="s">
        <v>1259</v>
      </c>
      <c r="C35" s="69">
        <v>-810841.1</v>
      </c>
      <c r="D35" s="69">
        <v>-830972.66</v>
      </c>
      <c r="E35" s="69">
        <v>-847896.65</v>
      </c>
      <c r="F35" s="69">
        <v>-877769.74</v>
      </c>
      <c r="G35" s="69">
        <v>-928446.37</v>
      </c>
      <c r="H35" s="69">
        <f>VLOOKUP(A35,Ucto_HK_2021!$A$2:$D$929,4,FALSE)</f>
        <v>-936267.19</v>
      </c>
      <c r="K35" s="69">
        <v>-935515.89</v>
      </c>
    </row>
    <row r="36" spans="1:11" s="456" customFormat="1">
      <c r="A36" s="590" t="s">
        <v>1260</v>
      </c>
      <c r="C36" s="591">
        <v>-810841.1</v>
      </c>
      <c r="D36" s="591">
        <v>-830972.66</v>
      </c>
      <c r="E36" s="457">
        <v>-847896.65</v>
      </c>
      <c r="F36" s="457">
        <v>-877769.74</v>
      </c>
      <c r="G36" s="457">
        <v>-928446.37</v>
      </c>
      <c r="H36" s="457">
        <f>VLOOKUP(A36,Ucto_HK_2021!$A$2:$D$929,4,FALSE)</f>
        <v>-936267.19</v>
      </c>
      <c r="K36" s="457">
        <v>-935515.89</v>
      </c>
    </row>
    <row r="37" spans="1:11">
      <c r="A37" s="355" t="s">
        <v>1261</v>
      </c>
      <c r="B37" s="355" t="s">
        <v>1262</v>
      </c>
      <c r="C37" s="69">
        <v>-34744276.780000001</v>
      </c>
      <c r="D37" s="69">
        <v>-36407180.060000002</v>
      </c>
      <c r="E37" s="69">
        <v>-37828339.119999997</v>
      </c>
      <c r="F37" s="69">
        <v>-39219639.920000002</v>
      </c>
      <c r="G37" s="69">
        <v>-40585111.850000001</v>
      </c>
      <c r="H37" s="69">
        <f>VLOOKUP(A37,Ucto_HK_2021!$A$2:$D$929,4,FALSE)</f>
        <v>-42000787.619999997</v>
      </c>
      <c r="K37" s="69">
        <v>-41816619.560000002</v>
      </c>
    </row>
    <row r="38" spans="1:11">
      <c r="A38" s="355" t="s">
        <v>1263</v>
      </c>
      <c r="C38" s="69">
        <v>-34744276.780000001</v>
      </c>
      <c r="D38" s="69">
        <v>-36407180.060000002</v>
      </c>
      <c r="E38" s="69">
        <v>-37828339.119999997</v>
      </c>
      <c r="F38" s="69">
        <v>-39219639.920000002</v>
      </c>
      <c r="G38" s="69">
        <v>-40585111.850000001</v>
      </c>
      <c r="H38" s="69">
        <f>VLOOKUP(A38,Ucto_HK_2021!$A$2:$D$929,4,FALSE)</f>
        <v>-42000787.619999997</v>
      </c>
      <c r="K38" s="69">
        <v>-41816619.560000002</v>
      </c>
    </row>
    <row r="39" spans="1:11">
      <c r="A39" s="355" t="s">
        <v>1264</v>
      </c>
      <c r="B39" s="355" t="s">
        <v>1265</v>
      </c>
      <c r="C39" s="69">
        <v>-63783258.200000003</v>
      </c>
      <c r="D39" s="69">
        <v>-63278282.460000001</v>
      </c>
      <c r="E39" s="69">
        <v>-60494798.640000001</v>
      </c>
      <c r="F39" s="69">
        <v>-59388836.590000004</v>
      </c>
      <c r="G39" s="69">
        <v>-57373471.280000001</v>
      </c>
      <c r="H39" s="69">
        <f>VLOOKUP(A39,Ucto_HK_2021!$A$2:$D$929,4,FALSE)</f>
        <v>-58248489.960000001</v>
      </c>
      <c r="K39" s="69">
        <v>-57753323.240000002</v>
      </c>
    </row>
    <row r="40" spans="1:11">
      <c r="A40" s="355" t="s">
        <v>1266</v>
      </c>
      <c r="C40" s="69">
        <v>-63783258.200000003</v>
      </c>
      <c r="D40" s="69">
        <v>-63278282.460000001</v>
      </c>
      <c r="E40" s="69">
        <v>-60494798.640000001</v>
      </c>
      <c r="F40" s="69">
        <v>-59388836.590000004</v>
      </c>
      <c r="G40" s="69">
        <v>-57373471.280000001</v>
      </c>
      <c r="H40" s="69">
        <f>VLOOKUP(A40,Ucto_HK_2021!$A$2:$D$929,4,FALSE)</f>
        <v>-58248489.960000001</v>
      </c>
      <c r="K40" s="69">
        <v>-57753323.240000002</v>
      </c>
    </row>
    <row r="41" spans="1:11">
      <c r="A41" s="355" t="s">
        <v>1267</v>
      </c>
      <c r="B41" s="355" t="s">
        <v>1268</v>
      </c>
      <c r="C41" s="69">
        <v>-608648.18000000005</v>
      </c>
      <c r="D41" s="69">
        <v>-614550.18000000005</v>
      </c>
      <c r="E41" s="69">
        <v>-584609.64</v>
      </c>
      <c r="F41" s="69">
        <v>-566669.97</v>
      </c>
      <c r="G41" s="69">
        <v>-493083.81</v>
      </c>
      <c r="H41" s="69">
        <f>VLOOKUP(A41,Ucto_HK_2021!$A$2:$D$929,4,FALSE)</f>
        <v>-466927.94</v>
      </c>
      <c r="K41" s="69">
        <v>-463052.79999999999</v>
      </c>
    </row>
    <row r="42" spans="1:11">
      <c r="A42" s="355" t="s">
        <v>1269</v>
      </c>
      <c r="C42" s="69">
        <v>-608648.18000000005</v>
      </c>
      <c r="D42" s="69">
        <v>-614550.18000000005</v>
      </c>
      <c r="E42" s="69">
        <v>-584609.64</v>
      </c>
      <c r="F42" s="69">
        <v>-566669.97</v>
      </c>
      <c r="G42" s="69">
        <v>-493083.81</v>
      </c>
      <c r="H42" s="69">
        <f>VLOOKUP(A42,Ucto_HK_2021!$A$2:$D$929,4,FALSE)</f>
        <v>-466927.94</v>
      </c>
      <c r="K42" s="69">
        <v>-463052.79999999999</v>
      </c>
    </row>
    <row r="43" spans="1:11">
      <c r="A43" s="355" t="s">
        <v>1270</v>
      </c>
      <c r="B43" s="355" t="s">
        <v>1271</v>
      </c>
      <c r="C43" s="69">
        <v>-2338849.1</v>
      </c>
      <c r="D43" s="69">
        <v>-2341373.64</v>
      </c>
      <c r="E43" s="69">
        <v>-2348199.21</v>
      </c>
      <c r="F43" s="69">
        <v>-2352006.25</v>
      </c>
      <c r="G43" s="69">
        <v>-2359914.0099999998</v>
      </c>
      <c r="H43" s="69">
        <f>VLOOKUP(A43,Ucto_HK_2021!$A$2:$D$929,4,FALSE)</f>
        <v>-2364734.88</v>
      </c>
      <c r="K43" s="69">
        <v>-2363416.94</v>
      </c>
    </row>
    <row r="44" spans="1:11">
      <c r="A44" s="355" t="s">
        <v>1272</v>
      </c>
      <c r="B44" s="355" t="s">
        <v>1273</v>
      </c>
      <c r="C44" s="69">
        <v>-4810667.28</v>
      </c>
      <c r="D44" s="69">
        <v>-4928423.3600000003</v>
      </c>
      <c r="E44" s="69">
        <v>-5055867.8899999997</v>
      </c>
      <c r="F44" s="69">
        <v>-5179367.8899999997</v>
      </c>
      <c r="G44" s="69">
        <v>-5302192.8899999997</v>
      </c>
      <c r="H44" s="69">
        <f>VLOOKUP(A44,Ucto_HK_2021!$A$2:$D$929,4,FALSE)</f>
        <v>-5427556.8899999997</v>
      </c>
      <c r="K44" s="69">
        <v>-5406662.8899999997</v>
      </c>
    </row>
    <row r="45" spans="1:11">
      <c r="A45" s="355" t="s">
        <v>1274</v>
      </c>
      <c r="B45" s="355" t="s">
        <v>1275</v>
      </c>
      <c r="C45" s="69">
        <v>0</v>
      </c>
      <c r="D45" s="69">
        <v>-502</v>
      </c>
      <c r="E45" s="69">
        <v>-6474</v>
      </c>
      <c r="F45" s="69">
        <v>-13926</v>
      </c>
      <c r="G45" s="69">
        <v>-24729</v>
      </c>
      <c r="H45" s="69">
        <f>VLOOKUP(A45,Ucto_HK_2021!$A$2:$D$929,4,FALSE)</f>
        <v>-36902.39</v>
      </c>
      <c r="K45" s="69">
        <v>-34509</v>
      </c>
    </row>
    <row r="46" spans="1:11">
      <c r="A46" s="355" t="s">
        <v>1276</v>
      </c>
      <c r="C46" s="69">
        <v>-7149516.3799999999</v>
      </c>
      <c r="D46" s="69">
        <v>-7270299</v>
      </c>
      <c r="E46" s="69">
        <v>-7410541.0999999996</v>
      </c>
      <c r="F46" s="69">
        <v>-7545300.1399999997</v>
      </c>
      <c r="G46" s="69">
        <v>-7686835.9000000004</v>
      </c>
      <c r="H46" s="69">
        <f>VLOOKUP(A46,Ucto_HK_2021!$A$2:$D$929,4,FALSE)</f>
        <v>-7829194.1600000001</v>
      </c>
      <c r="K46" s="69">
        <v>-7804588.8300000001</v>
      </c>
    </row>
    <row r="47" spans="1:11" s="456" customFormat="1">
      <c r="A47" s="590" t="s">
        <v>1277</v>
      </c>
      <c r="C47" s="591">
        <v>-106285699.54000001</v>
      </c>
      <c r="D47" s="591">
        <v>-107570311.7</v>
      </c>
      <c r="E47" s="457">
        <v>-106318288.5</v>
      </c>
      <c r="F47" s="457">
        <v>-106720446.62</v>
      </c>
      <c r="G47" s="457">
        <v>-106138502.84</v>
      </c>
      <c r="H47" s="457">
        <f>VLOOKUP(A47,Ucto_HK_2021!$A$2:$D$929,4,FALSE)</f>
        <v>-108545399.68000001</v>
      </c>
      <c r="K47" s="457">
        <v>-107837584.43000001</v>
      </c>
    </row>
    <row r="48" spans="1:11" s="456" customFormat="1">
      <c r="A48" s="578" t="s">
        <v>2846</v>
      </c>
      <c r="B48" s="578" t="s">
        <v>2847</v>
      </c>
      <c r="C48" s="591"/>
      <c r="D48" s="591"/>
      <c r="E48" s="457"/>
      <c r="F48" s="457"/>
      <c r="G48" s="457"/>
      <c r="H48" s="457">
        <f>VLOOKUP(A48,Ucto_HK_2021!$A$2:$D$929,4,FALSE)</f>
        <v>-13560</v>
      </c>
      <c r="K48" s="457"/>
    </row>
    <row r="49" spans="1:11" s="456" customFormat="1">
      <c r="A49" s="578" t="s">
        <v>2848</v>
      </c>
      <c r="B49"/>
      <c r="C49" s="591"/>
      <c r="D49" s="591"/>
      <c r="E49" s="457"/>
      <c r="F49" s="457"/>
      <c r="G49" s="457"/>
      <c r="H49" s="457">
        <f>VLOOKUP(A49,Ucto_HK_2021!$A$2:$D$929,4,FALSE)</f>
        <v>-13560</v>
      </c>
      <c r="K49" s="457"/>
    </row>
    <row r="50" spans="1:11" s="456" customFormat="1">
      <c r="A50" s="577" t="s">
        <v>2849</v>
      </c>
      <c r="B50"/>
      <c r="C50" s="591"/>
      <c r="D50" s="591"/>
      <c r="E50" s="457"/>
      <c r="F50" s="457"/>
      <c r="G50" s="457"/>
      <c r="H50" s="457">
        <f>VLOOKUP(A50,Ucto_HK_2021!$A$2:$D$929,4,FALSE)</f>
        <v>-13560</v>
      </c>
      <c r="K50" s="457"/>
    </row>
    <row r="51" spans="1:11" s="456" customFormat="1">
      <c r="A51" s="590" t="s">
        <v>1278</v>
      </c>
      <c r="C51" s="591">
        <v>57390034.420000002</v>
      </c>
      <c r="D51" s="591">
        <v>55328487.450000003</v>
      </c>
      <c r="E51" s="457">
        <v>53715116.350000001</v>
      </c>
      <c r="F51" s="457">
        <v>59485300.060000002</v>
      </c>
      <c r="G51" s="457">
        <v>63683525.329999998</v>
      </c>
      <c r="H51" s="457">
        <f>VLOOKUP(A51,Ucto_HK_2021!$A$2:$D$929,4,FALSE)</f>
        <v>62556218.159999996</v>
      </c>
      <c r="K51" s="457">
        <v>62747459.890000001</v>
      </c>
    </row>
    <row r="52" spans="1:11">
      <c r="C52" s="69"/>
      <c r="D52" s="69"/>
      <c r="E52" s="69"/>
      <c r="F52" s="69"/>
      <c r="G52" s="69"/>
      <c r="H52" s="69"/>
      <c r="K52" s="69"/>
    </row>
    <row r="53" spans="1:11">
      <c r="A53" s="355" t="s">
        <v>1279</v>
      </c>
      <c r="B53" s="355" t="s">
        <v>1280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f>VLOOKUP(A53,Ucto_HK_2021!$A$2:$D$929,4,FALSE)</f>
        <v>0</v>
      </c>
      <c r="K53" s="69">
        <v>0</v>
      </c>
    </row>
    <row r="54" spans="1:11">
      <c r="A54" s="355" t="s">
        <v>1281</v>
      </c>
      <c r="B54" s="355" t="s">
        <v>1282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f>VLOOKUP(A54,Ucto_HK_2021!$A$2:$D$929,4,FALSE)</f>
        <v>0</v>
      </c>
      <c r="K54" s="69">
        <v>-2850.97</v>
      </c>
    </row>
    <row r="55" spans="1:11">
      <c r="A55" s="355" t="s">
        <v>1283</v>
      </c>
      <c r="B55" s="355" t="s">
        <v>1284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f>VLOOKUP(A55,Ucto_HK_2021!$A$2:$D$929,4,FALSE)</f>
        <v>0</v>
      </c>
      <c r="K55" s="69">
        <v>527.04</v>
      </c>
    </row>
    <row r="56" spans="1:11">
      <c r="A56" s="355" t="s">
        <v>1285</v>
      </c>
      <c r="B56" s="355" t="s">
        <v>1286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f>VLOOKUP(A56,Ucto_HK_2021!$A$2:$D$929,4,FALSE)</f>
        <v>0</v>
      </c>
      <c r="K56" s="69">
        <v>0</v>
      </c>
    </row>
    <row r="57" spans="1:11">
      <c r="A57" s="355" t="s">
        <v>793</v>
      </c>
      <c r="C57" s="69"/>
      <c r="D57" s="69"/>
      <c r="E57" s="69"/>
      <c r="F57" s="69">
        <v>0</v>
      </c>
      <c r="G57" s="69">
        <v>0</v>
      </c>
      <c r="H57" s="69">
        <f>VLOOKUP(A57,Ucto_HK_2021!$A$2:$D$929,4,FALSE)</f>
        <v>0</v>
      </c>
      <c r="K57" s="69">
        <v>-2323.9299999999998</v>
      </c>
    </row>
    <row r="58" spans="1:11">
      <c r="A58" s="355" t="s">
        <v>1287</v>
      </c>
      <c r="B58" s="355" t="s">
        <v>1288</v>
      </c>
      <c r="C58" s="69"/>
      <c r="D58" s="69"/>
      <c r="E58" s="69"/>
      <c r="F58" s="69"/>
      <c r="G58" s="69">
        <v>0</v>
      </c>
      <c r="H58" s="69"/>
      <c r="K58" s="69"/>
    </row>
    <row r="59" spans="1:11">
      <c r="A59" s="355" t="s">
        <v>1289</v>
      </c>
      <c r="B59" s="355" t="s">
        <v>1290</v>
      </c>
      <c r="C59" s="69"/>
      <c r="D59" s="69"/>
      <c r="E59" s="69"/>
      <c r="F59" s="69"/>
      <c r="G59" s="69">
        <v>0</v>
      </c>
      <c r="H59" s="69"/>
      <c r="K59" s="69"/>
    </row>
    <row r="60" spans="1:11">
      <c r="A60" s="355" t="s">
        <v>1291</v>
      </c>
      <c r="B60" s="355" t="s">
        <v>1292</v>
      </c>
      <c r="C60" s="69">
        <v>33711.129999999997</v>
      </c>
      <c r="D60" s="69">
        <v>38201.21</v>
      </c>
      <c r="E60" s="69">
        <v>39125.269999999997</v>
      </c>
      <c r="F60" s="69">
        <v>52898.75</v>
      </c>
      <c r="G60" s="69">
        <v>68367.320000000007</v>
      </c>
      <c r="H60" s="69">
        <f>VLOOKUP(A60,Ucto_HK_2021!$A$2:$D$929,4,FALSE)</f>
        <v>51519.360000000001</v>
      </c>
      <c r="K60" s="69">
        <v>51386.66</v>
      </c>
    </row>
    <row r="61" spans="1:11">
      <c r="A61" s="355" t="s">
        <v>2644</v>
      </c>
      <c r="B61" s="355" t="s">
        <v>2645</v>
      </c>
      <c r="C61" s="69"/>
      <c r="D61" s="69"/>
      <c r="E61" s="69">
        <v>0</v>
      </c>
      <c r="F61" s="69">
        <v>0</v>
      </c>
      <c r="G61" s="69"/>
      <c r="H61" s="69"/>
      <c r="K61" s="69"/>
    </row>
    <row r="62" spans="1:11">
      <c r="A62" s="355" t="s">
        <v>1293</v>
      </c>
      <c r="B62" s="355" t="s">
        <v>1294</v>
      </c>
      <c r="C62" s="69">
        <v>122.04</v>
      </c>
      <c r="D62" s="69">
        <v>122.04</v>
      </c>
      <c r="E62" s="69">
        <v>122.04</v>
      </c>
      <c r="F62" s="69">
        <v>122.04</v>
      </c>
      <c r="G62" s="69">
        <v>122.04</v>
      </c>
      <c r="H62" s="69">
        <f>VLOOKUP(A62,Ucto_HK_2021!$A$2:$D$929,4,FALSE)</f>
        <v>122.04</v>
      </c>
      <c r="K62" s="69">
        <v>122.04</v>
      </c>
    </row>
    <row r="63" spans="1:11">
      <c r="A63" s="355" t="s">
        <v>1295</v>
      </c>
      <c r="B63" s="355" t="s">
        <v>1296</v>
      </c>
      <c r="C63" s="69">
        <v>651.04</v>
      </c>
      <c r="D63" s="69">
        <v>651.04</v>
      </c>
      <c r="E63" s="69">
        <v>651.04</v>
      </c>
      <c r="F63" s="69">
        <v>651.04</v>
      </c>
      <c r="G63" s="69">
        <v>651.04</v>
      </c>
      <c r="H63" s="69">
        <f>VLOOKUP(A63,Ucto_HK_2021!$A$2:$D$929,4,FALSE)</f>
        <v>651.04</v>
      </c>
      <c r="K63" s="69">
        <v>651.04</v>
      </c>
    </row>
    <row r="64" spans="1:11">
      <c r="A64" s="355" t="s">
        <v>1297</v>
      </c>
      <c r="B64" s="355" t="s">
        <v>1298</v>
      </c>
      <c r="C64" s="69">
        <v>661.94</v>
      </c>
      <c r="D64" s="69">
        <v>661.93</v>
      </c>
      <c r="E64" s="69">
        <v>661.93</v>
      </c>
      <c r="F64" s="69">
        <v>661.93</v>
      </c>
      <c r="G64" s="69">
        <v>661.93</v>
      </c>
      <c r="H64" s="69">
        <f>VLOOKUP(A64,Ucto_HK_2021!$A$2:$D$929,4,FALSE)</f>
        <v>661.93</v>
      </c>
      <c r="K64" s="69">
        <v>661.93</v>
      </c>
    </row>
    <row r="65" spans="1:11">
      <c r="A65" s="355" t="s">
        <v>2646</v>
      </c>
      <c r="B65" s="355" t="s">
        <v>2647</v>
      </c>
      <c r="C65" s="69">
        <v>87.66</v>
      </c>
      <c r="D65" s="69">
        <v>0</v>
      </c>
      <c r="E65" s="69">
        <v>0</v>
      </c>
      <c r="F65" s="69">
        <v>0</v>
      </c>
      <c r="G65" s="69"/>
      <c r="H65" s="69"/>
      <c r="K65" s="69"/>
    </row>
    <row r="66" spans="1:11">
      <c r="A66" s="355" t="s">
        <v>1299</v>
      </c>
      <c r="B66" s="355" t="s">
        <v>1300</v>
      </c>
      <c r="C66" s="69">
        <v>19899.2</v>
      </c>
      <c r="D66" s="69">
        <v>19187.78</v>
      </c>
      <c r="E66" s="69">
        <v>18553.09</v>
      </c>
      <c r="F66" s="69">
        <v>25011.15</v>
      </c>
      <c r="G66" s="69">
        <v>27669.14</v>
      </c>
      <c r="H66" s="69">
        <f>VLOOKUP(A66,Ucto_HK_2021!$A$2:$D$929,4,FALSE)</f>
        <v>31707.43</v>
      </c>
      <c r="K66" s="69">
        <v>25660.55</v>
      </c>
    </row>
    <row r="67" spans="1:11">
      <c r="A67" s="355" t="s">
        <v>1301</v>
      </c>
      <c r="B67" s="355" t="s">
        <v>1302</v>
      </c>
      <c r="C67" s="69">
        <v>521.91</v>
      </c>
      <c r="D67" s="69">
        <v>1096.07</v>
      </c>
      <c r="E67" s="69">
        <v>1277.26</v>
      </c>
      <c r="F67" s="69">
        <v>1941.47</v>
      </c>
      <c r="G67" s="69">
        <v>1636.9</v>
      </c>
      <c r="H67" s="69">
        <f>VLOOKUP(A67,Ucto_HK_2021!$A$2:$D$929,4,FALSE)</f>
        <v>1910.6</v>
      </c>
      <c r="K67" s="69">
        <v>1614.71</v>
      </c>
    </row>
    <row r="68" spans="1:11">
      <c r="A68" s="355" t="s">
        <v>1303</v>
      </c>
      <c r="B68" s="355" t="s">
        <v>1304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>
        <f>VLOOKUP(A68,Ucto_HK_2021!$A$2:$D$929,4,FALSE)</f>
        <v>0</v>
      </c>
      <c r="K68" s="69">
        <v>0</v>
      </c>
    </row>
    <row r="69" spans="1:11">
      <c r="A69" s="355" t="s">
        <v>1305</v>
      </c>
      <c r="B69" s="355" t="s">
        <v>1306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f>VLOOKUP(A69,Ucto_HK_2021!$A$2:$D$929,4,FALSE)</f>
        <v>0</v>
      </c>
      <c r="K69" s="69">
        <v>0</v>
      </c>
    </row>
    <row r="70" spans="1:11">
      <c r="A70" s="355" t="s">
        <v>1307</v>
      </c>
      <c r="B70" s="355" t="s">
        <v>1308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f>VLOOKUP(A70,Ucto_HK_2021!$A$2:$D$929,4,FALSE)</f>
        <v>0</v>
      </c>
      <c r="K70" s="69">
        <v>0</v>
      </c>
    </row>
    <row r="71" spans="1:11">
      <c r="A71" s="355" t="s">
        <v>1309</v>
      </c>
      <c r="B71" s="355" t="s">
        <v>1310</v>
      </c>
      <c r="C71" s="69">
        <v>23810.84</v>
      </c>
      <c r="D71" s="69">
        <v>21038.799999999999</v>
      </c>
      <c r="E71" s="69">
        <v>23742.39</v>
      </c>
      <c r="F71" s="69">
        <v>24702.240000000002</v>
      </c>
      <c r="G71" s="69">
        <v>24805.200000000001</v>
      </c>
      <c r="H71" s="69">
        <f>VLOOKUP(A71,Ucto_HK_2021!$A$2:$D$929,4,FALSE)</f>
        <v>29887.78</v>
      </c>
      <c r="K71" s="69">
        <v>24949.1</v>
      </c>
    </row>
    <row r="72" spans="1:11">
      <c r="A72" s="355" t="s">
        <v>1311</v>
      </c>
      <c r="B72" s="355" t="s">
        <v>1312</v>
      </c>
      <c r="C72" s="69">
        <v>960.31</v>
      </c>
      <c r="D72" s="69">
        <v>2480.7399999999998</v>
      </c>
      <c r="E72" s="69">
        <v>1711.14</v>
      </c>
      <c r="F72" s="69">
        <v>1927.99</v>
      </c>
      <c r="G72" s="69">
        <v>1585.4</v>
      </c>
      <c r="H72" s="69">
        <f>VLOOKUP(A72,Ucto_HK_2021!$A$2:$D$929,4,FALSE)</f>
        <v>1206.1300000000001</v>
      </c>
      <c r="K72" s="69">
        <v>1715.11</v>
      </c>
    </row>
    <row r="73" spans="1:11">
      <c r="A73" s="355" t="s">
        <v>1313</v>
      </c>
      <c r="B73" s="355" t="s">
        <v>1314</v>
      </c>
      <c r="C73" s="69">
        <v>25066.87</v>
      </c>
      <c r="D73" s="69">
        <v>9312.5400000000009</v>
      </c>
      <c r="E73" s="69">
        <v>20299.37</v>
      </c>
      <c r="F73" s="69">
        <v>31455.15</v>
      </c>
      <c r="G73" s="69">
        <v>19871.439999999999</v>
      </c>
      <c r="H73" s="69">
        <f>VLOOKUP(A73,Ucto_HK_2021!$A$2:$D$929,4,FALSE)</f>
        <v>21826.18</v>
      </c>
      <c r="K73" s="69">
        <v>26722.06</v>
      </c>
    </row>
    <row r="74" spans="1:11">
      <c r="A74" s="355" t="s">
        <v>1315</v>
      </c>
      <c r="B74" s="355" t="s">
        <v>1316</v>
      </c>
      <c r="C74" s="69">
        <v>87466.76</v>
      </c>
      <c r="D74" s="69">
        <v>24025.11</v>
      </c>
      <c r="E74" s="69">
        <v>61507.71</v>
      </c>
      <c r="F74" s="69">
        <v>116464.84</v>
      </c>
      <c r="G74" s="69">
        <v>95856.28</v>
      </c>
      <c r="H74" s="69">
        <f>VLOOKUP(A74,Ucto_HK_2021!$A$2:$D$929,4,FALSE)</f>
        <v>114277.34</v>
      </c>
      <c r="K74" s="69">
        <v>162710.67000000001</v>
      </c>
    </row>
    <row r="75" spans="1:11">
      <c r="A75" s="355" t="s">
        <v>1317</v>
      </c>
      <c r="B75" s="355" t="s">
        <v>1318</v>
      </c>
      <c r="C75" s="69">
        <v>16520.54</v>
      </c>
      <c r="D75" s="69">
        <v>13771.3</v>
      </c>
      <c r="E75" s="69">
        <v>14820.17</v>
      </c>
      <c r="F75" s="69">
        <v>16398.900000000001</v>
      </c>
      <c r="G75" s="69">
        <v>10060.14</v>
      </c>
      <c r="H75" s="69">
        <f>VLOOKUP(A75,Ucto_HK_2021!$A$2:$D$929,4,FALSE)</f>
        <v>11297.85</v>
      </c>
      <c r="K75" s="69">
        <v>10992.65</v>
      </c>
    </row>
    <row r="76" spans="1:11">
      <c r="A76" s="355" t="s">
        <v>1319</v>
      </c>
      <c r="B76" s="355" t="s">
        <v>1320</v>
      </c>
      <c r="C76" s="69">
        <v>14378.19</v>
      </c>
      <c r="D76" s="69">
        <v>16718.63</v>
      </c>
      <c r="E76" s="69">
        <v>11266.91</v>
      </c>
      <c r="F76" s="69">
        <v>17324.36</v>
      </c>
      <c r="G76" s="69">
        <v>9577.2199999999993</v>
      </c>
      <c r="H76" s="69">
        <f>VLOOKUP(A76,Ucto_HK_2021!$A$2:$D$929,4,FALSE)</f>
        <v>43410.09</v>
      </c>
      <c r="K76" s="69">
        <v>24661.040000000001</v>
      </c>
    </row>
    <row r="77" spans="1:11">
      <c r="A77" s="355" t="s">
        <v>1321</v>
      </c>
      <c r="B77" s="355" t="s">
        <v>1322</v>
      </c>
      <c r="C77" s="69">
        <v>14671.68</v>
      </c>
      <c r="D77" s="69">
        <v>14134.76</v>
      </c>
      <c r="E77" s="69">
        <v>11954.09</v>
      </c>
      <c r="F77" s="69">
        <v>22299.61</v>
      </c>
      <c r="G77" s="69">
        <v>13050.15</v>
      </c>
      <c r="H77" s="69">
        <f>VLOOKUP(A77,Ucto_HK_2021!$A$2:$D$929,4,FALSE)</f>
        <v>14421.44</v>
      </c>
      <c r="K77" s="69">
        <v>16396.650000000001</v>
      </c>
    </row>
    <row r="78" spans="1:11">
      <c r="A78" s="355" t="s">
        <v>1323</v>
      </c>
      <c r="B78" s="355" t="s">
        <v>1324</v>
      </c>
      <c r="C78" s="69">
        <v>7042.98</v>
      </c>
      <c r="D78" s="69">
        <v>6864.56</v>
      </c>
      <c r="E78" s="69">
        <v>5751.37</v>
      </c>
      <c r="F78" s="69">
        <v>6528.22</v>
      </c>
      <c r="G78" s="69">
        <v>6012.15</v>
      </c>
      <c r="H78" s="69">
        <f>VLOOKUP(A78,Ucto_HK_2021!$A$2:$D$929,4,FALSE)</f>
        <v>7976.45</v>
      </c>
      <c r="K78" s="69">
        <v>6528.39</v>
      </c>
    </row>
    <row r="79" spans="1:11">
      <c r="A79" s="355" t="s">
        <v>1325</v>
      </c>
      <c r="B79" s="355" t="s">
        <v>1326</v>
      </c>
      <c r="C79" s="69">
        <v>42131.22</v>
      </c>
      <c r="D79" s="69">
        <v>36697.03</v>
      </c>
      <c r="E79" s="69">
        <v>54086.63</v>
      </c>
      <c r="F79" s="69">
        <v>114969.31</v>
      </c>
      <c r="G79" s="69">
        <v>65705.14</v>
      </c>
      <c r="H79" s="69">
        <f>VLOOKUP(A79,Ucto_HK_2021!$A$2:$D$929,4,FALSE)</f>
        <v>110831.22</v>
      </c>
      <c r="K79" s="69">
        <v>60775.65</v>
      </c>
    </row>
    <row r="80" spans="1:11">
      <c r="A80" s="355" t="s">
        <v>1327</v>
      </c>
      <c r="B80" s="355" t="s">
        <v>1328</v>
      </c>
      <c r="C80" s="69">
        <v>9146.86</v>
      </c>
      <c r="D80" s="69">
        <v>11680.19</v>
      </c>
      <c r="E80" s="69">
        <v>25378.33</v>
      </c>
      <c r="F80" s="69">
        <v>54131.839999999997</v>
      </c>
      <c r="G80" s="69">
        <v>39644.050000000003</v>
      </c>
      <c r="H80" s="69">
        <f>VLOOKUP(A80,Ucto_HK_2021!$A$2:$D$929,4,FALSE)</f>
        <v>20549.41</v>
      </c>
      <c r="K80" s="69">
        <v>25135.119999999999</v>
      </c>
    </row>
    <row r="81" spans="1:11">
      <c r="A81" s="355" t="s">
        <v>1329</v>
      </c>
      <c r="B81" s="355" t="s">
        <v>1330</v>
      </c>
      <c r="C81" s="69">
        <v>91.47</v>
      </c>
      <c r="D81" s="69">
        <v>739.42</v>
      </c>
      <c r="E81" s="69">
        <v>609.75</v>
      </c>
      <c r="F81" s="69">
        <v>3400.73</v>
      </c>
      <c r="G81" s="69">
        <v>26.55</v>
      </c>
      <c r="H81" s="69">
        <f>VLOOKUP(A81,Ucto_HK_2021!$A$2:$D$929,4,FALSE)</f>
        <v>219.7</v>
      </c>
      <c r="K81" s="69">
        <v>866.47</v>
      </c>
    </row>
    <row r="82" spans="1:11">
      <c r="A82" s="355" t="s">
        <v>1331</v>
      </c>
      <c r="B82" s="355" t="s">
        <v>1332</v>
      </c>
      <c r="C82" s="69">
        <v>9537.9599999999991</v>
      </c>
      <c r="D82" s="69">
        <v>1728.03</v>
      </c>
      <c r="E82" s="69">
        <v>3526.93</v>
      </c>
      <c r="F82" s="69">
        <v>9061.35</v>
      </c>
      <c r="G82" s="69">
        <v>3248.25</v>
      </c>
      <c r="H82" s="69">
        <f>VLOOKUP(A82,Ucto_HK_2021!$A$2:$D$929,4,FALSE)</f>
        <v>5273.59</v>
      </c>
      <c r="K82" s="69">
        <v>1012.1</v>
      </c>
    </row>
    <row r="83" spans="1:11">
      <c r="A83" s="355" t="s">
        <v>1333</v>
      </c>
      <c r="B83" s="355" t="s">
        <v>1334</v>
      </c>
      <c r="C83" s="69">
        <v>114858.29</v>
      </c>
      <c r="D83" s="69">
        <v>91087</v>
      </c>
      <c r="E83" s="69">
        <v>108872.06</v>
      </c>
      <c r="F83" s="69">
        <v>75629.960000000006</v>
      </c>
      <c r="G83" s="69">
        <v>78401.64</v>
      </c>
      <c r="H83" s="69">
        <f>VLOOKUP(A83,Ucto_HK_2021!$A$2:$D$929,4,FALSE)</f>
        <v>84142.46</v>
      </c>
      <c r="K83" s="69">
        <v>96057.75</v>
      </c>
    </row>
    <row r="84" spans="1:11">
      <c r="A84" s="355" t="s">
        <v>1335</v>
      </c>
      <c r="B84" s="355" t="s">
        <v>1336</v>
      </c>
      <c r="C84" s="69">
        <v>2957.92</v>
      </c>
      <c r="D84" s="69">
        <v>3236.63</v>
      </c>
      <c r="E84" s="69">
        <v>2979.65</v>
      </c>
      <c r="F84" s="69">
        <v>833.52</v>
      </c>
      <c r="G84" s="69">
        <v>2119.52</v>
      </c>
      <c r="H84" s="69">
        <f>VLOOKUP(A84,Ucto_HK_2021!$A$2:$D$929,4,FALSE)</f>
        <v>2537.75</v>
      </c>
      <c r="K84" s="69">
        <v>2000.9</v>
      </c>
    </row>
    <row r="85" spans="1:11">
      <c r="A85" s="355" t="s">
        <v>1337</v>
      </c>
      <c r="B85" s="355" t="s">
        <v>1338</v>
      </c>
      <c r="C85" s="69">
        <v>27195.15</v>
      </c>
      <c r="D85" s="69">
        <v>37636.86</v>
      </c>
      <c r="E85" s="69">
        <v>32895.96</v>
      </c>
      <c r="F85" s="69">
        <v>35610.68</v>
      </c>
      <c r="G85" s="69">
        <v>23183.37</v>
      </c>
      <c r="H85" s="69">
        <f>VLOOKUP(A85,Ucto_HK_2021!$A$2:$D$929,4,FALSE)</f>
        <v>42108.13</v>
      </c>
      <c r="K85" s="69">
        <v>57940.35</v>
      </c>
    </row>
    <row r="86" spans="1:11">
      <c r="A86" s="355" t="s">
        <v>1339</v>
      </c>
      <c r="B86" s="355" t="s">
        <v>1340</v>
      </c>
      <c r="C86" s="69">
        <v>1163.1400000000001</v>
      </c>
      <c r="D86" s="69">
        <v>1163.1400000000001</v>
      </c>
      <c r="E86" s="69">
        <v>1137.47</v>
      </c>
      <c r="F86" s="69">
        <v>967.5</v>
      </c>
      <c r="G86" s="69">
        <v>908.62</v>
      </c>
      <c r="H86" s="69">
        <f>VLOOKUP(A86,Ucto_HK_2021!$A$2:$D$929,4,FALSE)</f>
        <v>848.18</v>
      </c>
      <c r="K86" s="69">
        <v>848.18</v>
      </c>
    </row>
    <row r="87" spans="1:11">
      <c r="A87" s="355" t="s">
        <v>1341</v>
      </c>
      <c r="B87" s="355" t="s">
        <v>1342</v>
      </c>
      <c r="C87" s="69">
        <v>2381.5100000000002</v>
      </c>
      <c r="D87" s="69">
        <v>3231.06</v>
      </c>
      <c r="E87" s="69">
        <v>2049.38</v>
      </c>
      <c r="F87" s="69">
        <v>4686.13</v>
      </c>
      <c r="G87" s="69">
        <v>2815.42</v>
      </c>
      <c r="H87" s="69">
        <f>VLOOKUP(A87,Ucto_HK_2021!$A$2:$D$929,4,FALSE)</f>
        <v>3480.62</v>
      </c>
      <c r="K87" s="69">
        <v>4027.95</v>
      </c>
    </row>
    <row r="88" spans="1:11">
      <c r="A88" s="355" t="s">
        <v>1343</v>
      </c>
      <c r="B88" s="355" t="s">
        <v>1344</v>
      </c>
      <c r="C88" s="69">
        <v>178366.16</v>
      </c>
      <c r="D88" s="69">
        <v>147633.57999999999</v>
      </c>
      <c r="E88" s="69">
        <v>211046.53</v>
      </c>
      <c r="F88" s="69">
        <v>269150.01</v>
      </c>
      <c r="G88" s="69">
        <v>307409.46000000002</v>
      </c>
      <c r="H88" s="69">
        <f>VLOOKUP(A88,Ucto_HK_2021!$A$2:$D$929,4,FALSE)</f>
        <v>786468.86</v>
      </c>
      <c r="K88" s="69">
        <v>1103179.01</v>
      </c>
    </row>
    <row r="89" spans="1:11">
      <c r="A89" s="355" t="s">
        <v>1345</v>
      </c>
      <c r="B89" s="355" t="s">
        <v>1346</v>
      </c>
      <c r="C89" s="69">
        <v>135630.44</v>
      </c>
      <c r="D89" s="69">
        <v>103261.91</v>
      </c>
      <c r="E89" s="69">
        <v>135411.01</v>
      </c>
      <c r="F89" s="69">
        <v>138939.79999999999</v>
      </c>
      <c r="G89" s="69">
        <v>828934.65</v>
      </c>
      <c r="H89" s="69">
        <f>VLOOKUP(A89,Ucto_HK_2021!$A$2:$D$929,4,FALSE)</f>
        <v>364281.24</v>
      </c>
      <c r="K89" s="69">
        <v>441227.19</v>
      </c>
    </row>
    <row r="90" spans="1:11">
      <c r="A90" s="355" t="s">
        <v>1347</v>
      </c>
      <c r="B90" s="355" t="s">
        <v>1348</v>
      </c>
      <c r="C90" s="69">
        <v>0</v>
      </c>
      <c r="D90" s="69">
        <v>0</v>
      </c>
      <c r="E90" s="69">
        <v>0</v>
      </c>
      <c r="F90" s="69">
        <v>96.01</v>
      </c>
      <c r="G90" s="69">
        <v>0</v>
      </c>
      <c r="H90" s="69">
        <f>VLOOKUP(A90,Ucto_HK_2021!$A$2:$D$929,4,FALSE)</f>
        <v>0</v>
      </c>
      <c r="K90" s="69">
        <v>170509.69</v>
      </c>
    </row>
    <row r="91" spans="1:11">
      <c r="A91" s="578" t="s">
        <v>2852</v>
      </c>
      <c r="B91" s="578" t="s">
        <v>2853</v>
      </c>
      <c r="C91" s="69"/>
      <c r="D91" s="69"/>
      <c r="E91" s="69"/>
      <c r="F91" s="69"/>
      <c r="G91" s="69"/>
      <c r="H91" s="69">
        <f>VLOOKUP(A91,Ucto_HK_2021!$A$2:$D$929,4,FALSE)</f>
        <v>155804.4</v>
      </c>
      <c r="K91" s="69"/>
    </row>
    <row r="92" spans="1:11">
      <c r="A92" s="578" t="s">
        <v>2854</v>
      </c>
      <c r="B92" s="578" t="s">
        <v>2855</v>
      </c>
      <c r="C92" s="69"/>
      <c r="D92" s="69"/>
      <c r="E92" s="69"/>
      <c r="F92" s="69"/>
      <c r="G92" s="69"/>
      <c r="H92" s="69">
        <f>VLOOKUP(A92,Ucto_HK_2021!$A$2:$D$929,4,FALSE)</f>
        <v>320608.2</v>
      </c>
      <c r="K92" s="69"/>
    </row>
    <row r="93" spans="1:11">
      <c r="A93" s="355" t="s">
        <v>1349</v>
      </c>
      <c r="B93" s="355" t="s">
        <v>1350</v>
      </c>
      <c r="C93" s="69">
        <v>226262.16</v>
      </c>
      <c r="D93" s="69">
        <v>156179.16</v>
      </c>
      <c r="E93" s="69">
        <v>178182.43</v>
      </c>
      <c r="F93" s="69">
        <v>243406.72</v>
      </c>
      <c r="G93" s="69">
        <v>325101.44</v>
      </c>
      <c r="H93" s="69">
        <f>VLOOKUP(A93,Ucto_HK_2021!$A$2:$D$929,4,FALSE)</f>
        <v>506786.98</v>
      </c>
      <c r="K93" s="69">
        <v>418981.63</v>
      </c>
    </row>
    <row r="94" spans="1:11">
      <c r="A94" s="578" t="s">
        <v>2856</v>
      </c>
      <c r="B94" s="578" t="s">
        <v>2857</v>
      </c>
      <c r="C94" s="69"/>
      <c r="D94" s="69"/>
      <c r="E94" s="69"/>
      <c r="F94" s="69"/>
      <c r="G94" s="69"/>
      <c r="H94" s="69">
        <f>VLOOKUP(A94,Ucto_HK_2021!$A$2:$D$929,4,FALSE)</f>
        <v>1216987.18</v>
      </c>
      <c r="K94" s="69"/>
    </row>
    <row r="95" spans="1:11">
      <c r="A95" s="355" t="s">
        <v>1351</v>
      </c>
      <c r="B95" s="355" t="s">
        <v>1352</v>
      </c>
      <c r="C95" s="69">
        <v>421607.48</v>
      </c>
      <c r="D95" s="69">
        <v>435516.08</v>
      </c>
      <c r="E95" s="69">
        <v>479938.01</v>
      </c>
      <c r="F95" s="69">
        <v>701211.15</v>
      </c>
      <c r="G95" s="69">
        <v>1919567.68</v>
      </c>
      <c r="H95" s="69">
        <f>VLOOKUP(A95,Ucto_HK_2021!$A$2:$D$929,4,FALSE)</f>
        <v>1462927.7</v>
      </c>
      <c r="K95" s="69">
        <v>1311344.1200000001</v>
      </c>
    </row>
    <row r="96" spans="1:11">
      <c r="A96" s="578" t="s">
        <v>2858</v>
      </c>
      <c r="B96" s="578" t="s">
        <v>2859</v>
      </c>
      <c r="C96" s="69"/>
      <c r="D96" s="69"/>
      <c r="E96" s="69"/>
      <c r="F96" s="69"/>
      <c r="G96" s="69"/>
      <c r="H96" s="69">
        <f>VLOOKUP(A96,Ucto_HK_2021!$A$2:$D$929,4,FALSE)</f>
        <v>713311.6</v>
      </c>
      <c r="K96" s="69"/>
    </row>
    <row r="97" spans="1:11">
      <c r="A97" s="355" t="s">
        <v>795</v>
      </c>
      <c r="C97" s="69">
        <v>1416902.85</v>
      </c>
      <c r="D97" s="69">
        <v>1198056.6000000001</v>
      </c>
      <c r="E97" s="69">
        <v>1447557.92</v>
      </c>
      <c r="F97" s="69">
        <v>1970482.4</v>
      </c>
      <c r="G97" s="69">
        <v>3876992.14</v>
      </c>
      <c r="H97" s="69">
        <f>VLOOKUP(A97,Ucto_HK_2021!$A$2:$D$929,4,FALSE)</f>
        <v>6128042.8799999999</v>
      </c>
      <c r="K97" s="69">
        <v>4048678.71</v>
      </c>
    </row>
    <row r="98" spans="1:11">
      <c r="A98" s="355" t="s">
        <v>1353</v>
      </c>
      <c r="B98" s="355" t="s">
        <v>1354</v>
      </c>
      <c r="C98" s="69">
        <v>0</v>
      </c>
      <c r="D98" s="69">
        <v>3321.64</v>
      </c>
      <c r="E98" s="69">
        <v>5636.46</v>
      </c>
      <c r="F98" s="69">
        <v>30878.75</v>
      </c>
      <c r="G98" s="69">
        <v>14005.44</v>
      </c>
      <c r="H98" s="69">
        <f>VLOOKUP(A98,Ucto_HK_2021!$A$2:$D$929,4,FALSE)</f>
        <v>76351.039999999994</v>
      </c>
      <c r="K98" s="69">
        <v>0</v>
      </c>
    </row>
    <row r="99" spans="1:11">
      <c r="A99" s="355" t="s">
        <v>1355</v>
      </c>
      <c r="B99" s="355" t="s">
        <v>1356</v>
      </c>
      <c r="C99" s="69">
        <v>1598.1</v>
      </c>
      <c r="D99" s="69">
        <v>231.01</v>
      </c>
      <c r="E99" s="69">
        <v>0</v>
      </c>
      <c r="F99" s="69">
        <v>664.2</v>
      </c>
      <c r="G99" s="69">
        <v>0</v>
      </c>
      <c r="H99" s="69">
        <f>VLOOKUP(A99,Ucto_HK_2021!$A$2:$D$929,4,FALSE)</f>
        <v>163.9</v>
      </c>
      <c r="K99" s="69"/>
    </row>
    <row r="100" spans="1:11">
      <c r="A100" s="355" t="s">
        <v>1357</v>
      </c>
      <c r="B100" s="355" t="s">
        <v>1358</v>
      </c>
      <c r="C100" s="69">
        <v>24226</v>
      </c>
      <c r="D100" s="69">
        <v>1524</v>
      </c>
      <c r="E100" s="69">
        <v>5810.39</v>
      </c>
      <c r="F100" s="69">
        <v>64.86</v>
      </c>
      <c r="G100" s="69">
        <v>0</v>
      </c>
      <c r="H100" s="69"/>
      <c r="K100" s="69"/>
    </row>
    <row r="101" spans="1:11">
      <c r="A101" s="355" t="s">
        <v>446</v>
      </c>
      <c r="C101" s="69">
        <v>25824.1</v>
      </c>
      <c r="D101" s="69">
        <v>5076.6499999999996</v>
      </c>
      <c r="E101" s="69">
        <v>11446.85</v>
      </c>
      <c r="F101" s="69">
        <v>31607.81</v>
      </c>
      <c r="G101" s="69">
        <v>14005.44</v>
      </c>
      <c r="H101" s="69">
        <f>VLOOKUP(A101,Ucto_HK_2021!$A$2:$D$929,4,FALSE)</f>
        <v>76514.94</v>
      </c>
      <c r="K101" s="69">
        <v>0</v>
      </c>
    </row>
    <row r="102" spans="1:11" s="456" customFormat="1">
      <c r="A102" s="590" t="s">
        <v>1359</v>
      </c>
      <c r="C102" s="591">
        <v>1442726.95</v>
      </c>
      <c r="D102" s="591">
        <v>1203133.25</v>
      </c>
      <c r="E102" s="457">
        <v>1459004.77</v>
      </c>
      <c r="F102" s="457">
        <v>2002090.21</v>
      </c>
      <c r="G102" s="457">
        <v>3890997.58</v>
      </c>
      <c r="H102" s="457">
        <f>VLOOKUP(A102,Ucto_HK_2021!$A$2:$D$929,4,FALSE)</f>
        <v>6204557.8200000003</v>
      </c>
      <c r="K102" s="457">
        <v>4046354.78</v>
      </c>
    </row>
    <row r="103" spans="1:11">
      <c r="A103" s="355" t="s">
        <v>1360</v>
      </c>
      <c r="B103" s="355" t="s">
        <v>1361</v>
      </c>
      <c r="C103" s="587"/>
      <c r="D103" s="587"/>
      <c r="E103" s="69"/>
      <c r="F103" s="69"/>
      <c r="G103" s="69">
        <v>111463.11</v>
      </c>
      <c r="H103" s="69">
        <f>VLOOKUP(A103,Ucto_HK_2021!$A$2:$D$929,4,FALSE)</f>
        <v>127319.31</v>
      </c>
      <c r="K103" s="69">
        <v>144024.16</v>
      </c>
    </row>
    <row r="104" spans="1:11">
      <c r="A104" s="578" t="s">
        <v>2860</v>
      </c>
      <c r="B104" s="578" t="s">
        <v>2861</v>
      </c>
      <c r="C104" s="587"/>
      <c r="D104" s="587"/>
      <c r="E104" s="69"/>
      <c r="F104" s="69"/>
      <c r="G104" s="69"/>
      <c r="H104" s="69">
        <f>VLOOKUP(A104,Ucto_HK_2021!$A$2:$D$929,4,FALSE)</f>
        <v>10640.55</v>
      </c>
      <c r="K104" s="69"/>
    </row>
    <row r="105" spans="1:11">
      <c r="A105" s="355" t="s">
        <v>480</v>
      </c>
      <c r="C105" s="587"/>
      <c r="D105" s="587"/>
      <c r="E105" s="69"/>
      <c r="F105" s="69"/>
      <c r="G105" s="69">
        <v>111463.11</v>
      </c>
      <c r="H105" s="69">
        <f>VLOOKUP(A105,Ucto_HK_2021!$A$2:$D$929,4,FALSE)</f>
        <v>137959.85999999999</v>
      </c>
      <c r="K105" s="69">
        <v>144024.16</v>
      </c>
    </row>
    <row r="106" spans="1:11" s="456" customFormat="1">
      <c r="A106" s="590" t="s">
        <v>1362</v>
      </c>
      <c r="C106" s="591"/>
      <c r="D106" s="591"/>
      <c r="E106" s="457"/>
      <c r="F106" s="457"/>
      <c r="G106" s="457">
        <v>111463.11</v>
      </c>
      <c r="H106" s="457">
        <f>VLOOKUP(A106,Ucto_HK_2021!$A$2:$D$929,4,FALSE)</f>
        <v>137959.85999999999</v>
      </c>
      <c r="K106" s="457">
        <v>144024.16</v>
      </c>
    </row>
    <row r="107" spans="1:11" s="456" customFormat="1">
      <c r="A107" s="590" t="s">
        <v>1363</v>
      </c>
      <c r="C107" s="591">
        <v>1442726.95</v>
      </c>
      <c r="D107" s="591">
        <v>1203133.25</v>
      </c>
      <c r="E107" s="457">
        <v>1459004.77</v>
      </c>
      <c r="F107" s="457">
        <v>2110789.23</v>
      </c>
      <c r="G107" s="457">
        <v>4002460.69</v>
      </c>
      <c r="H107" s="457">
        <f>VLOOKUP(A107,Ucto_HK_2021!$A$2:$D$929,4,FALSE)</f>
        <v>6342517.6799999997</v>
      </c>
      <c r="K107" s="457">
        <v>4190378.94</v>
      </c>
    </row>
    <row r="108" spans="1:11">
      <c r="C108" s="69"/>
      <c r="D108" s="69"/>
      <c r="E108" s="69"/>
      <c r="F108" s="69"/>
      <c r="G108" s="69"/>
      <c r="H108" s="69"/>
      <c r="K108" s="69"/>
    </row>
    <row r="109" spans="1:11">
      <c r="A109" s="355" t="s">
        <v>1364</v>
      </c>
      <c r="B109" s="355" t="s">
        <v>1365</v>
      </c>
      <c r="C109" s="69">
        <v>0</v>
      </c>
      <c r="D109" s="69">
        <v>0</v>
      </c>
      <c r="E109" s="69">
        <v>0</v>
      </c>
      <c r="F109" s="69">
        <v>0</v>
      </c>
      <c r="G109" s="69">
        <v>0</v>
      </c>
      <c r="H109" s="69">
        <f>VLOOKUP(A109,Ucto_HK_2021!$A$2:$D$929,4,FALSE)</f>
        <v>0</v>
      </c>
      <c r="K109" s="69">
        <v>7870.38</v>
      </c>
    </row>
    <row r="110" spans="1:11">
      <c r="A110" s="355" t="s">
        <v>1366</v>
      </c>
      <c r="B110" s="355" t="s">
        <v>1367</v>
      </c>
      <c r="C110" s="69">
        <v>701.6</v>
      </c>
      <c r="D110" s="69">
        <v>0</v>
      </c>
      <c r="E110" s="69">
        <v>0</v>
      </c>
      <c r="F110" s="69">
        <v>0</v>
      </c>
      <c r="G110" s="69">
        <v>0</v>
      </c>
      <c r="H110" s="69">
        <f>VLOOKUP(A110,Ucto_HK_2021!$A$2:$D$929,4,FALSE)</f>
        <v>0</v>
      </c>
      <c r="K110" s="69">
        <v>72</v>
      </c>
    </row>
    <row r="111" spans="1:11">
      <c r="A111" s="355" t="s">
        <v>1368</v>
      </c>
      <c r="B111" s="355" t="s">
        <v>1369</v>
      </c>
      <c r="C111" s="69">
        <v>0</v>
      </c>
      <c r="D111" s="69">
        <v>0</v>
      </c>
      <c r="E111" s="69">
        <v>0</v>
      </c>
      <c r="F111" s="69">
        <v>0</v>
      </c>
      <c r="G111" s="69">
        <v>0</v>
      </c>
      <c r="H111" s="69">
        <f>VLOOKUP(A111,Ucto_HK_2021!$A$2:$D$929,4,FALSE)</f>
        <v>0</v>
      </c>
      <c r="K111" s="69">
        <v>250</v>
      </c>
    </row>
    <row r="112" spans="1:11">
      <c r="A112" s="355" t="s">
        <v>1370</v>
      </c>
      <c r="B112" s="355" t="s">
        <v>1371</v>
      </c>
      <c r="C112" s="69">
        <v>2687.9</v>
      </c>
      <c r="D112" s="69">
        <v>257.2</v>
      </c>
      <c r="E112" s="69">
        <v>359.9</v>
      </c>
      <c r="F112" s="69">
        <v>0</v>
      </c>
      <c r="G112" s="69">
        <v>174.5</v>
      </c>
      <c r="H112" s="69">
        <f>VLOOKUP(A112,Ucto_HK_2021!$A$2:$D$929,4,FALSE)</f>
        <v>307.8</v>
      </c>
      <c r="K112" s="69">
        <v>221.8</v>
      </c>
    </row>
    <row r="113" spans="1:11">
      <c r="A113" s="355" t="s">
        <v>1372</v>
      </c>
      <c r="B113" s="355" t="s">
        <v>1373</v>
      </c>
      <c r="C113" s="69">
        <v>418.4</v>
      </c>
      <c r="D113" s="69">
        <v>35.4</v>
      </c>
      <c r="E113" s="69">
        <v>0</v>
      </c>
      <c r="F113" s="69">
        <v>0</v>
      </c>
      <c r="G113" s="69">
        <v>0</v>
      </c>
      <c r="H113" s="69">
        <f>VLOOKUP(A113,Ucto_HK_2021!$A$2:$D$929,4,FALSE)</f>
        <v>0</v>
      </c>
      <c r="K113" s="69">
        <v>0</v>
      </c>
    </row>
    <row r="114" spans="1:11">
      <c r="A114" s="578" t="s">
        <v>2768</v>
      </c>
      <c r="B114" s="578" t="s">
        <v>2769</v>
      </c>
      <c r="C114" s="69"/>
      <c r="D114" s="69"/>
      <c r="E114" s="69"/>
      <c r="F114" s="69"/>
      <c r="G114" s="69"/>
      <c r="H114" s="69">
        <f>VLOOKUP(A114,Ucto_HK_2021!$A$2:$D$929,4,FALSE)</f>
        <v>0</v>
      </c>
      <c r="K114" s="69"/>
    </row>
    <row r="115" spans="1:11">
      <c r="A115" s="578" t="s">
        <v>2770</v>
      </c>
      <c r="B115" s="578" t="s">
        <v>2771</v>
      </c>
      <c r="C115" s="69"/>
      <c r="D115" s="69"/>
      <c r="E115" s="69"/>
      <c r="F115" s="69"/>
      <c r="G115" s="69"/>
      <c r="H115" s="69">
        <f>VLOOKUP(A115,Ucto_HK_2021!$A$2:$D$929,4,FALSE)</f>
        <v>0</v>
      </c>
      <c r="K115" s="69"/>
    </row>
    <row r="116" spans="1:11">
      <c r="A116" s="355" t="s">
        <v>1374</v>
      </c>
      <c r="B116" s="355" t="s">
        <v>1375</v>
      </c>
      <c r="C116" s="69"/>
      <c r="D116" s="69"/>
      <c r="E116" s="69"/>
      <c r="F116" s="69">
        <v>150</v>
      </c>
      <c r="G116" s="69">
        <v>150</v>
      </c>
      <c r="H116" s="69">
        <f>VLOOKUP(A116,Ucto_HK_2021!$A$2:$D$929,4,FALSE)</f>
        <v>150</v>
      </c>
      <c r="K116" s="69">
        <v>150</v>
      </c>
    </row>
    <row r="117" spans="1:11">
      <c r="A117" s="355" t="s">
        <v>1376</v>
      </c>
      <c r="B117" s="355" t="s">
        <v>1377</v>
      </c>
      <c r="C117" s="69"/>
      <c r="D117" s="69"/>
      <c r="E117" s="69"/>
      <c r="F117" s="69">
        <v>150</v>
      </c>
      <c r="G117" s="69">
        <v>150</v>
      </c>
      <c r="H117" s="69">
        <f>VLOOKUP(A117,Ucto_HK_2021!$A$2:$D$929,4,FALSE)</f>
        <v>150</v>
      </c>
      <c r="K117" s="69">
        <v>150</v>
      </c>
    </row>
    <row r="118" spans="1:11">
      <c r="A118" s="355" t="s">
        <v>1378</v>
      </c>
      <c r="B118" s="355" t="s">
        <v>1379</v>
      </c>
      <c r="C118" s="69"/>
      <c r="D118" s="69"/>
      <c r="E118" s="69"/>
      <c r="F118" s="69">
        <v>150</v>
      </c>
      <c r="G118" s="69">
        <v>150</v>
      </c>
      <c r="H118" s="69">
        <f>VLOOKUP(A118,Ucto_HK_2021!$A$2:$D$929,4,FALSE)</f>
        <v>150</v>
      </c>
      <c r="K118" s="69">
        <v>150</v>
      </c>
    </row>
    <row r="119" spans="1:11">
      <c r="A119" s="355" t="s">
        <v>1380</v>
      </c>
      <c r="B119" s="355" t="s">
        <v>1381</v>
      </c>
      <c r="C119" s="69"/>
      <c r="D119" s="69"/>
      <c r="E119" s="69"/>
      <c r="F119" s="69">
        <v>2000</v>
      </c>
      <c r="G119" s="69">
        <v>2395.21</v>
      </c>
      <c r="H119" s="69">
        <f>VLOOKUP(A119,Ucto_HK_2021!$A$2:$D$929,4,FALSE)</f>
        <v>2418.13</v>
      </c>
      <c r="K119" s="69">
        <v>3238.99</v>
      </c>
    </row>
    <row r="120" spans="1:11">
      <c r="A120" s="355" t="s">
        <v>1382</v>
      </c>
      <c r="C120" s="69">
        <v>3807.9</v>
      </c>
      <c r="D120" s="69">
        <v>292.60000000000002</v>
      </c>
      <c r="E120" s="69">
        <v>359.9</v>
      </c>
      <c r="F120" s="69">
        <v>2450</v>
      </c>
      <c r="G120" s="69">
        <v>3019.71</v>
      </c>
      <c r="H120" s="69">
        <f>VLOOKUP(A120,Ucto_HK_2021!$A$2:$D$929,4,FALSE)</f>
        <v>3175.93</v>
      </c>
      <c r="K120" s="69">
        <v>12203.17</v>
      </c>
    </row>
    <row r="121" spans="1:11">
      <c r="A121" s="355" t="s">
        <v>1383</v>
      </c>
      <c r="B121" s="355" t="s">
        <v>1384</v>
      </c>
      <c r="C121" s="69"/>
      <c r="D121" s="69"/>
      <c r="E121" s="69"/>
      <c r="F121" s="69"/>
      <c r="G121" s="69">
        <v>0</v>
      </c>
      <c r="H121" s="69">
        <f>VLOOKUP(A121,Ucto_HK_2021!$A$2:$D$929,4,FALSE)</f>
        <v>0</v>
      </c>
      <c r="K121" s="69">
        <v>356</v>
      </c>
    </row>
    <row r="122" spans="1:11">
      <c r="A122" s="355" t="s">
        <v>1385</v>
      </c>
      <c r="C122" s="69"/>
      <c r="D122" s="69"/>
      <c r="E122" s="69"/>
      <c r="F122" s="69"/>
      <c r="G122" s="69">
        <v>0</v>
      </c>
      <c r="H122" s="69">
        <f>VLOOKUP(A122,Ucto_HK_2021!$A$2:$D$929,4,FALSE)</f>
        <v>0</v>
      </c>
      <c r="K122" s="69">
        <v>356</v>
      </c>
    </row>
    <row r="123" spans="1:11" s="456" customFormat="1">
      <c r="A123" s="590" t="s">
        <v>1386</v>
      </c>
      <c r="C123" s="591">
        <v>3807.9</v>
      </c>
      <c r="D123" s="591">
        <v>292.60000000000002</v>
      </c>
      <c r="E123" s="457">
        <v>359.9</v>
      </c>
      <c r="F123" s="457">
        <v>2450</v>
      </c>
      <c r="G123" s="457">
        <v>3019.71</v>
      </c>
      <c r="H123" s="457">
        <f>VLOOKUP(A123,Ucto_HK_2021!$A$2:$D$929,4,FALSE)</f>
        <v>3175.93</v>
      </c>
      <c r="K123" s="457">
        <v>12559.17</v>
      </c>
    </row>
    <row r="124" spans="1:11">
      <c r="C124" s="69"/>
      <c r="D124" s="69"/>
      <c r="E124" s="69"/>
      <c r="F124" s="69"/>
      <c r="G124" s="69"/>
      <c r="H124" s="69"/>
      <c r="K124" s="69"/>
    </row>
    <row r="125" spans="1:11">
      <c r="A125" s="355" t="s">
        <v>1387</v>
      </c>
      <c r="B125" s="355" t="s">
        <v>1388</v>
      </c>
      <c r="C125" s="69">
        <v>947945.53</v>
      </c>
      <c r="D125" s="69">
        <v>841835.84</v>
      </c>
      <c r="E125" s="69">
        <v>1065367.79</v>
      </c>
      <c r="F125" s="69">
        <v>2611693.7000000002</v>
      </c>
      <c r="G125" s="69">
        <v>3696016.65</v>
      </c>
      <c r="H125" s="69">
        <f>VLOOKUP(A125,Ucto_HK_2021!$A$2:$D$929,4,FALSE)</f>
        <v>14599593.17</v>
      </c>
      <c r="K125" s="69">
        <v>13165254.800000001</v>
      </c>
    </row>
    <row r="126" spans="1:11">
      <c r="A126" s="355" t="s">
        <v>1389</v>
      </c>
      <c r="B126" s="355" t="s">
        <v>1390</v>
      </c>
      <c r="C126" s="69">
        <v>0</v>
      </c>
      <c r="D126" s="69">
        <v>0</v>
      </c>
      <c r="E126" s="69">
        <v>0</v>
      </c>
      <c r="F126" s="69">
        <v>0</v>
      </c>
      <c r="G126" s="69">
        <v>0</v>
      </c>
      <c r="H126" s="69">
        <f>VLOOKUP(A126,Ucto_HK_2021!$A$2:$D$929,4,FALSE)</f>
        <v>0</v>
      </c>
      <c r="K126" s="69">
        <v>0</v>
      </c>
    </row>
    <row r="127" spans="1:11">
      <c r="A127" s="355" t="s">
        <v>1391</v>
      </c>
      <c r="B127" s="355" t="s">
        <v>1392</v>
      </c>
      <c r="C127" s="69">
        <v>17000</v>
      </c>
      <c r="D127" s="69">
        <v>0</v>
      </c>
      <c r="E127" s="69">
        <v>335264.15999999997</v>
      </c>
      <c r="F127" s="69">
        <v>1514510.84</v>
      </c>
      <c r="G127" s="69">
        <v>2739423.53</v>
      </c>
      <c r="H127" s="69">
        <f>VLOOKUP(A127,Ucto_HK_2021!$A$2:$D$929,4,FALSE)</f>
        <v>4001355.12</v>
      </c>
      <c r="K127" s="69">
        <v>3634018.01</v>
      </c>
    </row>
    <row r="128" spans="1:11">
      <c r="A128" s="355" t="s">
        <v>1393</v>
      </c>
      <c r="B128" s="355" t="s">
        <v>1394</v>
      </c>
      <c r="C128" s="69">
        <v>29741.75</v>
      </c>
      <c r="D128" s="69">
        <v>29826.11</v>
      </c>
      <c r="E128" s="69">
        <v>55185.74</v>
      </c>
      <c r="F128" s="69">
        <v>110223.3</v>
      </c>
      <c r="G128" s="69">
        <v>132407.47</v>
      </c>
      <c r="H128" s="69">
        <f>VLOOKUP(A128,Ucto_HK_2021!$A$2:$D$929,4,FALSE)</f>
        <v>221258.69</v>
      </c>
      <c r="K128" s="69">
        <v>438538.27</v>
      </c>
    </row>
    <row r="129" spans="1:11">
      <c r="A129" s="355" t="s">
        <v>1395</v>
      </c>
      <c r="B129" s="355" t="s">
        <v>1396</v>
      </c>
      <c r="C129" s="69">
        <v>2176.7199999999998</v>
      </c>
      <c r="D129" s="69">
        <v>0</v>
      </c>
      <c r="E129" s="69">
        <v>0</v>
      </c>
      <c r="F129" s="69">
        <v>0</v>
      </c>
      <c r="G129" s="69">
        <v>0</v>
      </c>
      <c r="H129" s="69">
        <f>VLOOKUP(A129,Ucto_HK_2021!$A$2:$D$929,4,FALSE)</f>
        <v>0</v>
      </c>
      <c r="K129" s="69">
        <v>95554.15</v>
      </c>
    </row>
    <row r="130" spans="1:11">
      <c r="A130" s="355" t="s">
        <v>1397</v>
      </c>
      <c r="B130" s="355" t="s">
        <v>1398</v>
      </c>
      <c r="C130" s="69">
        <v>89383.39</v>
      </c>
      <c r="D130" s="69">
        <v>130609.54</v>
      </c>
      <c r="E130" s="69">
        <v>1166820</v>
      </c>
      <c r="F130" s="69">
        <v>5907513.5899999999</v>
      </c>
      <c r="G130" s="69">
        <v>4427544.8899999997</v>
      </c>
      <c r="H130" s="69">
        <f>VLOOKUP(A130,Ucto_HK_2021!$A$2:$D$929,4,FALSE)</f>
        <v>9608135.9399999995</v>
      </c>
      <c r="K130" s="69">
        <v>4867298.2300000004</v>
      </c>
    </row>
    <row r="131" spans="1:11">
      <c r="A131" s="355" t="s">
        <v>1399</v>
      </c>
      <c r="B131" s="355" t="s">
        <v>1400</v>
      </c>
      <c r="C131" s="69">
        <v>10415.77</v>
      </c>
      <c r="D131" s="69">
        <v>29459.56</v>
      </c>
      <c r="E131" s="69">
        <v>18897.759999999998</v>
      </c>
      <c r="F131" s="69">
        <v>24752.87</v>
      </c>
      <c r="G131" s="69">
        <v>11270.86</v>
      </c>
      <c r="H131" s="69">
        <f>VLOOKUP(A131,Ucto_HK_2021!$A$2:$D$929,4,FALSE)</f>
        <v>12084.69</v>
      </c>
      <c r="K131" s="69">
        <v>10981.2</v>
      </c>
    </row>
    <row r="132" spans="1:11">
      <c r="A132" s="355" t="s">
        <v>1401</v>
      </c>
      <c r="B132" s="355" t="s">
        <v>1402</v>
      </c>
      <c r="C132" s="69">
        <v>298.08</v>
      </c>
      <c r="D132" s="69">
        <v>1454.25</v>
      </c>
      <c r="E132" s="69">
        <v>1687.53</v>
      </c>
      <c r="F132" s="69">
        <v>1885.65</v>
      </c>
      <c r="G132" s="69">
        <v>1815.65</v>
      </c>
      <c r="H132" s="69">
        <f>VLOOKUP(A132,Ucto_HK_2021!$A$2:$D$929,4,FALSE)</f>
        <v>0</v>
      </c>
      <c r="K132" s="69">
        <v>2052.81</v>
      </c>
    </row>
    <row r="133" spans="1:11">
      <c r="A133" s="578" t="s">
        <v>2772</v>
      </c>
      <c r="B133" s="578" t="s">
        <v>2773</v>
      </c>
      <c r="C133" s="69"/>
      <c r="D133" s="69"/>
      <c r="E133" s="69"/>
      <c r="F133" s="69"/>
      <c r="G133" s="69"/>
      <c r="H133" s="69">
        <f>VLOOKUP(A133,Ucto_HK_2021!$A$2:$D$929,4,FALSE)</f>
        <v>13505.12</v>
      </c>
      <c r="K133" s="69">
        <v>20439.22</v>
      </c>
    </row>
    <row r="134" spans="1:11">
      <c r="A134" s="355" t="s">
        <v>1403</v>
      </c>
      <c r="C134" s="69">
        <v>1096961.24</v>
      </c>
      <c r="D134" s="69">
        <v>1033185.3</v>
      </c>
      <c r="E134" s="69">
        <v>2643222.98</v>
      </c>
      <c r="F134" s="69">
        <v>10170579.949999999</v>
      </c>
      <c r="G134" s="69">
        <v>11008479.050000001</v>
      </c>
      <c r="H134" s="69">
        <f>VLOOKUP(A134,Ucto_HK_2021!$A$2:$D$929,4,FALSE)</f>
        <v>28455932.73</v>
      </c>
      <c r="K134" s="69">
        <v>22234136.690000001</v>
      </c>
    </row>
    <row r="135" spans="1:11" s="456" customFormat="1">
      <c r="A135" s="590" t="s">
        <v>1404</v>
      </c>
      <c r="C135" s="591">
        <v>1096961.24</v>
      </c>
      <c r="D135" s="591">
        <v>1033185.3</v>
      </c>
      <c r="E135" s="457">
        <v>2643222.98</v>
      </c>
      <c r="F135" s="457">
        <v>10170579.949999999</v>
      </c>
      <c r="G135" s="457">
        <v>11008479.050000001</v>
      </c>
      <c r="H135" s="457">
        <f>VLOOKUP(A135,Ucto_HK_2021!$A$2:$D$929,4,FALSE)</f>
        <v>28455932.73</v>
      </c>
      <c r="K135" s="457">
        <v>22234136.690000001</v>
      </c>
    </row>
    <row r="136" spans="1:11">
      <c r="A136" s="355" t="s">
        <v>1405</v>
      </c>
      <c r="B136" s="355" t="s">
        <v>1406</v>
      </c>
      <c r="C136" s="69">
        <v>4260.59</v>
      </c>
      <c r="D136" s="69">
        <v>-5338.68</v>
      </c>
      <c r="E136" s="69">
        <v>5654.6</v>
      </c>
      <c r="F136" s="69">
        <v>6519.44</v>
      </c>
      <c r="G136" s="69">
        <v>6287.35</v>
      </c>
      <c r="H136" s="69">
        <f>VLOOKUP(A136,Ucto_HK_2021!$A$2:$D$929,4,FALSE)</f>
        <v>128.38</v>
      </c>
      <c r="K136" s="69">
        <v>59.42</v>
      </c>
    </row>
    <row r="137" spans="1:11">
      <c r="A137" s="355" t="s">
        <v>1407</v>
      </c>
      <c r="B137" s="355" t="s">
        <v>1408</v>
      </c>
      <c r="C137" s="69">
        <v>-1299.3</v>
      </c>
      <c r="D137" s="69">
        <v>-2128.7800000000002</v>
      </c>
      <c r="E137" s="69">
        <v>-1153</v>
      </c>
      <c r="F137" s="69">
        <v>-760.53</v>
      </c>
      <c r="G137" s="69">
        <v>-233.73</v>
      </c>
      <c r="H137" s="69">
        <f>VLOOKUP(A137,Ucto_HK_2021!$A$2:$D$929,4,FALSE)</f>
        <v>-874.93</v>
      </c>
      <c r="K137" s="69">
        <v>-10</v>
      </c>
    </row>
    <row r="138" spans="1:11">
      <c r="A138" s="355" t="s">
        <v>1409</v>
      </c>
      <c r="B138" s="355" t="s">
        <v>1410</v>
      </c>
      <c r="C138" s="69">
        <v>0</v>
      </c>
      <c r="D138" s="69">
        <v>0</v>
      </c>
      <c r="E138" s="69">
        <v>0</v>
      </c>
      <c r="F138" s="69">
        <v>0</v>
      </c>
      <c r="G138" s="69">
        <v>0</v>
      </c>
      <c r="H138" s="69">
        <f>VLOOKUP(A138,Ucto_HK_2021!$A$2:$D$929,4,FALSE)</f>
        <v>0</v>
      </c>
      <c r="K138" s="69">
        <v>-60</v>
      </c>
    </row>
    <row r="139" spans="1:11">
      <c r="A139" s="355" t="s">
        <v>1411</v>
      </c>
      <c r="B139" s="355" t="s">
        <v>1412</v>
      </c>
      <c r="C139" s="69">
        <v>-520.79999999999995</v>
      </c>
      <c r="D139" s="69">
        <v>0</v>
      </c>
      <c r="E139" s="69">
        <v>0</v>
      </c>
      <c r="F139" s="69">
        <v>0</v>
      </c>
      <c r="G139" s="69">
        <v>0</v>
      </c>
      <c r="H139" s="69">
        <f>VLOOKUP(A139,Ucto_HK_2021!$A$2:$D$929,4,FALSE)</f>
        <v>0</v>
      </c>
      <c r="K139" s="69">
        <v>0</v>
      </c>
    </row>
    <row r="140" spans="1:11">
      <c r="A140" s="578" t="s">
        <v>2774</v>
      </c>
      <c r="B140" s="578" t="s">
        <v>2775</v>
      </c>
      <c r="C140" s="69"/>
      <c r="D140" s="69"/>
      <c r="E140" s="69"/>
      <c r="F140" s="69"/>
      <c r="G140" s="69"/>
      <c r="H140" s="69">
        <f>VLOOKUP(A140,Ucto_HK_2021!$A$2:$D$929,4,FALSE)</f>
        <v>1600</v>
      </c>
      <c r="K140" s="69">
        <v>2670</v>
      </c>
    </row>
    <row r="141" spans="1:11">
      <c r="A141" s="355" t="s">
        <v>1413</v>
      </c>
      <c r="B141" s="355" t="s">
        <v>1414</v>
      </c>
      <c r="C141" s="69"/>
      <c r="D141" s="69"/>
      <c r="E141" s="69"/>
      <c r="F141" s="69">
        <v>177.17</v>
      </c>
      <c r="G141" s="69">
        <v>0</v>
      </c>
      <c r="H141" s="69">
        <f>VLOOKUP(A141,Ucto_HK_2021!$A$2:$D$929,4,FALSE)</f>
        <v>0</v>
      </c>
      <c r="K141" s="69">
        <v>0</v>
      </c>
    </row>
    <row r="142" spans="1:11">
      <c r="A142" s="355" t="s">
        <v>1415</v>
      </c>
      <c r="B142" s="355" t="s">
        <v>1416</v>
      </c>
      <c r="C142" s="69"/>
      <c r="D142" s="69"/>
      <c r="E142" s="69"/>
      <c r="F142" s="69">
        <v>286.67</v>
      </c>
      <c r="G142" s="69">
        <v>0</v>
      </c>
      <c r="H142" s="69">
        <f>VLOOKUP(A142,Ucto_HK_2021!$A$2:$D$929,4,FALSE)</f>
        <v>0</v>
      </c>
      <c r="K142" s="69">
        <v>0</v>
      </c>
    </row>
    <row r="143" spans="1:11">
      <c r="A143" s="355" t="s">
        <v>1417</v>
      </c>
      <c r="B143" s="355" t="s">
        <v>1418</v>
      </c>
      <c r="C143" s="69"/>
      <c r="D143" s="69"/>
      <c r="E143" s="69"/>
      <c r="F143" s="69">
        <v>238.65</v>
      </c>
      <c r="G143" s="69">
        <v>0</v>
      </c>
      <c r="H143" s="69">
        <f>VLOOKUP(A143,Ucto_HK_2021!$A$2:$D$929,4,FALSE)</f>
        <v>0</v>
      </c>
      <c r="K143" s="69">
        <v>0</v>
      </c>
    </row>
    <row r="144" spans="1:11">
      <c r="A144" s="578" t="s">
        <v>2776</v>
      </c>
      <c r="B144" s="578" t="s">
        <v>2777</v>
      </c>
      <c r="C144" s="69"/>
      <c r="D144" s="69"/>
      <c r="E144" s="69"/>
      <c r="F144" s="69"/>
      <c r="G144" s="69"/>
      <c r="H144" s="69">
        <f>VLOOKUP(A144,Ucto_HK_2021!$A$2:$D$929,4,FALSE)</f>
        <v>0</v>
      </c>
      <c r="K144" s="69"/>
    </row>
    <row r="145" spans="1:11">
      <c r="A145" s="355" t="s">
        <v>1419</v>
      </c>
      <c r="C145" s="69">
        <v>2440.4899999999998</v>
      </c>
      <c r="D145" s="69">
        <v>-7467.46</v>
      </c>
      <c r="E145" s="69">
        <v>4501.6000000000004</v>
      </c>
      <c r="F145" s="69">
        <v>6461.4</v>
      </c>
      <c r="G145" s="69">
        <v>6053.62</v>
      </c>
      <c r="H145" s="69">
        <f>VLOOKUP(A145,Ucto_HK_2021!$A$2:$D$929,4,FALSE)</f>
        <v>853.45</v>
      </c>
      <c r="K145" s="69">
        <v>2659.42</v>
      </c>
    </row>
    <row r="146" spans="1:11" s="456" customFormat="1">
      <c r="A146" s="590" t="s">
        <v>1420</v>
      </c>
      <c r="C146" s="591">
        <v>2440.4899999999998</v>
      </c>
      <c r="D146" s="591">
        <v>-7467.46</v>
      </c>
      <c r="E146" s="457">
        <v>4501.6000000000004</v>
      </c>
      <c r="F146" s="457">
        <v>6461.4</v>
      </c>
      <c r="G146" s="457">
        <v>6053.62</v>
      </c>
      <c r="H146" s="457">
        <f>VLOOKUP(A146,Ucto_HK_2021!$A$2:$D$929,4,FALSE)</f>
        <v>853.45</v>
      </c>
      <c r="K146" s="457">
        <v>2659.42</v>
      </c>
    </row>
    <row r="147" spans="1:11">
      <c r="A147" s="355" t="s">
        <v>1421</v>
      </c>
      <c r="B147" s="355" t="s">
        <v>1422</v>
      </c>
      <c r="C147" s="69">
        <v>-608873.73</v>
      </c>
      <c r="D147" s="69">
        <v>-608873.73</v>
      </c>
      <c r="E147" s="69">
        <v>-608873.73</v>
      </c>
      <c r="F147" s="69">
        <v>-608873.73</v>
      </c>
      <c r="G147" s="69">
        <v>-608873.73</v>
      </c>
      <c r="H147" s="69">
        <f>VLOOKUP(A147,Ucto_HK_2021!$A$2:$D$929,4,FALSE)</f>
        <v>-608873.73</v>
      </c>
      <c r="K147" s="69">
        <v>-608873.73</v>
      </c>
    </row>
    <row r="148" spans="1:11">
      <c r="A148" s="355" t="s">
        <v>1423</v>
      </c>
      <c r="C148" s="69">
        <v>-608873.73</v>
      </c>
      <c r="D148" s="69">
        <v>-608873.73</v>
      </c>
      <c r="E148" s="69">
        <v>-608873.73</v>
      </c>
      <c r="F148" s="69">
        <v>-608873.73</v>
      </c>
      <c r="G148" s="69">
        <v>-608873.73</v>
      </c>
      <c r="H148" s="69">
        <f>VLOOKUP(A148,Ucto_HK_2021!$A$2:$D$929,4,FALSE)</f>
        <v>-608873.73</v>
      </c>
      <c r="K148" s="69">
        <v>-608873.73</v>
      </c>
    </row>
    <row r="149" spans="1:11" s="456" customFormat="1">
      <c r="A149" s="590" t="s">
        <v>1424</v>
      </c>
      <c r="C149" s="591">
        <v>-608873.73</v>
      </c>
      <c r="D149" s="591">
        <v>-608873.73</v>
      </c>
      <c r="E149" s="457">
        <v>-608873.73</v>
      </c>
      <c r="F149" s="457">
        <v>-608873.73</v>
      </c>
      <c r="G149" s="457">
        <v>-608873.73</v>
      </c>
      <c r="H149" s="457">
        <f>VLOOKUP(A149,Ucto_HK_2021!$A$2:$D$929,4,FALSE)</f>
        <v>-608873.73</v>
      </c>
      <c r="K149" s="457">
        <v>-608873.73</v>
      </c>
    </row>
    <row r="150" spans="1:11" s="456" customFormat="1">
      <c r="A150" s="590" t="s">
        <v>1425</v>
      </c>
      <c r="C150" s="591">
        <v>494335.9</v>
      </c>
      <c r="D150" s="591">
        <v>417136.71</v>
      </c>
      <c r="E150" s="457">
        <v>2039210.75</v>
      </c>
      <c r="F150" s="457">
        <v>9570617.6199999992</v>
      </c>
      <c r="G150" s="457">
        <v>10408678.65</v>
      </c>
      <c r="H150" s="457">
        <f>VLOOKUP(A150,Ucto_HK_2021!$A$2:$D$929,4,FALSE)</f>
        <v>27851088.379999999</v>
      </c>
      <c r="K150" s="457">
        <v>21640481.550000001</v>
      </c>
    </row>
    <row r="151" spans="1:11">
      <c r="C151" s="69"/>
      <c r="D151" s="69"/>
      <c r="E151" s="69"/>
      <c r="F151" s="69"/>
      <c r="G151" s="69"/>
      <c r="H151" s="69"/>
      <c r="K151" s="69"/>
    </row>
    <row r="152" spans="1:11">
      <c r="A152" s="355" t="s">
        <v>1426</v>
      </c>
      <c r="B152" s="355" t="s">
        <v>1427</v>
      </c>
      <c r="C152" s="69">
        <v>9023757.4199999999</v>
      </c>
      <c r="D152" s="69">
        <v>9534806.9299999997</v>
      </c>
      <c r="E152" s="69">
        <v>9540795.8000000007</v>
      </c>
      <c r="F152" s="69">
        <v>10289487.699999999</v>
      </c>
      <c r="G152" s="69">
        <v>9468539.1600000001</v>
      </c>
      <c r="H152" s="69">
        <f>VLOOKUP(A152,Ucto_HK_2021!$A$2:$D$929,4,FALSE)</f>
        <v>12230996.51</v>
      </c>
      <c r="K152" s="69">
        <v>12507809.529999999</v>
      </c>
    </row>
    <row r="153" spans="1:11">
      <c r="A153" s="355" t="s">
        <v>1428</v>
      </c>
      <c r="B153" s="355" t="s">
        <v>1429</v>
      </c>
      <c r="C153" s="69">
        <v>4127585.61</v>
      </c>
      <c r="D153" s="69">
        <v>4561700.1500000004</v>
      </c>
      <c r="E153" s="69">
        <v>4621894.0999999996</v>
      </c>
      <c r="F153" s="69">
        <v>2206373.9300000002</v>
      </c>
      <c r="G153" s="69">
        <v>2381353.2400000002</v>
      </c>
      <c r="H153" s="69">
        <f>VLOOKUP(A153,Ucto_HK_2021!$A$2:$D$929,4,FALSE)</f>
        <v>6588049.2800000003</v>
      </c>
      <c r="K153" s="69">
        <v>3369867.67</v>
      </c>
    </row>
    <row r="154" spans="1:11">
      <c r="A154" s="355" t="s">
        <v>1430</v>
      </c>
      <c r="B154" s="355" t="s">
        <v>1431</v>
      </c>
      <c r="C154" s="69">
        <v>1295956.75</v>
      </c>
      <c r="D154" s="69">
        <v>1367844.62</v>
      </c>
      <c r="E154" s="69">
        <v>657589.01</v>
      </c>
      <c r="F154" s="69">
        <v>1354822.43</v>
      </c>
      <c r="G154" s="69">
        <v>1660391.37</v>
      </c>
      <c r="H154" s="69">
        <f>VLOOKUP(A154,Ucto_HK_2021!$A$2:$D$929,4,FALSE)</f>
        <v>2433979.7400000002</v>
      </c>
      <c r="K154" s="69">
        <v>2407498.66</v>
      </c>
    </row>
    <row r="155" spans="1:11">
      <c r="A155" s="355" t="s">
        <v>1432</v>
      </c>
      <c r="B155" s="355" t="s">
        <v>1433</v>
      </c>
      <c r="C155" s="69">
        <v>612.17999999999995</v>
      </c>
      <c r="D155" s="69">
        <v>273.3</v>
      </c>
      <c r="E155" s="69">
        <v>476.95</v>
      </c>
      <c r="F155" s="69">
        <v>392.93</v>
      </c>
      <c r="G155" s="69">
        <v>457.54</v>
      </c>
      <c r="H155" s="69">
        <f>VLOOKUP(A155,Ucto_HK_2021!$A$2:$D$929,4,FALSE)</f>
        <v>259.44</v>
      </c>
      <c r="K155" s="69">
        <v>344.33</v>
      </c>
    </row>
    <row r="156" spans="1:11">
      <c r="A156" s="355" t="s">
        <v>1434</v>
      </c>
      <c r="B156" s="355" t="s">
        <v>1435</v>
      </c>
      <c r="C156" s="69">
        <v>85543.86</v>
      </c>
      <c r="D156" s="69">
        <v>77423</v>
      </c>
      <c r="E156" s="69">
        <v>81021.25</v>
      </c>
      <c r="F156" s="69">
        <v>32906.550000000003</v>
      </c>
      <c r="G156" s="69">
        <v>17761.2</v>
      </c>
      <c r="H156" s="69">
        <f>VLOOKUP(A156,Ucto_HK_2021!$A$2:$D$929,4,FALSE)</f>
        <v>34323.300000000003</v>
      </c>
      <c r="K156" s="69">
        <v>39227</v>
      </c>
    </row>
    <row r="157" spans="1:11">
      <c r="A157" s="355" t="s">
        <v>1436</v>
      </c>
      <c r="B157" s="355" t="s">
        <v>1437</v>
      </c>
      <c r="C157" s="69">
        <v>132980.03</v>
      </c>
      <c r="D157" s="69">
        <v>178026.74</v>
      </c>
      <c r="E157" s="69">
        <v>200022.25</v>
      </c>
      <c r="F157" s="69">
        <v>166393.29</v>
      </c>
      <c r="G157" s="69">
        <v>271800.33</v>
      </c>
      <c r="H157" s="69">
        <f>VLOOKUP(A157,Ucto_HK_2021!$A$2:$D$929,4,FALSE)</f>
        <v>420677.03</v>
      </c>
      <c r="K157" s="69">
        <v>408685.92</v>
      </c>
    </row>
    <row r="158" spans="1:11">
      <c r="A158" s="355" t="s">
        <v>1438</v>
      </c>
      <c r="B158" s="355" t="s">
        <v>1439</v>
      </c>
      <c r="C158" s="69">
        <v>1775.01</v>
      </c>
      <c r="D158" s="69">
        <v>916.7</v>
      </c>
      <c r="E158" s="69">
        <v>1283.3800000000001</v>
      </c>
      <c r="F158" s="69">
        <v>550.02</v>
      </c>
      <c r="G158" s="69">
        <v>1375.05</v>
      </c>
      <c r="H158" s="69">
        <f>VLOOKUP(A158,Ucto_HK_2021!$A$2:$D$929,4,FALSE)</f>
        <v>2475.09</v>
      </c>
      <c r="K158" s="69">
        <v>2984.51</v>
      </c>
    </row>
    <row r="159" spans="1:11">
      <c r="A159" s="355" t="s">
        <v>1440</v>
      </c>
      <c r="B159" s="355" t="s">
        <v>1441</v>
      </c>
      <c r="C159" s="69">
        <v>1102530.22</v>
      </c>
      <c r="D159" s="69">
        <v>962378.31</v>
      </c>
      <c r="E159" s="69">
        <v>1168635.1399999999</v>
      </c>
      <c r="F159" s="69">
        <v>1071225.8400000001</v>
      </c>
      <c r="G159" s="69">
        <v>1414569.05</v>
      </c>
      <c r="H159" s="69">
        <f>VLOOKUP(A159,Ucto_HK_2021!$A$2:$D$929,4,FALSE)</f>
        <v>1031772.03</v>
      </c>
      <c r="K159" s="69">
        <v>1040595.43</v>
      </c>
    </row>
    <row r="160" spans="1:11">
      <c r="A160" s="355" t="s">
        <v>1442</v>
      </c>
      <c r="B160" s="355" t="s">
        <v>1443</v>
      </c>
      <c r="C160" s="69">
        <v>70263.740000000005</v>
      </c>
      <c r="D160" s="69">
        <v>99468.31</v>
      </c>
      <c r="E160" s="69">
        <v>102347.44</v>
      </c>
      <c r="F160" s="69">
        <v>78639.210000000006</v>
      </c>
      <c r="G160" s="69">
        <v>71321.61</v>
      </c>
      <c r="H160" s="69">
        <f>VLOOKUP(A160,Ucto_HK_2021!$A$2:$D$929,4,FALSE)</f>
        <v>72885.89</v>
      </c>
      <c r="K160" s="69">
        <v>73577.100000000006</v>
      </c>
    </row>
    <row r="161" spans="1:11">
      <c r="A161" s="355" t="s">
        <v>1444</v>
      </c>
      <c r="B161" s="355" t="s">
        <v>1445</v>
      </c>
      <c r="C161" s="69">
        <v>11620</v>
      </c>
      <c r="D161" s="69">
        <v>1400</v>
      </c>
      <c r="E161" s="69">
        <v>16791.7</v>
      </c>
      <c r="F161" s="69">
        <v>20511.3</v>
      </c>
      <c r="G161" s="69">
        <v>4600</v>
      </c>
      <c r="H161" s="69">
        <f>VLOOKUP(A161,Ucto_HK_2021!$A$2:$D$929,4,FALSE)</f>
        <v>10185</v>
      </c>
      <c r="K161" s="69">
        <v>6320</v>
      </c>
    </row>
    <row r="162" spans="1:11">
      <c r="A162" s="355" t="s">
        <v>1446</v>
      </c>
      <c r="B162" s="355" t="s">
        <v>1447</v>
      </c>
      <c r="C162" s="69">
        <v>163.65</v>
      </c>
      <c r="D162" s="69">
        <v>0</v>
      </c>
      <c r="E162" s="69">
        <v>833.81</v>
      </c>
      <c r="F162" s="69">
        <v>842.39</v>
      </c>
      <c r="G162" s="69">
        <v>39242.85</v>
      </c>
      <c r="H162" s="69">
        <f>VLOOKUP(A162,Ucto_HK_2021!$A$2:$D$929,4,FALSE)</f>
        <v>44302.86</v>
      </c>
      <c r="K162" s="69">
        <v>39160.339999999997</v>
      </c>
    </row>
    <row r="163" spans="1:11">
      <c r="A163" s="355" t="s">
        <v>1448</v>
      </c>
      <c r="B163" s="355" t="s">
        <v>1449</v>
      </c>
      <c r="C163" s="69"/>
      <c r="D163" s="69"/>
      <c r="E163" s="69"/>
      <c r="F163" s="69">
        <v>62819.27</v>
      </c>
      <c r="G163" s="69">
        <v>96983.62</v>
      </c>
      <c r="H163" s="69">
        <f>VLOOKUP(A163,Ucto_HK_2021!$A$2:$D$929,4,FALSE)</f>
        <v>161212.29</v>
      </c>
      <c r="K163" s="69">
        <v>299445.8</v>
      </c>
    </row>
    <row r="164" spans="1:11">
      <c r="A164" s="355" t="s">
        <v>1450</v>
      </c>
      <c r="B164" s="355" t="s">
        <v>1451</v>
      </c>
      <c r="C164" s="69"/>
      <c r="D164" s="69"/>
      <c r="E164" s="69"/>
      <c r="F164" s="69">
        <v>28612.63</v>
      </c>
      <c r="G164" s="69">
        <v>29564.93</v>
      </c>
      <c r="H164" s="69">
        <f>VLOOKUP(A164,Ucto_HK_2021!$A$2:$D$929,4,FALSE)</f>
        <v>96830.01</v>
      </c>
      <c r="K164" s="69">
        <v>81525.8</v>
      </c>
    </row>
    <row r="165" spans="1:11">
      <c r="A165" s="355" t="s">
        <v>1452</v>
      </c>
      <c r="B165" s="355" t="s">
        <v>1453</v>
      </c>
      <c r="C165" s="69"/>
      <c r="D165" s="69"/>
      <c r="E165" s="69"/>
      <c r="F165" s="69">
        <v>7440.76</v>
      </c>
      <c r="G165" s="69">
        <v>8160.94</v>
      </c>
      <c r="H165" s="69">
        <f>VLOOKUP(A165,Ucto_HK_2021!$A$2:$D$929,4,FALSE)</f>
        <v>36505.68</v>
      </c>
      <c r="K165" s="69">
        <v>12385.08</v>
      </c>
    </row>
    <row r="166" spans="1:11">
      <c r="A166" s="355" t="s">
        <v>1454</v>
      </c>
      <c r="C166" s="69">
        <v>15852788.470000001</v>
      </c>
      <c r="D166" s="69">
        <v>16784238.059999999</v>
      </c>
      <c r="E166" s="69">
        <v>16391690.83</v>
      </c>
      <c r="F166" s="69">
        <v>15321018.25</v>
      </c>
      <c r="G166" s="69">
        <v>15466120.890000001</v>
      </c>
      <c r="H166" s="69">
        <f>VLOOKUP(A166,Ucto_HK_2021!$A$2:$D$929,4,FALSE)</f>
        <v>23164454.149999999</v>
      </c>
      <c r="K166" s="69">
        <v>20289427.170000002</v>
      </c>
    </row>
    <row r="167" spans="1:11">
      <c r="A167" s="355" t="s">
        <v>1455</v>
      </c>
      <c r="B167" s="355" t="s">
        <v>1456</v>
      </c>
      <c r="C167" s="69">
        <v>718.25</v>
      </c>
      <c r="D167" s="69">
        <v>152.19999999999999</v>
      </c>
      <c r="E167" s="69">
        <v>12983.62</v>
      </c>
      <c r="F167" s="69">
        <v>6264.06</v>
      </c>
      <c r="G167" s="69">
        <v>7970.68</v>
      </c>
      <c r="H167" s="69">
        <f>VLOOKUP(A167,Ucto_HK_2021!$A$2:$D$929,4,FALSE)</f>
        <v>5293.05</v>
      </c>
      <c r="K167" s="69">
        <v>27106.959999999999</v>
      </c>
    </row>
    <row r="168" spans="1:11">
      <c r="A168" s="355" t="s">
        <v>1457</v>
      </c>
      <c r="C168" s="69">
        <v>718.25</v>
      </c>
      <c r="D168" s="69">
        <v>152.19999999999999</v>
      </c>
      <c r="E168" s="69">
        <v>12983.62</v>
      </c>
      <c r="F168" s="69">
        <v>6264.06</v>
      </c>
      <c r="G168" s="69">
        <v>7970.68</v>
      </c>
      <c r="H168" s="69">
        <f>VLOOKUP(A168,Ucto_HK_2021!$A$2:$D$929,4,FALSE)</f>
        <v>5293.05</v>
      </c>
      <c r="K168" s="69">
        <v>27106.959999999999</v>
      </c>
    </row>
    <row r="169" spans="1:11">
      <c r="A169" s="578" t="s">
        <v>2778</v>
      </c>
      <c r="B169" s="578" t="s">
        <v>2779</v>
      </c>
      <c r="C169" s="69"/>
      <c r="D169" s="69"/>
      <c r="E169" s="69"/>
      <c r="F169" s="69"/>
      <c r="G169" s="69"/>
      <c r="H169" s="69">
        <f>VLOOKUP(A169,Ucto_HK_2021!$A$2:$D$929,4,FALSE)</f>
        <v>605</v>
      </c>
      <c r="K169" s="69">
        <v>835.5</v>
      </c>
    </row>
    <row r="170" spans="1:11">
      <c r="A170" s="355" t="s">
        <v>1458</v>
      </c>
      <c r="B170" s="355" t="s">
        <v>222</v>
      </c>
      <c r="C170" s="69">
        <v>52627.15</v>
      </c>
      <c r="D170" s="69">
        <v>86515.75</v>
      </c>
      <c r="E170" s="69">
        <v>127440.7</v>
      </c>
      <c r="F170" s="69">
        <v>130698.84</v>
      </c>
      <c r="G170" s="69">
        <v>137258.39000000001</v>
      </c>
      <c r="H170" s="69">
        <f>VLOOKUP(A170,Ucto_HK_2021!$A$2:$D$929,4,FALSE)</f>
        <v>156163.47</v>
      </c>
      <c r="K170" s="69">
        <v>151347.15</v>
      </c>
    </row>
    <row r="171" spans="1:11">
      <c r="A171" s="355" t="s">
        <v>1459</v>
      </c>
      <c r="B171" s="355" t="s">
        <v>1460</v>
      </c>
      <c r="C171" s="69"/>
      <c r="D171" s="69"/>
      <c r="E171" s="69"/>
      <c r="F171" s="69"/>
      <c r="G171" s="69">
        <v>401.48</v>
      </c>
      <c r="H171" s="69">
        <f>VLOOKUP(A171,Ucto_HK_2021!$A$2:$D$929,4,FALSE)</f>
        <v>600.11</v>
      </c>
      <c r="K171" s="69">
        <v>1030.3800000000001</v>
      </c>
    </row>
    <row r="172" spans="1:11">
      <c r="A172" s="355" t="s">
        <v>1461</v>
      </c>
      <c r="C172" s="69">
        <v>52627.15</v>
      </c>
      <c r="D172" s="69">
        <v>86515.75</v>
      </c>
      <c r="E172" s="69">
        <v>127440.7</v>
      </c>
      <c r="F172" s="69">
        <v>130698.84</v>
      </c>
      <c r="G172" s="69">
        <v>137659.87</v>
      </c>
      <c r="H172" s="69">
        <f>VLOOKUP(A172,Ucto_HK_2021!$A$2:$D$929,4,FALSE)</f>
        <v>157368.57999999999</v>
      </c>
      <c r="K172" s="69">
        <v>153213.03</v>
      </c>
    </row>
    <row r="173" spans="1:11">
      <c r="A173" s="584" t="s">
        <v>1462</v>
      </c>
      <c r="C173" s="587">
        <v>15906133.869999999</v>
      </c>
      <c r="D173" s="587">
        <v>16870906.010000002</v>
      </c>
      <c r="E173" s="69">
        <v>16532115.15</v>
      </c>
      <c r="F173" s="69">
        <v>15457981.15</v>
      </c>
      <c r="G173" s="69">
        <v>15611751.439999999</v>
      </c>
      <c r="H173" s="69">
        <f>VLOOKUP(A173,Ucto_HK_2021!$A$2:$D$929,4,FALSE)</f>
        <v>23327115.780000001</v>
      </c>
      <c r="K173" s="69">
        <v>20469747.16</v>
      </c>
    </row>
    <row r="174" spans="1:11">
      <c r="A174" s="355" t="s">
        <v>1463</v>
      </c>
      <c r="B174" s="355" t="s">
        <v>1464</v>
      </c>
      <c r="C174" s="69">
        <v>-11409135.01</v>
      </c>
      <c r="D174" s="69">
        <v>-13333172.369999999</v>
      </c>
      <c r="E174" s="69">
        <v>-13356922.75</v>
      </c>
      <c r="F174" s="69">
        <v>-9197147.0199999996</v>
      </c>
      <c r="G174" s="69">
        <v>-8875838.3399999999</v>
      </c>
      <c r="H174" s="69">
        <f>VLOOKUP(A174,Ucto_HK_2021!$A$2:$D$929,4,FALSE)</f>
        <v>-9869999.3100000005</v>
      </c>
      <c r="K174" s="69">
        <v>-9806870.4000000004</v>
      </c>
    </row>
    <row r="175" spans="1:11">
      <c r="A175" s="355" t="s">
        <v>1465</v>
      </c>
      <c r="B175" s="355" t="s">
        <v>1466</v>
      </c>
      <c r="C175" s="69">
        <v>-4307459.4000000004</v>
      </c>
      <c r="D175" s="69">
        <v>-4468477.38</v>
      </c>
      <c r="E175" s="69">
        <v>-3826300.9</v>
      </c>
      <c r="F175" s="69">
        <v>-2392930.88</v>
      </c>
      <c r="G175" s="69">
        <v>-3827373.17</v>
      </c>
      <c r="H175" s="69">
        <f>VLOOKUP(A175,Ucto_HK_2021!$A$2:$D$929,4,FALSE)</f>
        <v>-5324754.1900000004</v>
      </c>
      <c r="K175" s="69">
        <v>-4610668.6500000004</v>
      </c>
    </row>
    <row r="176" spans="1:11">
      <c r="A176" s="355" t="s">
        <v>1467</v>
      </c>
      <c r="B176" s="355" t="s">
        <v>1468</v>
      </c>
      <c r="C176" s="69">
        <v>-39970960.700000003</v>
      </c>
      <c r="D176" s="69">
        <v>-45401266.880000003</v>
      </c>
      <c r="E176" s="69">
        <v>-31442171.129999999</v>
      </c>
      <c r="F176" s="69">
        <v>-15387114.17</v>
      </c>
      <c r="G176" s="69">
        <v>-28408864.100000001</v>
      </c>
      <c r="H176" s="69">
        <f>VLOOKUP(A176,Ucto_HK_2021!$A$2:$D$929,4,FALSE)</f>
        <v>-29493388.739999998</v>
      </c>
      <c r="K176" s="69">
        <v>-30225609.309999999</v>
      </c>
    </row>
    <row r="177" spans="1:11">
      <c r="A177" s="355" t="s">
        <v>1469</v>
      </c>
      <c r="B177" s="355" t="s">
        <v>1470</v>
      </c>
      <c r="C177" s="69">
        <v>-3992296.63</v>
      </c>
      <c r="D177" s="69">
        <v>-4892670.3600000003</v>
      </c>
      <c r="E177" s="69">
        <v>-5575608.7599999998</v>
      </c>
      <c r="F177" s="69">
        <v>-5250954.08</v>
      </c>
      <c r="G177" s="69">
        <v>-4818466.1500000004</v>
      </c>
      <c r="H177" s="69">
        <f>VLOOKUP(A177,Ucto_HK_2021!$A$2:$D$929,4,FALSE)</f>
        <v>-5128952.67</v>
      </c>
      <c r="K177" s="69">
        <v>-5105967.1500000004</v>
      </c>
    </row>
    <row r="178" spans="1:11">
      <c r="A178" s="355" t="s">
        <v>1471</v>
      </c>
      <c r="B178" s="355" t="s">
        <v>1472</v>
      </c>
      <c r="C178" s="69">
        <v>-346180.45</v>
      </c>
      <c r="D178" s="69">
        <v>-490438.28</v>
      </c>
      <c r="E178" s="69">
        <v>-423209.03</v>
      </c>
      <c r="F178" s="69">
        <v>-369735.02</v>
      </c>
      <c r="G178" s="69">
        <v>-202635.21</v>
      </c>
      <c r="H178" s="69">
        <f>VLOOKUP(A178,Ucto_HK_2021!$A$2:$D$929,4,FALSE)</f>
        <v>-133827.21</v>
      </c>
      <c r="K178" s="69">
        <v>-118658.17</v>
      </c>
    </row>
    <row r="179" spans="1:11">
      <c r="A179" s="355" t="s">
        <v>1473</v>
      </c>
      <c r="B179" s="355" t="s">
        <v>1474</v>
      </c>
      <c r="C179" s="69">
        <v>-8243034.1900000004</v>
      </c>
      <c r="D179" s="69">
        <v>-8799947.1500000004</v>
      </c>
      <c r="E179" s="69">
        <v>-8544081.25</v>
      </c>
      <c r="F179" s="69">
        <v>-6122806.4100000001</v>
      </c>
      <c r="G179" s="69">
        <v>-8868159.9499999993</v>
      </c>
      <c r="H179" s="69">
        <f>VLOOKUP(A179,Ucto_HK_2021!$A$2:$D$929,4,FALSE)</f>
        <v>-7735474.6200000001</v>
      </c>
      <c r="K179" s="69">
        <v>-8594612.7200000007</v>
      </c>
    </row>
    <row r="180" spans="1:11">
      <c r="A180" s="355" t="s">
        <v>1475</v>
      </c>
      <c r="B180" s="355" t="s">
        <v>1476</v>
      </c>
      <c r="C180" s="69">
        <v>-718907.81</v>
      </c>
      <c r="D180" s="69">
        <v>-855781.49</v>
      </c>
      <c r="E180" s="69">
        <v>-2202280.44</v>
      </c>
      <c r="F180" s="69">
        <v>-2046535.59</v>
      </c>
      <c r="G180" s="69">
        <v>-2005100.41</v>
      </c>
      <c r="H180" s="69">
        <f>VLOOKUP(A180,Ucto_HK_2021!$A$2:$D$929,4,FALSE)</f>
        <v>-2856478.99</v>
      </c>
      <c r="K180" s="69">
        <v>-2309530.38</v>
      </c>
    </row>
    <row r="181" spans="1:11">
      <c r="A181" s="355" t="s">
        <v>1477</v>
      </c>
      <c r="B181" s="355" t="s">
        <v>1478</v>
      </c>
      <c r="C181" s="69">
        <v>-7108787.0800000001</v>
      </c>
      <c r="D181" s="69">
        <v>-5916513.6600000001</v>
      </c>
      <c r="E181" s="69">
        <v>-4439699.24</v>
      </c>
      <c r="F181" s="69">
        <v>-3036710.61</v>
      </c>
      <c r="G181" s="69">
        <v>-4729229.2</v>
      </c>
      <c r="H181" s="69">
        <f>VLOOKUP(A181,Ucto_HK_2021!$A$2:$D$929,4,FALSE)</f>
        <v>-3679333.95</v>
      </c>
      <c r="K181" s="69">
        <v>-3676633.3</v>
      </c>
    </row>
    <row r="182" spans="1:11">
      <c r="A182" s="355" t="s">
        <v>1479</v>
      </c>
      <c r="B182" s="355" t="s">
        <v>1480</v>
      </c>
      <c r="C182" s="69">
        <v>-4374905.38</v>
      </c>
      <c r="D182" s="69">
        <v>-4254330.2</v>
      </c>
      <c r="E182" s="69">
        <v>-4395780.76</v>
      </c>
      <c r="F182" s="69">
        <v>-1116679.27</v>
      </c>
      <c r="G182" s="69">
        <v>-199816.58</v>
      </c>
      <c r="H182" s="69">
        <f>VLOOKUP(A182,Ucto_HK_2021!$A$2:$D$929,4,FALSE)</f>
        <v>-406475.7</v>
      </c>
      <c r="K182" s="69">
        <v>-597252.76</v>
      </c>
    </row>
    <row r="183" spans="1:11">
      <c r="A183" s="355" t="s">
        <v>1481</v>
      </c>
      <c r="B183" s="355" t="s">
        <v>1482</v>
      </c>
      <c r="C183" s="69">
        <v>0</v>
      </c>
      <c r="D183" s="69">
        <v>-1216.8</v>
      </c>
      <c r="E183" s="69">
        <v>0</v>
      </c>
      <c r="F183" s="69">
        <v>-1929.25</v>
      </c>
      <c r="G183" s="69">
        <v>0</v>
      </c>
      <c r="H183" s="69">
        <f>VLOOKUP(A183,Ucto_HK_2021!$A$2:$D$929,4,FALSE)</f>
        <v>-1794</v>
      </c>
      <c r="K183" s="69">
        <v>-1020</v>
      </c>
    </row>
    <row r="184" spans="1:11">
      <c r="A184" s="578" t="s">
        <v>2780</v>
      </c>
      <c r="B184" s="578" t="s">
        <v>2781</v>
      </c>
      <c r="C184" s="69"/>
      <c r="D184" s="69"/>
      <c r="E184" s="69"/>
      <c r="F184" s="69"/>
      <c r="G184" s="69"/>
      <c r="H184" s="69">
        <f>VLOOKUP(A184,Ucto_HK_2021!$A$2:$D$929,4,FALSE)</f>
        <v>0</v>
      </c>
      <c r="K184" s="69">
        <v>0</v>
      </c>
    </row>
    <row r="185" spans="1:11">
      <c r="A185" s="355" t="s">
        <v>2650</v>
      </c>
      <c r="B185" s="355" t="s">
        <v>2651</v>
      </c>
      <c r="C185" s="69"/>
      <c r="D185" s="69"/>
      <c r="E185" s="69"/>
      <c r="F185" s="69">
        <v>0</v>
      </c>
      <c r="G185" s="69"/>
      <c r="H185" s="69"/>
      <c r="K185" s="69"/>
    </row>
    <row r="186" spans="1:11">
      <c r="A186" s="355" t="s">
        <v>1483</v>
      </c>
      <c r="B186" s="355" t="s">
        <v>1484</v>
      </c>
      <c r="C186" s="69"/>
      <c r="D186" s="69"/>
      <c r="E186" s="69"/>
      <c r="F186" s="69">
        <v>-220803.18</v>
      </c>
      <c r="G186" s="69">
        <v>-365084.07</v>
      </c>
      <c r="H186" s="69">
        <f>VLOOKUP(A186,Ucto_HK_2021!$A$2:$D$929,4,FALSE)</f>
        <v>-548655.88</v>
      </c>
      <c r="K186" s="69">
        <v>-507673.27</v>
      </c>
    </row>
    <row r="187" spans="1:11">
      <c r="A187" s="355" t="s">
        <v>2648</v>
      </c>
      <c r="B187" s="355" t="s">
        <v>2649</v>
      </c>
      <c r="C187" s="69"/>
      <c r="D187" s="69"/>
      <c r="E187" s="69">
        <v>0</v>
      </c>
      <c r="F187" s="69">
        <v>0</v>
      </c>
      <c r="G187" s="69"/>
      <c r="H187" s="69"/>
      <c r="K187" s="69"/>
    </row>
    <row r="188" spans="1:11">
      <c r="A188" s="355" t="s">
        <v>1485</v>
      </c>
      <c r="B188" s="355" t="s">
        <v>1486</v>
      </c>
      <c r="C188" s="69">
        <v>-19288.580000000002</v>
      </c>
      <c r="D188" s="69">
        <v>-48398.14</v>
      </c>
      <c r="E188" s="69">
        <v>-63188.91</v>
      </c>
      <c r="F188" s="69">
        <v>-70851.7</v>
      </c>
      <c r="G188" s="69">
        <v>-96653.85</v>
      </c>
      <c r="H188" s="69">
        <f>VLOOKUP(A188,Ucto_HK_2021!$A$2:$D$929,4,FALSE)</f>
        <v>-238188.83</v>
      </c>
      <c r="K188" s="69">
        <v>-158811.79</v>
      </c>
    </row>
    <row r="189" spans="1:11">
      <c r="A189" s="355" t="s">
        <v>1487</v>
      </c>
      <c r="B189" s="355" t="s">
        <v>1488</v>
      </c>
      <c r="C189" s="69">
        <v>-5432.15</v>
      </c>
      <c r="D189" s="69">
        <v>-13231.86</v>
      </c>
      <c r="E189" s="69">
        <v>-19072.68</v>
      </c>
      <c r="F189" s="69">
        <v>-29906.47</v>
      </c>
      <c r="G189" s="69">
        <v>-43277.42</v>
      </c>
      <c r="H189" s="69">
        <f>VLOOKUP(A189,Ucto_HK_2021!$A$2:$D$929,4,FALSE)</f>
        <v>-138473.22</v>
      </c>
      <c r="K189" s="69">
        <v>-137745.45000000001</v>
      </c>
    </row>
    <row r="190" spans="1:11">
      <c r="A190" s="355" t="s">
        <v>2699</v>
      </c>
      <c r="B190" s="355" t="s">
        <v>2700</v>
      </c>
      <c r="C190" s="69"/>
      <c r="D190" s="69"/>
      <c r="E190" s="69">
        <v>0</v>
      </c>
      <c r="F190" s="69"/>
      <c r="G190" s="69"/>
      <c r="H190" s="69"/>
      <c r="K190" s="69"/>
    </row>
    <row r="191" spans="1:11">
      <c r="A191" s="355" t="s">
        <v>1489</v>
      </c>
      <c r="B191" s="355" t="s">
        <v>1490</v>
      </c>
      <c r="C191" s="69">
        <v>-19617.990000000002</v>
      </c>
      <c r="D191" s="69">
        <v>-3297.87</v>
      </c>
      <c r="E191" s="69">
        <v>-3227.19</v>
      </c>
      <c r="F191" s="69">
        <v>-36547.279999999999</v>
      </c>
      <c r="G191" s="69">
        <v>-72065.649999999994</v>
      </c>
      <c r="H191" s="69">
        <f>VLOOKUP(A191,Ucto_HK_2021!$A$2:$D$929,4,FALSE)</f>
        <v>-59028.27</v>
      </c>
      <c r="K191" s="69">
        <v>-16395.189999999999</v>
      </c>
    </row>
    <row r="192" spans="1:11">
      <c r="A192" s="355" t="s">
        <v>1491</v>
      </c>
      <c r="C192" s="69">
        <v>-80516005.370000005</v>
      </c>
      <c r="D192" s="69">
        <v>-88478742.439999998</v>
      </c>
      <c r="E192" s="69">
        <v>-74291543.040000007</v>
      </c>
      <c r="F192" s="69">
        <v>-45280650.93</v>
      </c>
      <c r="G192" s="69">
        <v>-62512564.100000001</v>
      </c>
      <c r="H192" s="69">
        <f>VLOOKUP(A192,Ucto_HK_2021!$A$2:$D$929,4,FALSE)</f>
        <v>-65614825.579999998</v>
      </c>
      <c r="K192" s="69">
        <v>-65867448.539999999</v>
      </c>
    </row>
    <row r="193" spans="1:11">
      <c r="A193" s="355" t="s">
        <v>1492</v>
      </c>
      <c r="B193" s="355" t="s">
        <v>1493</v>
      </c>
      <c r="C193" s="69">
        <v>-715112.12</v>
      </c>
      <c r="D193" s="69">
        <v>-1068922.94</v>
      </c>
      <c r="E193" s="69">
        <v>-323600</v>
      </c>
      <c r="F193" s="69">
        <v>-648286.97</v>
      </c>
      <c r="G193" s="69">
        <v>-1232088</v>
      </c>
      <c r="H193" s="69">
        <f>VLOOKUP(A193,Ucto_HK_2021!$A$2:$D$929,4,FALSE)</f>
        <v>-1155146.8</v>
      </c>
      <c r="K193" s="69">
        <v>-1043906.8</v>
      </c>
    </row>
    <row r="194" spans="1:11">
      <c r="A194" s="355" t="s">
        <v>1494</v>
      </c>
      <c r="B194" s="355" t="s">
        <v>1495</v>
      </c>
      <c r="C194" s="69">
        <v>-2385257</v>
      </c>
      <c r="D194" s="69">
        <v>0</v>
      </c>
      <c r="E194" s="69">
        <v>-2442100</v>
      </c>
      <c r="F194" s="69">
        <v>-2524000</v>
      </c>
      <c r="G194" s="69">
        <v>-18228332.27</v>
      </c>
      <c r="H194" s="69">
        <f>VLOOKUP(A194,Ucto_HK_2021!$A$2:$D$929,4,FALSE)</f>
        <v>-27861224</v>
      </c>
      <c r="K194" s="69">
        <v>-17816981</v>
      </c>
    </row>
    <row r="195" spans="1:11">
      <c r="A195" s="355" t="s">
        <v>1496</v>
      </c>
      <c r="B195" s="355" t="s">
        <v>1497</v>
      </c>
      <c r="C195" s="69"/>
      <c r="D195" s="69"/>
      <c r="E195" s="69"/>
      <c r="F195" s="69"/>
      <c r="G195" s="69">
        <v>-357491.97</v>
      </c>
      <c r="H195" s="69">
        <f>VLOOKUP(A195,Ucto_HK_2021!$A$2:$D$929,4,FALSE)</f>
        <v>-173056</v>
      </c>
      <c r="K195" s="69">
        <v>-357491.97</v>
      </c>
    </row>
    <row r="196" spans="1:11">
      <c r="A196" s="355" t="s">
        <v>1498</v>
      </c>
      <c r="B196" s="355" t="s">
        <v>1499</v>
      </c>
      <c r="C196" s="69">
        <v>-24695</v>
      </c>
      <c r="D196" s="69">
        <v>-13377</v>
      </c>
      <c r="E196" s="69">
        <v>-15286.4</v>
      </c>
      <c r="F196" s="69">
        <v>-19077.52</v>
      </c>
      <c r="G196" s="69">
        <v>-213742.71</v>
      </c>
      <c r="H196" s="69">
        <f>VLOOKUP(A196,Ucto_HK_2021!$A$2:$D$929,4,FALSE)</f>
        <v>-187245.59</v>
      </c>
      <c r="K196" s="69">
        <v>-213742.71</v>
      </c>
    </row>
    <row r="197" spans="1:11">
      <c r="A197" s="355" t="s">
        <v>1500</v>
      </c>
      <c r="B197" s="355" t="s">
        <v>1501</v>
      </c>
      <c r="C197" s="69">
        <v>-8631</v>
      </c>
      <c r="D197" s="69">
        <v>-4637</v>
      </c>
      <c r="E197" s="69">
        <v>-5345.2</v>
      </c>
      <c r="F197" s="69">
        <v>-6667.74</v>
      </c>
      <c r="G197" s="69">
        <v>-72966.62</v>
      </c>
      <c r="H197" s="69">
        <f>VLOOKUP(A197,Ucto_HK_2021!$A$2:$D$929,4,FALSE)</f>
        <v>-64349.74</v>
      </c>
      <c r="K197" s="69">
        <v>-72966.62</v>
      </c>
    </row>
    <row r="198" spans="1:11">
      <c r="A198" s="355" t="s">
        <v>1502</v>
      </c>
      <c r="C198" s="69">
        <v>-3133695.12</v>
      </c>
      <c r="D198" s="69">
        <v>-1086936.94</v>
      </c>
      <c r="E198" s="69">
        <v>-2786331.6</v>
      </c>
      <c r="F198" s="69">
        <v>-3198032.23</v>
      </c>
      <c r="G198" s="69">
        <v>-20104621.57</v>
      </c>
      <c r="H198" s="69">
        <f>VLOOKUP(A198,Ucto_HK_2021!$A$2:$D$929,4,FALSE)</f>
        <v>-29441022.129999999</v>
      </c>
      <c r="K198" s="69">
        <v>-19505089.100000001</v>
      </c>
    </row>
    <row r="199" spans="1:11">
      <c r="A199" s="355" t="s">
        <v>1503</v>
      </c>
      <c r="B199" s="355" t="s">
        <v>1504</v>
      </c>
      <c r="C199" s="69"/>
      <c r="D199" s="69"/>
      <c r="E199" s="69"/>
      <c r="F199" s="69"/>
      <c r="G199" s="69">
        <v>0</v>
      </c>
      <c r="H199" s="69">
        <f>VLOOKUP(A199,Ucto_HK_2021!$A$2:$D$929,4,FALSE)</f>
        <v>0</v>
      </c>
      <c r="K199" s="69">
        <v>0</v>
      </c>
    </row>
    <row r="200" spans="1:11">
      <c r="A200" s="355" t="s">
        <v>2701</v>
      </c>
      <c r="B200" s="355" t="s">
        <v>2702</v>
      </c>
      <c r="C200" s="69">
        <v>1374.93</v>
      </c>
      <c r="D200" s="69">
        <v>1450.5</v>
      </c>
      <c r="E200" s="69">
        <v>0</v>
      </c>
      <c r="F200" s="69"/>
      <c r="G200" s="69"/>
      <c r="H200" s="69"/>
      <c r="K200" s="69"/>
    </row>
    <row r="201" spans="1:11">
      <c r="A201" s="355" t="s">
        <v>2703</v>
      </c>
      <c r="B201" s="355" t="s">
        <v>2704</v>
      </c>
      <c r="C201" s="69">
        <v>-8249.61</v>
      </c>
      <c r="D201" s="69">
        <v>-8703.07</v>
      </c>
      <c r="E201" s="69">
        <v>0</v>
      </c>
      <c r="F201" s="69"/>
      <c r="G201" s="69"/>
      <c r="H201" s="69"/>
      <c r="K201" s="69"/>
    </row>
    <row r="202" spans="1:11">
      <c r="A202" s="355" t="s">
        <v>1505</v>
      </c>
      <c r="C202" s="69">
        <v>-6874.68</v>
      </c>
      <c r="D202" s="69">
        <v>-7252.57</v>
      </c>
      <c r="E202" s="69">
        <v>0</v>
      </c>
      <c r="F202" s="69"/>
      <c r="G202" s="69">
        <v>0</v>
      </c>
      <c r="H202" s="69">
        <f>VLOOKUP(A202,Ucto_HK_2021!$A$2:$D$929,4,FALSE)</f>
        <v>0</v>
      </c>
      <c r="K202" s="69">
        <v>0</v>
      </c>
    </row>
    <row r="203" spans="1:11">
      <c r="A203" s="355" t="s">
        <v>1506</v>
      </c>
      <c r="B203" s="355" t="s">
        <v>1507</v>
      </c>
      <c r="C203" s="69">
        <v>-2929.08</v>
      </c>
      <c r="D203" s="69">
        <v>-1708.71</v>
      </c>
      <c r="E203" s="69">
        <v>-5566.12</v>
      </c>
      <c r="F203" s="69">
        <v>-1660.8</v>
      </c>
      <c r="G203" s="69">
        <v>-1792.58</v>
      </c>
      <c r="H203" s="69">
        <f>VLOOKUP(A203,Ucto_HK_2021!$A$2:$D$929,4,FALSE)</f>
        <v>-602.34</v>
      </c>
      <c r="K203" s="69">
        <v>-4135.26</v>
      </c>
    </row>
    <row r="204" spans="1:11">
      <c r="A204" s="355" t="s">
        <v>2705</v>
      </c>
      <c r="B204" s="355" t="s">
        <v>2706</v>
      </c>
      <c r="C204" s="69"/>
      <c r="D204" s="69"/>
      <c r="E204" s="69">
        <v>0</v>
      </c>
      <c r="F204" s="69"/>
      <c r="G204" s="69"/>
      <c r="H204" s="69"/>
      <c r="K204" s="69"/>
    </row>
    <row r="205" spans="1:11">
      <c r="A205" s="355" t="s">
        <v>2734</v>
      </c>
      <c r="B205" s="355" t="s">
        <v>2735</v>
      </c>
      <c r="C205" s="69">
        <v>0</v>
      </c>
      <c r="D205" s="69">
        <v>0</v>
      </c>
      <c r="E205" s="69"/>
      <c r="F205" s="69"/>
      <c r="G205" s="69"/>
      <c r="H205" s="69"/>
      <c r="K205" s="69"/>
    </row>
    <row r="206" spans="1:11">
      <c r="A206" s="355" t="s">
        <v>1508</v>
      </c>
      <c r="C206" s="69">
        <v>-2929.08</v>
      </c>
      <c r="D206" s="69">
        <v>-1708.71</v>
      </c>
      <c r="E206" s="69">
        <v>-5566.12</v>
      </c>
      <c r="F206" s="69">
        <v>-1660.8</v>
      </c>
      <c r="G206" s="69">
        <v>-1792.58</v>
      </c>
      <c r="H206" s="69">
        <f>VLOOKUP(A206,Ucto_HK_2021!$A$2:$D$929,4,FALSE)</f>
        <v>-602.34</v>
      </c>
      <c r="K206" s="69">
        <v>-4135.26</v>
      </c>
    </row>
    <row r="207" spans="1:11">
      <c r="A207" s="355" t="s">
        <v>1509</v>
      </c>
      <c r="B207" s="355" t="s">
        <v>223</v>
      </c>
      <c r="C207" s="69">
        <v>-194.28</v>
      </c>
      <c r="D207" s="69">
        <v>0</v>
      </c>
      <c r="E207" s="69"/>
      <c r="F207" s="69">
        <v>-1606.41</v>
      </c>
      <c r="G207" s="69">
        <v>0</v>
      </c>
      <c r="H207" s="69"/>
      <c r="K207" s="69"/>
    </row>
    <row r="208" spans="1:11">
      <c r="A208" s="355" t="s">
        <v>1510</v>
      </c>
      <c r="C208" s="69">
        <v>-194.28</v>
      </c>
      <c r="D208" s="69">
        <v>0</v>
      </c>
      <c r="E208" s="69"/>
      <c r="F208" s="69">
        <v>-1606.41</v>
      </c>
      <c r="G208" s="69">
        <v>0</v>
      </c>
      <c r="H208" s="69"/>
      <c r="K208" s="69"/>
    </row>
    <row r="209" spans="1:11">
      <c r="A209" s="584" t="s">
        <v>1511</v>
      </c>
      <c r="C209" s="587">
        <v>-83659698.530000001</v>
      </c>
      <c r="D209" s="587">
        <v>-89574640.659999996</v>
      </c>
      <c r="E209" s="69">
        <v>-77083440.760000005</v>
      </c>
      <c r="F209" s="69">
        <v>-48481950.369999997</v>
      </c>
      <c r="G209" s="69">
        <v>-82618978.25</v>
      </c>
      <c r="H209" s="69">
        <f>VLOOKUP(A209,Ucto_HK_2021!$A$2:$D$929,4,FALSE)</f>
        <v>-95056450.049999997</v>
      </c>
      <c r="K209" s="69">
        <v>-85376672.900000006</v>
      </c>
    </row>
    <row r="210" spans="1:11">
      <c r="A210" s="355" t="s">
        <v>1512</v>
      </c>
      <c r="B210" s="355" t="s">
        <v>1513</v>
      </c>
      <c r="C210" s="69">
        <v>-2943473.05</v>
      </c>
      <c r="D210" s="69">
        <v>-3125620.88</v>
      </c>
      <c r="E210" s="69">
        <v>-3178720.52</v>
      </c>
      <c r="F210" s="69">
        <v>-3507305.38</v>
      </c>
      <c r="G210" s="69">
        <v>-4079522.71</v>
      </c>
      <c r="H210" s="69">
        <f>VLOOKUP(A210,Ucto_HK_2021!$A$2:$D$929,4,FALSE)</f>
        <v>-5993577.2199999997</v>
      </c>
      <c r="K210" s="69">
        <v>-4827218.5</v>
      </c>
    </row>
    <row r="211" spans="1:11">
      <c r="A211" s="355" t="s">
        <v>1514</v>
      </c>
      <c r="C211" s="69">
        <v>-2943473.05</v>
      </c>
      <c r="D211" s="69">
        <v>-3125620.88</v>
      </c>
      <c r="E211" s="69">
        <v>-3178720.52</v>
      </c>
      <c r="F211" s="69">
        <v>-3507305.38</v>
      </c>
      <c r="G211" s="69">
        <v>-4079522.71</v>
      </c>
      <c r="H211" s="69">
        <f>VLOOKUP(A211,Ucto_HK_2021!$A$2:$D$929,4,FALSE)</f>
        <v>-5993577.2199999997</v>
      </c>
      <c r="K211" s="69">
        <v>-4827218.5</v>
      </c>
    </row>
    <row r="212" spans="1:11">
      <c r="A212" s="355" t="s">
        <v>1515</v>
      </c>
      <c r="B212" s="355" t="s">
        <v>1516</v>
      </c>
      <c r="C212" s="69">
        <v>-10415.77</v>
      </c>
      <c r="D212" s="69">
        <v>-21449.56</v>
      </c>
      <c r="E212" s="69">
        <v>-18897.759999999998</v>
      </c>
      <c r="F212" s="69">
        <v>-24752.87</v>
      </c>
      <c r="G212" s="69">
        <v>-11148.53</v>
      </c>
      <c r="H212" s="69">
        <f>VLOOKUP(A212,Ucto_HK_2021!$A$2:$D$929,4,FALSE)</f>
        <v>-12084.69</v>
      </c>
      <c r="K212" s="69">
        <v>-10981.2</v>
      </c>
    </row>
    <row r="213" spans="1:11">
      <c r="A213" s="355" t="s">
        <v>1517</v>
      </c>
      <c r="B213" s="355" t="s">
        <v>1518</v>
      </c>
      <c r="C213" s="69">
        <v>-481.4</v>
      </c>
      <c r="D213" s="69">
        <v>-448.2</v>
      </c>
      <c r="E213" s="69">
        <v>-448.2</v>
      </c>
      <c r="F213" s="69">
        <v>-448.2</v>
      </c>
      <c r="G213" s="69">
        <v>-988.2</v>
      </c>
      <c r="H213" s="69">
        <f>VLOOKUP(A213,Ucto_HK_2021!$A$2:$D$929,4,FALSE)</f>
        <v>-628.16</v>
      </c>
      <c r="K213" s="69">
        <v>-448.2</v>
      </c>
    </row>
    <row r="214" spans="1:11">
      <c r="A214" s="355" t="s">
        <v>1519</v>
      </c>
      <c r="B214" s="355" t="s">
        <v>1520</v>
      </c>
      <c r="C214" s="69"/>
      <c r="D214" s="69"/>
      <c r="E214" s="69"/>
      <c r="F214" s="69"/>
      <c r="G214" s="69">
        <v>-1209.08</v>
      </c>
      <c r="H214" s="69">
        <f>VLOOKUP(A214,Ucto_HK_2021!$A$2:$D$929,4,FALSE)</f>
        <v>-2030</v>
      </c>
      <c r="K214" s="69">
        <v>-11900.64</v>
      </c>
    </row>
    <row r="215" spans="1:11">
      <c r="A215" s="355" t="s">
        <v>1521</v>
      </c>
      <c r="C215" s="69">
        <v>-10897.17</v>
      </c>
      <c r="D215" s="69">
        <v>-21897.759999999998</v>
      </c>
      <c r="E215" s="69">
        <v>-19345.96</v>
      </c>
      <c r="F215" s="69">
        <v>-42429.78</v>
      </c>
      <c r="G215" s="69">
        <v>-13345.81</v>
      </c>
      <c r="H215" s="69">
        <f>VLOOKUP(A215,Ucto_HK_2021!$A$2:$D$929,4,FALSE)</f>
        <v>-14742.85</v>
      </c>
      <c r="K215" s="69">
        <v>-23330.04</v>
      </c>
    </row>
    <row r="216" spans="1:11">
      <c r="A216" s="355" t="s">
        <v>1522</v>
      </c>
      <c r="B216" s="355" t="s">
        <v>1523</v>
      </c>
      <c r="C216" s="69">
        <v>0</v>
      </c>
      <c r="D216" s="69">
        <v>0</v>
      </c>
      <c r="E216" s="69">
        <v>0</v>
      </c>
      <c r="F216" s="69">
        <v>0</v>
      </c>
      <c r="G216" s="69">
        <v>0</v>
      </c>
      <c r="H216" s="69">
        <f>VLOOKUP(A216,Ucto_HK_2021!$A$2:$D$929,4,FALSE)</f>
        <v>0</v>
      </c>
      <c r="K216" s="69">
        <v>4981</v>
      </c>
    </row>
    <row r="217" spans="1:11">
      <c r="A217" s="355" t="s">
        <v>1524</v>
      </c>
      <c r="B217" s="355" t="s">
        <v>1525</v>
      </c>
      <c r="C217" s="69">
        <v>1791.73</v>
      </c>
      <c r="D217" s="69">
        <v>2319.5</v>
      </c>
      <c r="E217" s="69">
        <v>2692.8</v>
      </c>
      <c r="F217" s="69">
        <v>2197.5300000000002</v>
      </c>
      <c r="G217" s="69">
        <v>957.88</v>
      </c>
      <c r="H217" s="69">
        <f>VLOOKUP(A217,Ucto_HK_2021!$A$2:$D$929,4,FALSE)</f>
        <v>1422.37</v>
      </c>
      <c r="K217" s="69">
        <v>1463.36</v>
      </c>
    </row>
    <row r="218" spans="1:11">
      <c r="A218" s="355" t="s">
        <v>1526</v>
      </c>
      <c r="B218" s="355" t="s">
        <v>1527</v>
      </c>
      <c r="C218" s="69">
        <v>45753.52</v>
      </c>
      <c r="D218" s="69">
        <v>53608.01</v>
      </c>
      <c r="E218" s="69">
        <v>54565.08</v>
      </c>
      <c r="F218" s="69">
        <v>41495.43</v>
      </c>
      <c r="G218" s="69">
        <v>76903.22</v>
      </c>
      <c r="H218" s="69">
        <f>VLOOKUP(A218,Ucto_HK_2021!$A$2:$D$929,4,FALSE)</f>
        <v>64687.87</v>
      </c>
      <c r="K218" s="69">
        <v>67749.87</v>
      </c>
    </row>
    <row r="219" spans="1:11">
      <c r="A219" s="355" t="s">
        <v>1528</v>
      </c>
      <c r="B219" s="355" t="s">
        <v>1529</v>
      </c>
      <c r="C219" s="69">
        <v>0</v>
      </c>
      <c r="D219" s="69">
        <v>0</v>
      </c>
      <c r="E219" s="69">
        <v>3.6</v>
      </c>
      <c r="F219" s="69">
        <v>0</v>
      </c>
      <c r="G219" s="69">
        <v>0</v>
      </c>
      <c r="H219" s="69">
        <f>VLOOKUP(A219,Ucto_HK_2021!$A$2:$D$929,4,FALSE)</f>
        <v>0</v>
      </c>
      <c r="K219" s="69">
        <v>-113.1</v>
      </c>
    </row>
    <row r="220" spans="1:11">
      <c r="A220" s="355" t="s">
        <v>1530</v>
      </c>
      <c r="C220" s="69">
        <v>47545.25</v>
      </c>
      <c r="D220" s="69">
        <v>55927.51</v>
      </c>
      <c r="E220" s="69">
        <v>57261.48</v>
      </c>
      <c r="F220" s="69">
        <v>43692.959999999999</v>
      </c>
      <c r="G220" s="69">
        <v>77861.100000000006</v>
      </c>
      <c r="H220" s="69">
        <f>VLOOKUP(A220,Ucto_HK_2021!$A$2:$D$929,4,FALSE)</f>
        <v>66110.240000000005</v>
      </c>
      <c r="K220" s="69">
        <v>74081.13</v>
      </c>
    </row>
    <row r="221" spans="1:11">
      <c r="A221" s="355" t="s">
        <v>1531</v>
      </c>
      <c r="B221" s="355" t="s">
        <v>1532</v>
      </c>
      <c r="C221" s="69">
        <v>-263373.93</v>
      </c>
      <c r="D221" s="69">
        <v>-298559.93</v>
      </c>
      <c r="E221" s="69">
        <v>-303168.65999999997</v>
      </c>
      <c r="F221" s="69">
        <v>-328435.15999999997</v>
      </c>
      <c r="G221" s="69">
        <v>-362657.59</v>
      </c>
      <c r="H221" s="69">
        <f>VLOOKUP(A221,Ucto_HK_2021!$A$2:$D$929,4,FALSE)</f>
        <v>-511547.62</v>
      </c>
      <c r="K221" s="69">
        <v>-422819.62</v>
      </c>
    </row>
    <row r="222" spans="1:11">
      <c r="A222" s="355" t="s">
        <v>1533</v>
      </c>
      <c r="B222" s="355" t="s">
        <v>1534</v>
      </c>
      <c r="C222" s="69">
        <v>-106728.46</v>
      </c>
      <c r="D222" s="69">
        <v>-119417.34</v>
      </c>
      <c r="E222" s="69">
        <v>-121221.99</v>
      </c>
      <c r="F222" s="69">
        <v>-131360.54</v>
      </c>
      <c r="G222" s="69">
        <v>-145041.19</v>
      </c>
      <c r="H222" s="69">
        <f>VLOOKUP(A222,Ucto_HK_2021!$A$2:$D$929,4,FALSE)</f>
        <v>-204598.25</v>
      </c>
      <c r="K222" s="69">
        <v>-169099.23</v>
      </c>
    </row>
    <row r="223" spans="1:11">
      <c r="A223" s="355" t="s">
        <v>1535</v>
      </c>
      <c r="B223" s="355" t="s">
        <v>1536</v>
      </c>
      <c r="C223" s="69">
        <v>0</v>
      </c>
      <c r="D223" s="69">
        <v>0</v>
      </c>
      <c r="E223" s="69"/>
      <c r="F223" s="69"/>
      <c r="G223" s="69">
        <v>0</v>
      </c>
      <c r="H223" s="69">
        <f>VLOOKUP(A223,Ucto_HK_2021!$A$2:$D$929,4,FALSE)</f>
        <v>-901.44</v>
      </c>
      <c r="K223" s="69"/>
    </row>
    <row r="224" spans="1:11">
      <c r="A224" s="355" t="s">
        <v>1537</v>
      </c>
      <c r="B224" s="355" t="s">
        <v>1538</v>
      </c>
      <c r="C224" s="69">
        <v>-77544.61</v>
      </c>
      <c r="D224" s="69">
        <v>-84318.78</v>
      </c>
      <c r="E224" s="69">
        <v>-86862.56</v>
      </c>
      <c r="F224" s="69">
        <v>-98204.38</v>
      </c>
      <c r="G224" s="69">
        <v>-122193.94</v>
      </c>
      <c r="H224" s="69">
        <f>VLOOKUP(A224,Ucto_HK_2021!$A$2:$D$929,4,FALSE)</f>
        <v>-184040.61</v>
      </c>
      <c r="K224" s="69">
        <v>-146093.34</v>
      </c>
    </row>
    <row r="225" spans="1:11">
      <c r="A225" s="355" t="s">
        <v>1539</v>
      </c>
      <c r="B225" s="355" t="s">
        <v>1540</v>
      </c>
      <c r="C225" s="69">
        <v>-31015.55</v>
      </c>
      <c r="D225" s="69">
        <v>-33725.32</v>
      </c>
      <c r="E225" s="69">
        <v>-34742.76</v>
      </c>
      <c r="F225" s="69">
        <v>-39279.46</v>
      </c>
      <c r="G225" s="69">
        <v>-48867.92</v>
      </c>
      <c r="H225" s="69">
        <f>VLOOKUP(A225,Ucto_HK_2021!$A$2:$D$929,4,FALSE)</f>
        <v>-73592.899999999994</v>
      </c>
      <c r="K225" s="69">
        <v>-58398.69</v>
      </c>
    </row>
    <row r="226" spans="1:11">
      <c r="A226" s="355" t="s">
        <v>1541</v>
      </c>
      <c r="B226" s="355" t="s">
        <v>1542</v>
      </c>
      <c r="C226" s="69"/>
      <c r="D226" s="69"/>
      <c r="E226" s="69"/>
      <c r="F226" s="69"/>
      <c r="G226" s="69">
        <v>788.34</v>
      </c>
      <c r="H226" s="69">
        <f>VLOOKUP(A226,Ucto_HK_2021!$A$2:$D$929,4,FALSE)</f>
        <v>0</v>
      </c>
      <c r="K226" s="69">
        <v>-775.19</v>
      </c>
    </row>
    <row r="227" spans="1:11">
      <c r="A227" s="355" t="s">
        <v>1543</v>
      </c>
      <c r="B227" s="355" t="s">
        <v>1544</v>
      </c>
      <c r="C227" s="69">
        <v>-34834.1</v>
      </c>
      <c r="D227" s="69">
        <v>-35705.9</v>
      </c>
      <c r="E227" s="69">
        <v>-37366.589999999997</v>
      </c>
      <c r="F227" s="69">
        <v>-45056.34</v>
      </c>
      <c r="G227" s="69">
        <v>-63018.95</v>
      </c>
      <c r="H227" s="69">
        <f>VLOOKUP(A227,Ucto_HK_2021!$A$2:$D$929,4,FALSE)</f>
        <v>-107403.06</v>
      </c>
      <c r="K227" s="69">
        <v>-87108.1</v>
      </c>
    </row>
    <row r="228" spans="1:11">
      <c r="A228" s="355" t="s">
        <v>1545</v>
      </c>
      <c r="B228" s="355" t="s">
        <v>1546</v>
      </c>
      <c r="C228" s="69">
        <v>-13932.71</v>
      </c>
      <c r="D228" s="69">
        <v>-14281.38</v>
      </c>
      <c r="E228" s="69">
        <v>-14932.23</v>
      </c>
      <c r="F228" s="69">
        <v>-18021.490000000002</v>
      </c>
      <c r="G228" s="69">
        <v>-25206.48</v>
      </c>
      <c r="H228" s="69">
        <f>VLOOKUP(A228,Ucto_HK_2021!$A$2:$D$929,4,FALSE)</f>
        <v>-42959.63</v>
      </c>
      <c r="K228" s="69">
        <v>-34841.69</v>
      </c>
    </row>
    <row r="229" spans="1:11">
      <c r="A229" s="355" t="s">
        <v>1547</v>
      </c>
      <c r="B229" s="355" t="s">
        <v>1548</v>
      </c>
      <c r="C229" s="69"/>
      <c r="D229" s="69"/>
      <c r="E229" s="69"/>
      <c r="F229" s="69">
        <v>43.38</v>
      </c>
      <c r="G229" s="69">
        <v>0</v>
      </c>
      <c r="H229" s="69">
        <f>VLOOKUP(A229,Ucto_HK_2021!$A$2:$D$929,4,FALSE)</f>
        <v>42.67</v>
      </c>
      <c r="K229" s="69">
        <v>42.67</v>
      </c>
    </row>
    <row r="230" spans="1:11">
      <c r="A230" s="355" t="s">
        <v>1549</v>
      </c>
      <c r="B230" s="355" t="s">
        <v>1550</v>
      </c>
      <c r="C230" s="69">
        <v>-5663355.3200000003</v>
      </c>
      <c r="D230" s="69">
        <v>-17652319.120000001</v>
      </c>
      <c r="E230" s="69">
        <v>-26346969.300000001</v>
      </c>
      <c r="F230" s="69">
        <v>-39857748.219999999</v>
      </c>
      <c r="G230" s="69">
        <v>-32521577.289999999</v>
      </c>
      <c r="H230" s="69">
        <f>VLOOKUP(A230,Ucto_HK_2021!$A$2:$D$929,4,FALSE)</f>
        <v>-48517096.350000001</v>
      </c>
      <c r="K230" s="69">
        <v>-45436368.880000003</v>
      </c>
    </row>
    <row r="231" spans="1:11">
      <c r="A231" s="355" t="s">
        <v>1551</v>
      </c>
      <c r="B231" s="355" t="s">
        <v>1552</v>
      </c>
      <c r="C231" s="69">
        <v>-362925.14</v>
      </c>
      <c r="D231" s="69">
        <v>-384623.03</v>
      </c>
      <c r="E231" s="69">
        <v>-392036.69</v>
      </c>
      <c r="F231" s="69">
        <v>-429283.02</v>
      </c>
      <c r="G231" s="69">
        <v>-501811.29</v>
      </c>
      <c r="H231" s="69">
        <f>VLOOKUP(A231,Ucto_HK_2021!$A$2:$D$929,4,FALSE)</f>
        <v>-744484.09</v>
      </c>
      <c r="K231" s="69">
        <v>-599290.57999999996</v>
      </c>
    </row>
    <row r="232" spans="1:11">
      <c r="A232" s="355" t="s">
        <v>1553</v>
      </c>
      <c r="B232" s="355" t="s">
        <v>1554</v>
      </c>
      <c r="C232" s="69">
        <v>-75.16</v>
      </c>
      <c r="D232" s="69">
        <v>-50.29</v>
      </c>
      <c r="E232" s="69">
        <v>-60.3</v>
      </c>
      <c r="F232" s="69">
        <v>-60.08</v>
      </c>
      <c r="G232" s="69">
        <v>-1380.24</v>
      </c>
      <c r="H232" s="69">
        <f>VLOOKUP(A232,Ucto_HK_2021!$A$2:$D$929,4,FALSE)</f>
        <v>-528.4</v>
      </c>
      <c r="K232" s="69">
        <v>-5927.85</v>
      </c>
    </row>
    <row r="233" spans="1:11">
      <c r="A233" s="355" t="s">
        <v>1555</v>
      </c>
      <c r="B233" s="355" t="s">
        <v>1556</v>
      </c>
      <c r="C233" s="69">
        <v>-22.17</v>
      </c>
      <c r="D233" s="69">
        <v>-12.75</v>
      </c>
      <c r="E233" s="69">
        <v>-12.37</v>
      </c>
      <c r="F233" s="69">
        <v>-12.6</v>
      </c>
      <c r="G233" s="69">
        <v>-485.26</v>
      </c>
      <c r="H233" s="69">
        <f>VLOOKUP(A233,Ucto_HK_2021!$A$2:$D$929,4,FALSE)</f>
        <v>-188.18</v>
      </c>
      <c r="K233" s="69">
        <v>-2167.1799999999998</v>
      </c>
    </row>
    <row r="234" spans="1:11">
      <c r="A234" s="355" t="s">
        <v>1557</v>
      </c>
      <c r="B234" s="355" t="s">
        <v>1558</v>
      </c>
      <c r="C234" s="69">
        <v>-9396.1200000000008</v>
      </c>
      <c r="D234" s="69">
        <v>-10129.64</v>
      </c>
      <c r="E234" s="69">
        <v>-10259.27</v>
      </c>
      <c r="F234" s="69">
        <v>-11298.15</v>
      </c>
      <c r="G234" s="69">
        <v>-12677.17</v>
      </c>
      <c r="H234" s="69">
        <f>VLOOKUP(A234,Ucto_HK_2021!$A$2:$D$929,4,FALSE)</f>
        <v>-22063.42</v>
      </c>
      <c r="K234" s="69">
        <v>-17731.330000000002</v>
      </c>
    </row>
    <row r="235" spans="1:11">
      <c r="A235" s="355" t="s">
        <v>1559</v>
      </c>
      <c r="B235" s="355" t="s">
        <v>1560</v>
      </c>
      <c r="C235" s="69">
        <v>-8332.99</v>
      </c>
      <c r="D235" s="69">
        <v>-8976.76</v>
      </c>
      <c r="E235" s="69">
        <v>-9393.11</v>
      </c>
      <c r="F235" s="69">
        <v>-9683.98</v>
      </c>
      <c r="G235" s="69">
        <v>-10778.08</v>
      </c>
      <c r="H235" s="69">
        <f>VLOOKUP(A235,Ucto_HK_2021!$A$2:$D$929,4,FALSE)</f>
        <v>-18545.8</v>
      </c>
      <c r="K235" s="69">
        <v>-14940.45</v>
      </c>
    </row>
    <row r="236" spans="1:11">
      <c r="A236" s="355" t="s">
        <v>1561</v>
      </c>
      <c r="B236" s="355" t="s">
        <v>1562</v>
      </c>
      <c r="C236" s="69">
        <v>-9624.25</v>
      </c>
      <c r="D236" s="69">
        <v>-10240.99</v>
      </c>
      <c r="E236" s="69">
        <v>-10312.6</v>
      </c>
      <c r="F236" s="69">
        <v>-11782.79</v>
      </c>
      <c r="G236" s="69">
        <v>-13147.91</v>
      </c>
      <c r="H236" s="69">
        <f>VLOOKUP(A236,Ucto_HK_2021!$A$2:$D$929,4,FALSE)</f>
        <v>-22824.15</v>
      </c>
      <c r="K236" s="69">
        <v>-18806.05</v>
      </c>
    </row>
    <row r="237" spans="1:11">
      <c r="A237" s="355" t="s">
        <v>1563</v>
      </c>
      <c r="B237" s="355" t="s">
        <v>1564</v>
      </c>
      <c r="C237" s="69">
        <v>-4099.38</v>
      </c>
      <c r="D237" s="69">
        <v>-4776.59</v>
      </c>
      <c r="E237" s="69">
        <v>-5601.51</v>
      </c>
      <c r="F237" s="69">
        <v>-6330.57</v>
      </c>
      <c r="G237" s="69">
        <v>-7464.83</v>
      </c>
      <c r="H237" s="69">
        <f>VLOOKUP(A237,Ucto_HK_2021!$A$2:$D$929,4,FALSE)</f>
        <v>-13280.79</v>
      </c>
      <c r="K237" s="69">
        <v>-10862</v>
      </c>
    </row>
    <row r="238" spans="1:11">
      <c r="A238" s="355" t="s">
        <v>1565</v>
      </c>
      <c r="B238" s="355" t="s">
        <v>1558</v>
      </c>
      <c r="C238" s="69">
        <v>-6070.4</v>
      </c>
      <c r="D238" s="69">
        <v>-6269.92</v>
      </c>
      <c r="E238" s="69">
        <v>-6484.42</v>
      </c>
      <c r="F238" s="69">
        <v>-6702.74</v>
      </c>
      <c r="G238" s="69">
        <v>-7222.19</v>
      </c>
      <c r="H238" s="69">
        <f>VLOOKUP(A238,Ucto_HK_2021!$A$2:$D$929,4,FALSE)</f>
        <v>-7916.96</v>
      </c>
      <c r="K238" s="69">
        <v>-7705.44</v>
      </c>
    </row>
    <row r="239" spans="1:11">
      <c r="A239" s="355" t="s">
        <v>1566</v>
      </c>
      <c r="B239" s="355" t="s">
        <v>1560</v>
      </c>
      <c r="C239" s="69">
        <v>-5536.32</v>
      </c>
      <c r="D239" s="69">
        <v>-5810.07</v>
      </c>
      <c r="E239" s="69">
        <v>-6169.26</v>
      </c>
      <c r="F239" s="69">
        <v>-6037.93</v>
      </c>
      <c r="G239" s="69">
        <v>-5969.52</v>
      </c>
      <c r="H239" s="69">
        <f>VLOOKUP(A239,Ucto_HK_2021!$A$2:$D$929,4,FALSE)</f>
        <v>-6288.43</v>
      </c>
      <c r="K239" s="69">
        <v>-6155.23</v>
      </c>
    </row>
    <row r="240" spans="1:11">
      <c r="A240" s="355" t="s">
        <v>1567</v>
      </c>
      <c r="B240" s="355" t="s">
        <v>1562</v>
      </c>
      <c r="C240" s="69">
        <v>-6714.41</v>
      </c>
      <c r="D240" s="69">
        <v>-6743.52</v>
      </c>
      <c r="E240" s="69">
        <v>-6879.42</v>
      </c>
      <c r="F240" s="69">
        <v>-7550.99</v>
      </c>
      <c r="G240" s="69">
        <v>-8096.91</v>
      </c>
      <c r="H240" s="69">
        <f>VLOOKUP(A240,Ucto_HK_2021!$A$2:$D$929,4,FALSE)</f>
        <v>-8890.14</v>
      </c>
      <c r="K240" s="69">
        <v>-8920.74</v>
      </c>
    </row>
    <row r="241" spans="1:11">
      <c r="A241" s="355" t="s">
        <v>1568</v>
      </c>
      <c r="B241" s="355" t="s">
        <v>1564</v>
      </c>
      <c r="C241" s="69">
        <v>-2733.11</v>
      </c>
      <c r="D241" s="69">
        <v>-3138.72</v>
      </c>
      <c r="E241" s="69">
        <v>-3630.27</v>
      </c>
      <c r="F241" s="69">
        <v>-4090.98</v>
      </c>
      <c r="G241" s="69">
        <v>-4141.5600000000004</v>
      </c>
      <c r="H241" s="69">
        <f>VLOOKUP(A241,Ucto_HK_2021!$A$2:$D$929,4,FALSE)</f>
        <v>-4513.6499999999996</v>
      </c>
      <c r="K241" s="69">
        <v>-4292.1000000000004</v>
      </c>
    </row>
    <row r="242" spans="1:11">
      <c r="A242" s="355" t="s">
        <v>1569</v>
      </c>
      <c r="B242" s="355" t="s">
        <v>1570</v>
      </c>
      <c r="C242" s="69">
        <v>-86</v>
      </c>
      <c r="D242" s="69">
        <v>-86</v>
      </c>
      <c r="E242" s="69">
        <v>-86</v>
      </c>
      <c r="F242" s="69">
        <v>-86</v>
      </c>
      <c r="G242" s="69">
        <v>-86</v>
      </c>
      <c r="H242" s="69">
        <f>VLOOKUP(A242,Ucto_HK_2021!$A$2:$D$929,4,FALSE)</f>
        <v>-86</v>
      </c>
      <c r="K242" s="69">
        <v>-86</v>
      </c>
    </row>
    <row r="243" spans="1:11">
      <c r="A243" s="355" t="s">
        <v>1571</v>
      </c>
      <c r="B243" s="355" t="s">
        <v>1572</v>
      </c>
      <c r="C243" s="69">
        <v>-20.22</v>
      </c>
      <c r="D243" s="69">
        <v>-20.239999999999998</v>
      </c>
      <c r="E243" s="69">
        <v>-31.07</v>
      </c>
      <c r="F243" s="69">
        <v>-17.739999999999998</v>
      </c>
      <c r="G243" s="69">
        <v>-15.75</v>
      </c>
      <c r="H243" s="69">
        <f>VLOOKUP(A243,Ucto_HK_2021!$A$2:$D$929,4,FALSE)</f>
        <v>-32.200000000000003</v>
      </c>
      <c r="K243" s="69">
        <v>-24.73</v>
      </c>
    </row>
    <row r="244" spans="1:11">
      <c r="A244" s="355" t="s">
        <v>1573</v>
      </c>
      <c r="B244" s="355" t="s">
        <v>1574</v>
      </c>
      <c r="C244" s="69"/>
      <c r="D244" s="69"/>
      <c r="E244" s="69"/>
      <c r="F244" s="69"/>
      <c r="G244" s="69">
        <v>0</v>
      </c>
      <c r="H244" s="69"/>
      <c r="K244" s="69"/>
    </row>
    <row r="245" spans="1:11">
      <c r="A245" s="355" t="s">
        <v>1575</v>
      </c>
      <c r="C245" s="69">
        <v>-6606420.3499999996</v>
      </c>
      <c r="D245" s="69">
        <v>-18679206.289999999</v>
      </c>
      <c r="E245" s="69">
        <v>-27396220.379999999</v>
      </c>
      <c r="F245" s="69">
        <v>-41010999.780000001</v>
      </c>
      <c r="G245" s="69">
        <v>-33861051.729999997</v>
      </c>
      <c r="H245" s="69">
        <f>VLOOKUP(A245,Ucto_HK_2021!$A$2:$D$929,4,FALSE)</f>
        <v>-50491739.399999999</v>
      </c>
      <c r="K245" s="69">
        <v>-47052371.75</v>
      </c>
    </row>
    <row r="246" spans="1:11">
      <c r="A246" s="584" t="s">
        <v>1576</v>
      </c>
      <c r="C246" s="587">
        <v>-9513245.3200000003</v>
      </c>
      <c r="D246" s="587">
        <v>-21770797.420000002</v>
      </c>
      <c r="E246" s="69">
        <v>-30537025.379999999</v>
      </c>
      <c r="F246" s="69">
        <v>-44517041.979999997</v>
      </c>
      <c r="G246" s="69">
        <v>-37876059.149999999</v>
      </c>
      <c r="H246" s="69">
        <f>VLOOKUP(A246,Ucto_HK_2021!$A$2:$D$929,4,FALSE)</f>
        <v>-56433949.229999997</v>
      </c>
      <c r="K246" s="69">
        <v>-51828839.159999996</v>
      </c>
    </row>
    <row r="247" spans="1:11">
      <c r="A247" s="355" t="s">
        <v>1577</v>
      </c>
      <c r="B247" s="355" t="s">
        <v>224</v>
      </c>
      <c r="C247" s="69">
        <v>115765.05</v>
      </c>
      <c r="D247" s="69">
        <v>97250.85</v>
      </c>
      <c r="E247" s="69">
        <v>62188.08</v>
      </c>
      <c r="F247" s="69">
        <v>-38040.14</v>
      </c>
      <c r="G247" s="69">
        <v>0</v>
      </c>
      <c r="H247" s="69">
        <f>VLOOKUP(A247,Ucto_HK_2021!$A$2:$D$929,4,FALSE)</f>
        <v>-40091.99</v>
      </c>
      <c r="K247" s="69">
        <v>0</v>
      </c>
    </row>
    <row r="248" spans="1:11">
      <c r="A248" s="355" t="s">
        <v>1578</v>
      </c>
      <c r="B248" s="355" t="s">
        <v>1579</v>
      </c>
      <c r="C248" s="69"/>
      <c r="D248" s="69"/>
      <c r="E248" s="69"/>
      <c r="F248" s="69"/>
      <c r="G248" s="69">
        <v>86737.81</v>
      </c>
      <c r="H248" s="69">
        <f>VLOOKUP(A248,Ucto_HK_2021!$A$2:$D$929,4,FALSE)</f>
        <v>22580.73</v>
      </c>
      <c r="K248" s="69">
        <v>26485.17</v>
      </c>
    </row>
    <row r="249" spans="1:11">
      <c r="A249" s="355" t="s">
        <v>1580</v>
      </c>
      <c r="B249" s="355" t="s">
        <v>1581</v>
      </c>
      <c r="C249" s="69">
        <v>0</v>
      </c>
      <c r="D249" s="69">
        <v>0</v>
      </c>
      <c r="E249" s="69">
        <v>0</v>
      </c>
      <c r="F249" s="69">
        <v>0</v>
      </c>
      <c r="G249" s="69">
        <v>0</v>
      </c>
      <c r="H249" s="69"/>
      <c r="K249" s="69"/>
    </row>
    <row r="250" spans="1:11">
      <c r="A250" s="355" t="s">
        <v>1582</v>
      </c>
      <c r="C250" s="69">
        <v>115765.05</v>
      </c>
      <c r="D250" s="69">
        <v>97250.85</v>
      </c>
      <c r="E250" s="69">
        <v>62188.08</v>
      </c>
      <c r="F250" s="69">
        <v>-38040.14</v>
      </c>
      <c r="G250" s="69">
        <v>86737.81</v>
      </c>
      <c r="H250" s="69">
        <f>VLOOKUP(A250,Ucto_HK_2021!$A$2:$D$929,4,FALSE)</f>
        <v>-17511.259999999998</v>
      </c>
      <c r="K250" s="69">
        <v>26485.17</v>
      </c>
    </row>
    <row r="251" spans="1:11">
      <c r="A251" s="355" t="s">
        <v>1583</v>
      </c>
      <c r="B251" s="355" t="s">
        <v>1584</v>
      </c>
      <c r="C251" s="69">
        <v>-468992.51</v>
      </c>
      <c r="D251" s="69">
        <v>-516903.69</v>
      </c>
      <c r="E251" s="69">
        <v>-537925.68999999994</v>
      </c>
      <c r="F251" s="69">
        <v>-608746.07999999996</v>
      </c>
      <c r="G251" s="69">
        <v>-722178.84</v>
      </c>
      <c r="H251" s="69">
        <f>VLOOKUP(A251,Ucto_HK_2021!$A$2:$D$929,4,FALSE)</f>
        <v>-1133753.8899999999</v>
      </c>
      <c r="K251" s="69">
        <v>-874948.63</v>
      </c>
    </row>
    <row r="252" spans="1:11">
      <c r="A252" s="355" t="s">
        <v>1585</v>
      </c>
      <c r="C252" s="69">
        <v>-468992.51</v>
      </c>
      <c r="D252" s="69">
        <v>-516903.69</v>
      </c>
      <c r="E252" s="69">
        <v>-537925.68999999994</v>
      </c>
      <c r="F252" s="69">
        <v>-608746.07999999996</v>
      </c>
      <c r="G252" s="69">
        <v>-722178.84</v>
      </c>
      <c r="H252" s="69">
        <f>VLOOKUP(A252,Ucto_HK_2021!$A$2:$D$929,4,FALSE)</f>
        <v>-1133753.8899999999</v>
      </c>
      <c r="K252" s="69">
        <v>-874948.63</v>
      </c>
    </row>
    <row r="253" spans="1:11">
      <c r="A253" s="355" t="s">
        <v>1586</v>
      </c>
      <c r="B253" s="355" t="s">
        <v>1587</v>
      </c>
      <c r="C253" s="69">
        <v>0</v>
      </c>
      <c r="D253" s="69">
        <v>0</v>
      </c>
      <c r="E253" s="69">
        <v>0</v>
      </c>
      <c r="F253" s="69">
        <v>0</v>
      </c>
      <c r="G253" s="69">
        <v>0</v>
      </c>
      <c r="H253" s="69">
        <f>VLOOKUP(A253,Ucto_HK_2021!$A$2:$D$929,4,FALSE)</f>
        <v>0</v>
      </c>
      <c r="K253" s="69">
        <v>0</v>
      </c>
    </row>
    <row r="254" spans="1:11">
      <c r="A254" s="355" t="s">
        <v>1588</v>
      </c>
      <c r="B254" s="355" t="s">
        <v>1589</v>
      </c>
      <c r="C254" s="69">
        <v>0</v>
      </c>
      <c r="D254" s="69">
        <v>0</v>
      </c>
      <c r="E254" s="69">
        <v>0</v>
      </c>
      <c r="F254" s="69">
        <v>0</v>
      </c>
      <c r="G254" s="69">
        <v>0</v>
      </c>
      <c r="H254" s="69">
        <f>VLOOKUP(A254,Ucto_HK_2021!$A$2:$D$929,4,FALSE)</f>
        <v>0</v>
      </c>
      <c r="K254" s="69">
        <v>0</v>
      </c>
    </row>
    <row r="255" spans="1:11">
      <c r="A255" s="355" t="s">
        <v>1590</v>
      </c>
      <c r="B255" s="355" t="s">
        <v>1591</v>
      </c>
      <c r="C255" s="69">
        <v>0</v>
      </c>
      <c r="D255" s="69">
        <v>0</v>
      </c>
      <c r="E255" s="69">
        <v>0</v>
      </c>
      <c r="F255" s="69">
        <v>0</v>
      </c>
      <c r="G255" s="69">
        <v>0</v>
      </c>
      <c r="H255" s="69">
        <f>VLOOKUP(A255,Ucto_HK_2021!$A$2:$D$929,4,FALSE)</f>
        <v>0</v>
      </c>
      <c r="K255" s="69">
        <v>-8.14</v>
      </c>
    </row>
    <row r="256" spans="1:11">
      <c r="A256" s="355" t="s">
        <v>1592</v>
      </c>
      <c r="B256" s="355" t="s">
        <v>1593</v>
      </c>
      <c r="C256" s="69">
        <v>0</v>
      </c>
      <c r="D256" s="69">
        <v>0</v>
      </c>
      <c r="E256" s="69">
        <v>0</v>
      </c>
      <c r="F256" s="69">
        <v>0</v>
      </c>
      <c r="G256" s="69">
        <v>0</v>
      </c>
      <c r="H256" s="69">
        <f>VLOOKUP(A256,Ucto_HK_2021!$A$2:$D$929,4,FALSE)</f>
        <v>0</v>
      </c>
      <c r="K256" s="69">
        <v>0</v>
      </c>
    </row>
    <row r="257" spans="1:11">
      <c r="A257" s="578" t="s">
        <v>2782</v>
      </c>
      <c r="B257" s="578" t="s">
        <v>2783</v>
      </c>
      <c r="C257" s="69"/>
      <c r="D257" s="69"/>
      <c r="E257" s="69"/>
      <c r="F257" s="69"/>
      <c r="G257" s="69"/>
      <c r="H257" s="69">
        <f>VLOOKUP(A257,Ucto_HK_2021!$A$2:$D$929,4,FALSE)</f>
        <v>0</v>
      </c>
      <c r="K257" s="69">
        <v>0</v>
      </c>
    </row>
    <row r="258" spans="1:11">
      <c r="A258" s="355" t="s">
        <v>1594</v>
      </c>
      <c r="B258" s="355" t="s">
        <v>1595</v>
      </c>
      <c r="C258" s="69">
        <v>0</v>
      </c>
      <c r="D258" s="69">
        <v>0</v>
      </c>
      <c r="E258" s="69">
        <v>0</v>
      </c>
      <c r="F258" s="69">
        <v>0</v>
      </c>
      <c r="G258" s="69">
        <v>0</v>
      </c>
      <c r="H258" s="69">
        <f>VLOOKUP(A258,Ucto_HK_2021!$A$2:$D$929,4,FALSE)</f>
        <v>0</v>
      </c>
      <c r="K258" s="69">
        <v>0</v>
      </c>
    </row>
    <row r="259" spans="1:11">
      <c r="A259" s="355" t="s">
        <v>1596</v>
      </c>
      <c r="B259" s="355" t="s">
        <v>1597</v>
      </c>
      <c r="C259" s="69">
        <v>0</v>
      </c>
      <c r="D259" s="69">
        <v>0</v>
      </c>
      <c r="E259" s="69">
        <v>0</v>
      </c>
      <c r="F259" s="69">
        <v>0</v>
      </c>
      <c r="G259" s="69">
        <v>0</v>
      </c>
      <c r="H259" s="69">
        <f>VLOOKUP(A259,Ucto_HK_2021!$A$2:$D$929,4,FALSE)</f>
        <v>0</v>
      </c>
      <c r="K259" s="69">
        <v>-0.01</v>
      </c>
    </row>
    <row r="260" spans="1:11">
      <c r="A260" s="355" t="s">
        <v>1598</v>
      </c>
      <c r="B260" s="355" t="s">
        <v>1599</v>
      </c>
      <c r="C260" s="69">
        <v>0</v>
      </c>
      <c r="D260" s="69">
        <v>0</v>
      </c>
      <c r="E260" s="69">
        <v>0</v>
      </c>
      <c r="F260" s="69">
        <v>0</v>
      </c>
      <c r="G260" s="69">
        <v>0</v>
      </c>
      <c r="H260" s="69">
        <f>VLOOKUP(A260,Ucto_HK_2021!$A$2:$D$929,4,FALSE)</f>
        <v>0</v>
      </c>
      <c r="K260" s="69">
        <v>0</v>
      </c>
    </row>
    <row r="261" spans="1:11">
      <c r="A261" s="355" t="s">
        <v>1600</v>
      </c>
      <c r="B261" s="355" t="s">
        <v>1601</v>
      </c>
      <c r="C261" s="69">
        <v>0</v>
      </c>
      <c r="D261" s="69">
        <v>0</v>
      </c>
      <c r="E261" s="69">
        <v>0</v>
      </c>
      <c r="F261" s="69">
        <v>0</v>
      </c>
      <c r="G261" s="69">
        <v>0</v>
      </c>
      <c r="H261" s="69">
        <f>VLOOKUP(A261,Ucto_HK_2021!$A$2:$D$929,4,FALSE)</f>
        <v>0</v>
      </c>
      <c r="K261" s="69">
        <v>0</v>
      </c>
    </row>
    <row r="262" spans="1:11">
      <c r="A262" s="355" t="s">
        <v>1602</v>
      </c>
      <c r="B262" s="355" t="s">
        <v>1603</v>
      </c>
      <c r="C262" s="69"/>
      <c r="D262" s="69"/>
      <c r="E262" s="69"/>
      <c r="F262" s="69">
        <v>0</v>
      </c>
      <c r="G262" s="69">
        <v>0</v>
      </c>
      <c r="H262" s="69">
        <f>VLOOKUP(A262,Ucto_HK_2021!$A$2:$D$929,4,FALSE)</f>
        <v>0</v>
      </c>
      <c r="K262" s="69">
        <v>0</v>
      </c>
    </row>
    <row r="263" spans="1:11">
      <c r="A263" s="355" t="s">
        <v>1604</v>
      </c>
      <c r="B263" s="355" t="s">
        <v>1605</v>
      </c>
      <c r="C263" s="69">
        <v>0</v>
      </c>
      <c r="D263" s="69">
        <v>0</v>
      </c>
      <c r="E263" s="69">
        <v>0</v>
      </c>
      <c r="F263" s="69">
        <v>0</v>
      </c>
      <c r="G263" s="69">
        <v>0</v>
      </c>
      <c r="H263" s="69">
        <f>VLOOKUP(A263,Ucto_HK_2021!$A$2:$D$929,4,FALSE)</f>
        <v>0</v>
      </c>
      <c r="K263" s="69">
        <v>0</v>
      </c>
    </row>
    <row r="264" spans="1:11">
      <c r="A264" s="355" t="s">
        <v>1606</v>
      </c>
      <c r="B264" s="355" t="s">
        <v>1607</v>
      </c>
      <c r="C264" s="69">
        <v>0</v>
      </c>
      <c r="D264" s="69">
        <v>0</v>
      </c>
      <c r="E264" s="69">
        <v>0</v>
      </c>
      <c r="F264" s="69">
        <v>0</v>
      </c>
      <c r="G264" s="69">
        <v>0</v>
      </c>
      <c r="H264" s="69">
        <f>VLOOKUP(A264,Ucto_HK_2021!$A$2:$D$929,4,FALSE)</f>
        <v>0</v>
      </c>
      <c r="K264" s="69">
        <v>0</v>
      </c>
    </row>
    <row r="265" spans="1:11">
      <c r="A265" s="355" t="s">
        <v>1608</v>
      </c>
      <c r="B265" s="355" t="s">
        <v>1609</v>
      </c>
      <c r="C265" s="69">
        <v>-55549.41</v>
      </c>
      <c r="D265" s="69">
        <v>-33249.94</v>
      </c>
      <c r="E265" s="69">
        <v>-49296.63</v>
      </c>
      <c r="F265" s="69">
        <v>-55777.7</v>
      </c>
      <c r="G265" s="69">
        <v>-19408.169999999998</v>
      </c>
      <c r="H265" s="69">
        <f>VLOOKUP(A265,Ucto_HK_2021!$A$2:$D$929,4,FALSE)</f>
        <v>-75078.559999999998</v>
      </c>
      <c r="K265" s="69">
        <v>-125770.69</v>
      </c>
    </row>
    <row r="266" spans="1:11">
      <c r="A266" s="355" t="s">
        <v>1610</v>
      </c>
      <c r="C266" s="69">
        <v>-55549.41</v>
      </c>
      <c r="D266" s="69">
        <v>-33249.94</v>
      </c>
      <c r="E266" s="69">
        <v>-49296.63</v>
      </c>
      <c r="F266" s="69">
        <v>-55777.7</v>
      </c>
      <c r="G266" s="69">
        <v>-19408.169999999998</v>
      </c>
      <c r="H266" s="69">
        <f>VLOOKUP(A266,Ucto_HK_2021!$A$2:$D$929,4,FALSE)</f>
        <v>-75078.559999999998</v>
      </c>
      <c r="K266" s="69">
        <v>-125778.84</v>
      </c>
    </row>
    <row r="267" spans="1:11">
      <c r="A267" s="355" t="s">
        <v>1611</v>
      </c>
      <c r="B267" s="355" t="s">
        <v>1612</v>
      </c>
      <c r="C267" s="69">
        <v>0</v>
      </c>
      <c r="D267" s="69">
        <v>0</v>
      </c>
      <c r="E267" s="69">
        <v>0</v>
      </c>
      <c r="F267" s="69">
        <v>0</v>
      </c>
      <c r="G267" s="69">
        <v>0</v>
      </c>
      <c r="H267" s="69">
        <f>VLOOKUP(A267,Ucto_HK_2021!$A$2:$D$929,4,FALSE)</f>
        <v>0</v>
      </c>
      <c r="K267" s="69">
        <v>-70237.72</v>
      </c>
    </row>
    <row r="268" spans="1:11">
      <c r="A268" s="355" t="s">
        <v>1613</v>
      </c>
      <c r="B268" s="355" t="s">
        <v>235</v>
      </c>
      <c r="C268" s="69">
        <v>0</v>
      </c>
      <c r="D268" s="69">
        <v>0</v>
      </c>
      <c r="E268" s="69">
        <v>0</v>
      </c>
      <c r="F268" s="69">
        <v>0</v>
      </c>
      <c r="G268" s="69">
        <v>0</v>
      </c>
      <c r="H268" s="69">
        <f>VLOOKUP(A268,Ucto_HK_2021!$A$2:$D$929,4,FALSE)</f>
        <v>1516.86</v>
      </c>
      <c r="K268" s="69">
        <v>0</v>
      </c>
    </row>
    <row r="269" spans="1:11">
      <c r="A269" s="355" t="s">
        <v>1614</v>
      </c>
      <c r="B269" s="355" t="s">
        <v>1615</v>
      </c>
      <c r="C269" s="69">
        <v>0</v>
      </c>
      <c r="D269" s="69">
        <v>0</v>
      </c>
      <c r="E269" s="69">
        <v>0</v>
      </c>
      <c r="F269" s="69">
        <v>0</v>
      </c>
      <c r="G269" s="69">
        <v>0</v>
      </c>
      <c r="H269" s="69">
        <f>VLOOKUP(A269,Ucto_HK_2021!$A$2:$D$929,4,FALSE)</f>
        <v>0</v>
      </c>
      <c r="K269" s="69">
        <v>0</v>
      </c>
    </row>
    <row r="270" spans="1:11">
      <c r="A270" s="355" t="s">
        <v>1616</v>
      </c>
      <c r="C270" s="69">
        <v>0</v>
      </c>
      <c r="D270" s="69">
        <v>0</v>
      </c>
      <c r="E270" s="69">
        <v>0</v>
      </c>
      <c r="F270" s="69">
        <v>0</v>
      </c>
      <c r="G270" s="69">
        <v>0</v>
      </c>
      <c r="H270" s="69">
        <f>VLOOKUP(A270,Ucto_HK_2021!$A$2:$D$929,4,FALSE)</f>
        <v>1516.86</v>
      </c>
      <c r="K270" s="69">
        <v>-70237.72</v>
      </c>
    </row>
    <row r="271" spans="1:11">
      <c r="A271" s="584" t="s">
        <v>1617</v>
      </c>
      <c r="C271" s="587">
        <v>-408776.87</v>
      </c>
      <c r="D271" s="587">
        <v>-452902.78</v>
      </c>
      <c r="E271" s="69">
        <v>-525034.23999999999</v>
      </c>
      <c r="F271" s="69">
        <v>-702563.92</v>
      </c>
      <c r="G271" s="69">
        <v>-654849.19999999995</v>
      </c>
      <c r="H271" s="69">
        <f>VLOOKUP(A271,Ucto_HK_2021!$A$2:$D$929,4,FALSE)</f>
        <v>-1224826.8500000001</v>
      </c>
      <c r="K271" s="69">
        <v>-1044480.02</v>
      </c>
    </row>
    <row r="272" spans="1:11">
      <c r="A272" s="355" t="s">
        <v>1618</v>
      </c>
      <c r="B272" s="355" t="s">
        <v>1619</v>
      </c>
      <c r="C272" s="69">
        <v>0</v>
      </c>
      <c r="D272" s="69">
        <v>0</v>
      </c>
      <c r="E272" s="69">
        <v>0</v>
      </c>
      <c r="F272" s="69">
        <v>0</v>
      </c>
      <c r="G272" s="69">
        <v>0</v>
      </c>
      <c r="H272" s="69">
        <f>VLOOKUP(A272,Ucto_HK_2021!$A$2:$D$929,4,FALSE)</f>
        <v>0</v>
      </c>
      <c r="K272" s="69">
        <v>-2196698.16</v>
      </c>
    </row>
    <row r="273" spans="1:11">
      <c r="A273" s="355" t="s">
        <v>1620</v>
      </c>
      <c r="B273" s="355" t="s">
        <v>1621</v>
      </c>
      <c r="C273" s="69">
        <v>0</v>
      </c>
      <c r="D273" s="69">
        <v>0</v>
      </c>
      <c r="E273" s="69">
        <v>0</v>
      </c>
      <c r="F273" s="69">
        <v>0</v>
      </c>
      <c r="G273" s="69">
        <v>0</v>
      </c>
      <c r="H273" s="69">
        <f>VLOOKUP(A273,Ucto_HK_2021!$A$2:$D$929,4,FALSE)</f>
        <v>0</v>
      </c>
      <c r="K273" s="69">
        <v>-1806887.23</v>
      </c>
    </row>
    <row r="274" spans="1:11">
      <c r="A274" s="355" t="s">
        <v>1622</v>
      </c>
      <c r="C274" s="69">
        <v>0</v>
      </c>
      <c r="D274" s="69">
        <v>0</v>
      </c>
      <c r="E274" s="69">
        <v>0</v>
      </c>
      <c r="F274" s="69">
        <v>0</v>
      </c>
      <c r="G274" s="69">
        <v>0</v>
      </c>
      <c r="H274" s="69">
        <f>VLOOKUP(A274,Ucto_HK_2021!$A$2:$D$929,4,FALSE)</f>
        <v>0</v>
      </c>
      <c r="K274" s="69">
        <v>-4003585.39</v>
      </c>
    </row>
    <row r="275" spans="1:11">
      <c r="A275" s="355" t="s">
        <v>1623</v>
      </c>
      <c r="B275" s="355" t="s">
        <v>1624</v>
      </c>
      <c r="C275" s="69">
        <v>-9836042.0199999996</v>
      </c>
      <c r="D275" s="69">
        <v>-8964766.7200000007</v>
      </c>
      <c r="E275" s="69">
        <v>-8100562.2300000004</v>
      </c>
      <c r="F275" s="69">
        <v>-13409322.869999999</v>
      </c>
      <c r="G275" s="69">
        <v>-18861018.140000001</v>
      </c>
      <c r="H275" s="69">
        <f>VLOOKUP(A275,Ucto_HK_2021!$A$2:$D$929,4,FALSE)</f>
        <v>-19301774.16</v>
      </c>
      <c r="K275" s="69">
        <v>-19048767.449999999</v>
      </c>
    </row>
    <row r="276" spans="1:11">
      <c r="A276" s="355" t="s">
        <v>1625</v>
      </c>
      <c r="B276" s="355" t="s">
        <v>1626</v>
      </c>
      <c r="C276" s="69">
        <v>-1052992.8400000001</v>
      </c>
      <c r="D276" s="69">
        <v>-963329.76</v>
      </c>
      <c r="E276" s="69">
        <v>-901836.33</v>
      </c>
      <c r="F276" s="69">
        <v>-840342.74</v>
      </c>
      <c r="G276" s="69">
        <v>-778850</v>
      </c>
      <c r="H276" s="69">
        <f>VLOOKUP(A276,Ucto_HK_2021!$A$2:$D$929,4,FALSE)</f>
        <v>-732187.46</v>
      </c>
      <c r="K276" s="69">
        <v>-739047.49</v>
      </c>
    </row>
    <row r="277" spans="1:11">
      <c r="A277" s="355" t="s">
        <v>1627</v>
      </c>
      <c r="B277" s="355" t="s">
        <v>1628</v>
      </c>
      <c r="C277" s="69">
        <v>-21875369.120000001</v>
      </c>
      <c r="D277" s="69">
        <v>-20997499.129999999</v>
      </c>
      <c r="E277" s="69">
        <v>-20111751.460000001</v>
      </c>
      <c r="F277" s="69">
        <v>-19225776.73</v>
      </c>
      <c r="G277" s="69">
        <v>-18339803.059999999</v>
      </c>
      <c r="H277" s="69">
        <f>VLOOKUP(A277,Ucto_HK_2021!$A$2:$D$929,4,FALSE)</f>
        <v>-17453298.98</v>
      </c>
      <c r="K277" s="69">
        <v>-17601057.670000002</v>
      </c>
    </row>
    <row r="278" spans="1:11">
      <c r="A278" s="355" t="s">
        <v>1629</v>
      </c>
      <c r="B278" s="355" t="s">
        <v>1630</v>
      </c>
      <c r="C278" s="69">
        <v>-89382.68</v>
      </c>
      <c r="D278" s="69">
        <v>-130617.54</v>
      </c>
      <c r="E278" s="69">
        <v>-1166820</v>
      </c>
      <c r="F278" s="69">
        <v>-5907513.5899999999</v>
      </c>
      <c r="G278" s="69">
        <v>-4427544.8899999997</v>
      </c>
      <c r="H278" s="69">
        <f>VLOOKUP(A278,Ucto_HK_2021!$A$2:$D$929,4,FALSE)</f>
        <v>-9608135.9399999995</v>
      </c>
      <c r="K278" s="69">
        <v>-3060411</v>
      </c>
    </row>
    <row r="279" spans="1:11">
      <c r="A279" s="355" t="s">
        <v>1631</v>
      </c>
      <c r="B279" s="355" t="s">
        <v>1632</v>
      </c>
      <c r="C279" s="69">
        <v>0</v>
      </c>
      <c r="D279" s="69">
        <v>-7547.12</v>
      </c>
      <c r="E279" s="69">
        <v>-793.2</v>
      </c>
      <c r="F279" s="69">
        <v>-5963.17</v>
      </c>
      <c r="G279" s="69">
        <v>-490203.98</v>
      </c>
      <c r="H279" s="69">
        <f>VLOOKUP(A279,Ucto_HK_2021!$A$2:$D$929,4,FALSE)</f>
        <v>-2960751.44</v>
      </c>
      <c r="K279" s="69">
        <v>0</v>
      </c>
    </row>
    <row r="280" spans="1:11">
      <c r="A280" s="355" t="s">
        <v>1633</v>
      </c>
      <c r="C280" s="69">
        <v>-32853786.66</v>
      </c>
      <c r="D280" s="69">
        <v>-31063760.27</v>
      </c>
      <c r="E280" s="69">
        <v>-30281763.219999999</v>
      </c>
      <c r="F280" s="69">
        <v>-39388919.100000001</v>
      </c>
      <c r="G280" s="69">
        <v>-42897420.07</v>
      </c>
      <c r="H280" s="69">
        <f>VLOOKUP(A280,Ucto_HK_2021!$A$2:$D$929,4,FALSE)</f>
        <v>-50056147.979999997</v>
      </c>
      <c r="K280" s="69">
        <v>-40449283.609999999</v>
      </c>
    </row>
    <row r="281" spans="1:11">
      <c r="A281" s="355" t="s">
        <v>1634</v>
      </c>
      <c r="B281" s="355" t="s">
        <v>1635</v>
      </c>
      <c r="C281" s="69"/>
      <c r="D281" s="69"/>
      <c r="E281" s="69"/>
      <c r="F281" s="69"/>
      <c r="G281" s="69">
        <v>0</v>
      </c>
      <c r="H281" s="69">
        <f>VLOOKUP(A281,Ucto_HK_2021!$A$2:$D$929,4,FALSE)</f>
        <v>0</v>
      </c>
      <c r="K281" s="69">
        <v>0</v>
      </c>
    </row>
    <row r="282" spans="1:11">
      <c r="A282" s="355" t="s">
        <v>1636</v>
      </c>
      <c r="C282" s="69"/>
      <c r="D282" s="69"/>
      <c r="E282" s="69"/>
      <c r="F282" s="69"/>
      <c r="G282" s="69">
        <v>0</v>
      </c>
      <c r="H282" s="69">
        <f>VLOOKUP(A282,Ucto_HK_2021!$A$2:$D$929,4,FALSE)</f>
        <v>0</v>
      </c>
      <c r="K282" s="69">
        <v>0</v>
      </c>
    </row>
    <row r="283" spans="1:11">
      <c r="A283" s="584" t="s">
        <v>1637</v>
      </c>
      <c r="C283" s="587">
        <v>-32853786.66</v>
      </c>
      <c r="D283" s="587">
        <v>-31063760.27</v>
      </c>
      <c r="E283" s="69">
        <v>-30281763.219999999</v>
      </c>
      <c r="F283" s="69">
        <v>-39388919.100000001</v>
      </c>
      <c r="G283" s="69">
        <v>-42897420.07</v>
      </c>
      <c r="H283" s="69">
        <f>VLOOKUP(A283,Ucto_HK_2021!$A$2:$D$929,4,FALSE)</f>
        <v>-50056147.979999997</v>
      </c>
      <c r="K283" s="69">
        <v>-44452869</v>
      </c>
    </row>
    <row r="284" spans="1:11">
      <c r="A284" s="355" t="s">
        <v>1638</v>
      </c>
      <c r="B284" s="355" t="s">
        <v>1639</v>
      </c>
      <c r="C284" s="69">
        <v>-22960.799999999999</v>
      </c>
      <c r="D284" s="69">
        <v>-22960.799999999999</v>
      </c>
      <c r="E284" s="69">
        <v>-22960.799999999999</v>
      </c>
      <c r="F284" s="69">
        <v>-22960.799999999999</v>
      </c>
      <c r="G284" s="69">
        <v>-22960.799999999999</v>
      </c>
      <c r="H284" s="69">
        <f>VLOOKUP(A284,Ucto_HK_2021!$A$2:$D$929,4,FALSE)</f>
        <v>-22960.799999999999</v>
      </c>
      <c r="K284" s="69">
        <v>-22960.799999999999</v>
      </c>
    </row>
    <row r="285" spans="1:11">
      <c r="A285" s="355" t="s">
        <v>1640</v>
      </c>
      <c r="B285" s="355" t="s">
        <v>1641</v>
      </c>
      <c r="C285" s="69">
        <v>-187176.72</v>
      </c>
      <c r="D285" s="69">
        <v>-176593.94</v>
      </c>
      <c r="E285" s="69">
        <v>-178442.45</v>
      </c>
      <c r="F285" s="69">
        <v>-262071.83</v>
      </c>
      <c r="G285" s="69">
        <v>-185625.89</v>
      </c>
      <c r="H285" s="69">
        <f>VLOOKUP(A285,Ucto_HK_2021!$A$2:$D$929,4,FALSE)</f>
        <v>-273254.49</v>
      </c>
      <c r="K285" s="69">
        <v>-262940.59000000003</v>
      </c>
    </row>
    <row r="286" spans="1:11">
      <c r="A286" s="355" t="s">
        <v>2652</v>
      </c>
      <c r="B286" s="355" t="s">
        <v>2653</v>
      </c>
      <c r="C286" s="69">
        <v>0</v>
      </c>
      <c r="D286" s="69">
        <v>0</v>
      </c>
      <c r="E286" s="69">
        <v>0</v>
      </c>
      <c r="F286" s="69">
        <v>0</v>
      </c>
      <c r="G286" s="69"/>
      <c r="H286" s="69"/>
      <c r="K286" s="69"/>
    </row>
    <row r="287" spans="1:11">
      <c r="A287" s="355" t="s">
        <v>2736</v>
      </c>
      <c r="B287" s="355" t="s">
        <v>2737</v>
      </c>
      <c r="C287" s="69">
        <v>-4625</v>
      </c>
      <c r="D287" s="69">
        <v>0</v>
      </c>
      <c r="E287" s="69"/>
      <c r="F287" s="69"/>
      <c r="G287" s="69"/>
      <c r="H287" s="69"/>
      <c r="K287" s="69"/>
    </row>
    <row r="288" spans="1:11">
      <c r="A288" s="355" t="s">
        <v>1642</v>
      </c>
      <c r="C288" s="69">
        <v>-214762.52</v>
      </c>
      <c r="D288" s="69">
        <v>-199554.74</v>
      </c>
      <c r="E288" s="69">
        <v>-201403.25</v>
      </c>
      <c r="F288" s="69">
        <v>-285032.63</v>
      </c>
      <c r="G288" s="69">
        <v>-208586.69</v>
      </c>
      <c r="H288" s="69">
        <f>VLOOKUP(A288,Ucto_HK_2021!$A$2:$D$929,4,FALSE)</f>
        <v>-296215.28999999998</v>
      </c>
      <c r="K288" s="69">
        <v>-285901.39</v>
      </c>
    </row>
    <row r="289" spans="1:11">
      <c r="A289" s="355" t="s">
        <v>2738</v>
      </c>
      <c r="B289" s="355" t="s">
        <v>2739</v>
      </c>
      <c r="C289" s="69">
        <v>5500</v>
      </c>
      <c r="D289" s="69">
        <v>0</v>
      </c>
      <c r="E289" s="69"/>
      <c r="F289" s="69"/>
      <c r="G289" s="69"/>
      <c r="H289" s="69"/>
      <c r="K289" s="69"/>
    </row>
    <row r="290" spans="1:11">
      <c r="A290" s="355" t="s">
        <v>1643</v>
      </c>
      <c r="B290" s="355" t="s">
        <v>1644</v>
      </c>
      <c r="C290" s="69">
        <v>11742.35</v>
      </c>
      <c r="D290" s="69">
        <v>11742.35</v>
      </c>
      <c r="E290" s="69">
        <v>11742.35</v>
      </c>
      <c r="F290" s="69">
        <v>11742.35</v>
      </c>
      <c r="G290" s="69">
        <v>11742.35</v>
      </c>
      <c r="H290" s="69">
        <f>VLOOKUP(A290,Ucto_HK_2021!$A$2:$D$929,4,FALSE)</f>
        <v>11742.35</v>
      </c>
      <c r="K290" s="69">
        <v>11742.35</v>
      </c>
    </row>
    <row r="291" spans="1:11">
      <c r="A291" s="355" t="s">
        <v>1645</v>
      </c>
      <c r="B291" s="355" t="s">
        <v>1646</v>
      </c>
      <c r="C291" s="69">
        <v>50</v>
      </c>
      <c r="D291" s="69">
        <v>50</v>
      </c>
      <c r="E291" s="69">
        <v>50</v>
      </c>
      <c r="F291" s="69">
        <v>50</v>
      </c>
      <c r="G291" s="69">
        <v>100</v>
      </c>
      <c r="H291" s="69">
        <f>VLOOKUP(A291,Ucto_HK_2021!$A$2:$D$929,4,FALSE)</f>
        <v>100</v>
      </c>
      <c r="K291" s="69">
        <v>100</v>
      </c>
    </row>
    <row r="292" spans="1:11">
      <c r="A292" s="355" t="s">
        <v>1647</v>
      </c>
      <c r="B292" s="355" t="s">
        <v>1648</v>
      </c>
      <c r="C292" s="69">
        <v>0</v>
      </c>
      <c r="D292" s="69">
        <v>0</v>
      </c>
      <c r="E292" s="69">
        <v>0</v>
      </c>
      <c r="F292" s="69">
        <v>0</v>
      </c>
      <c r="G292" s="69">
        <v>0</v>
      </c>
      <c r="H292" s="69">
        <f>VLOOKUP(A292,Ucto_HK_2021!$A$2:$D$929,4,FALSE)</f>
        <v>0</v>
      </c>
      <c r="K292" s="69">
        <v>0</v>
      </c>
    </row>
    <row r="293" spans="1:11">
      <c r="A293" s="355" t="s">
        <v>1649</v>
      </c>
      <c r="B293" s="355" t="s">
        <v>1650</v>
      </c>
      <c r="C293" s="69">
        <v>85445.74</v>
      </c>
      <c r="D293" s="69">
        <v>132897.04</v>
      </c>
      <c r="E293" s="69">
        <v>69297.34</v>
      </c>
      <c r="F293" s="69">
        <v>76250.509999999995</v>
      </c>
      <c r="G293" s="69">
        <v>74925.919999999998</v>
      </c>
      <c r="H293" s="69">
        <f>VLOOKUP(A293,Ucto_HK_2021!$A$2:$D$929,4,FALSE)</f>
        <v>0</v>
      </c>
      <c r="K293" s="69">
        <v>0</v>
      </c>
    </row>
    <row r="294" spans="1:11">
      <c r="A294" s="355" t="s">
        <v>1651</v>
      </c>
      <c r="B294" s="355" t="s">
        <v>1652</v>
      </c>
      <c r="C294" s="69">
        <v>1142</v>
      </c>
      <c r="D294" s="69">
        <v>4642</v>
      </c>
      <c r="E294" s="69">
        <v>3280</v>
      </c>
      <c r="F294" s="69">
        <v>-370.63</v>
      </c>
      <c r="G294" s="69">
        <v>1935</v>
      </c>
      <c r="H294" s="69">
        <f>VLOOKUP(A294,Ucto_HK_2021!$A$2:$D$929,4,FALSE)</f>
        <v>1550</v>
      </c>
      <c r="K294" s="69">
        <v>1440</v>
      </c>
    </row>
    <row r="295" spans="1:11">
      <c r="A295" s="355" t="s">
        <v>1653</v>
      </c>
      <c r="B295" s="355" t="s">
        <v>1654</v>
      </c>
      <c r="C295" s="69">
        <v>103.04</v>
      </c>
      <c r="D295" s="69">
        <v>42757.65</v>
      </c>
      <c r="E295" s="69">
        <v>853.67</v>
      </c>
      <c r="F295" s="69">
        <v>2086.09</v>
      </c>
      <c r="G295" s="69">
        <v>2086.09</v>
      </c>
      <c r="H295" s="69">
        <f>VLOOKUP(A295,Ucto_HK_2021!$A$2:$D$929,4,FALSE)</f>
        <v>2340.25</v>
      </c>
      <c r="K295" s="69">
        <v>2086.09</v>
      </c>
    </row>
    <row r="296" spans="1:11">
      <c r="A296" s="355" t="s">
        <v>1655</v>
      </c>
      <c r="C296" s="69">
        <v>103983.13</v>
      </c>
      <c r="D296" s="69">
        <v>192089.04</v>
      </c>
      <c r="E296" s="69">
        <v>85223.360000000001</v>
      </c>
      <c r="F296" s="69">
        <v>89758.32</v>
      </c>
      <c r="G296" s="69">
        <v>90789.36</v>
      </c>
      <c r="H296" s="69">
        <f>VLOOKUP(A296,Ucto_HK_2021!$A$2:$D$929,4,FALSE)</f>
        <v>15732.6</v>
      </c>
      <c r="K296" s="69">
        <v>15368.44</v>
      </c>
    </row>
    <row r="297" spans="1:11">
      <c r="A297" s="355" t="s">
        <v>1656</v>
      </c>
      <c r="B297" s="355" t="s">
        <v>1657</v>
      </c>
      <c r="C297" s="69">
        <v>-17000</v>
      </c>
      <c r="D297" s="69">
        <v>0</v>
      </c>
      <c r="E297" s="69">
        <v>-60000</v>
      </c>
      <c r="F297" s="69">
        <v>-96300</v>
      </c>
      <c r="G297" s="69">
        <v>-1300</v>
      </c>
      <c r="H297" s="69">
        <f>VLOOKUP(A297,Ucto_HK_2021!$A$2:$D$929,4,FALSE)</f>
        <v>-120000</v>
      </c>
      <c r="K297" s="69">
        <v>-24000</v>
      </c>
    </row>
    <row r="298" spans="1:11">
      <c r="A298" s="355" t="s">
        <v>1658</v>
      </c>
      <c r="B298" s="355" t="s">
        <v>1659</v>
      </c>
      <c r="C298" s="69">
        <v>-958279.54</v>
      </c>
      <c r="D298" s="69">
        <v>-958309.54</v>
      </c>
      <c r="E298" s="69">
        <v>-240</v>
      </c>
      <c r="F298" s="69">
        <v>0</v>
      </c>
      <c r="G298" s="69">
        <v>-16231.46</v>
      </c>
      <c r="H298" s="69">
        <f>VLOOKUP(A298,Ucto_HK_2021!$A$2:$D$929,4,FALSE)</f>
        <v>-16648.64</v>
      </c>
      <c r="K298" s="69">
        <v>-16648.64</v>
      </c>
    </row>
    <row r="299" spans="1:11">
      <c r="A299" s="355" t="s">
        <v>1660</v>
      </c>
      <c r="B299" s="355" t="s">
        <v>1661</v>
      </c>
      <c r="C299" s="69">
        <v>0</v>
      </c>
      <c r="D299" s="69">
        <v>0</v>
      </c>
      <c r="E299" s="69">
        <v>-3957.65</v>
      </c>
      <c r="F299" s="69">
        <v>0</v>
      </c>
      <c r="G299" s="69">
        <v>0</v>
      </c>
      <c r="H299" s="69">
        <f>VLOOKUP(A299,Ucto_HK_2021!$A$2:$D$929,4,FALSE)</f>
        <v>0</v>
      </c>
      <c r="K299" s="69">
        <v>-82.85</v>
      </c>
    </row>
    <row r="300" spans="1:11">
      <c r="A300" s="355" t="s">
        <v>1662</v>
      </c>
      <c r="B300" s="355" t="s">
        <v>1663</v>
      </c>
      <c r="C300" s="69">
        <v>-25910.34</v>
      </c>
      <c r="D300" s="69">
        <v>-23125.97</v>
      </c>
      <c r="E300" s="69">
        <v>-21168.46</v>
      </c>
      <c r="F300" s="69">
        <v>-23734.720000000001</v>
      </c>
      <c r="G300" s="69">
        <v>-21190.18</v>
      </c>
      <c r="H300" s="69">
        <f>VLOOKUP(A300,Ucto_HK_2021!$A$2:$D$929,4,FALSE)</f>
        <v>-34953.29</v>
      </c>
      <c r="K300" s="69">
        <v>-27856.87</v>
      </c>
    </row>
    <row r="301" spans="1:11">
      <c r="A301" s="355" t="s">
        <v>1664</v>
      </c>
      <c r="B301" s="355" t="s">
        <v>1665</v>
      </c>
      <c r="C301" s="69"/>
      <c r="D301" s="69"/>
      <c r="E301" s="69"/>
      <c r="F301" s="69">
        <v>-1200</v>
      </c>
      <c r="G301" s="69">
        <v>-22937.67</v>
      </c>
      <c r="H301" s="69">
        <f>VLOOKUP(A301,Ucto_HK_2021!$A$2:$D$929,4,FALSE)</f>
        <v>-10868.83</v>
      </c>
      <c r="K301" s="69">
        <v>-122179.63</v>
      </c>
    </row>
    <row r="302" spans="1:11">
      <c r="A302" s="355" t="s">
        <v>1666</v>
      </c>
      <c r="B302" s="355" t="s">
        <v>1667</v>
      </c>
      <c r="C302" s="69">
        <v>-10096.969999999999</v>
      </c>
      <c r="D302" s="69">
        <v>-41953.11</v>
      </c>
      <c r="E302" s="69">
        <v>-24.4</v>
      </c>
      <c r="F302" s="69">
        <v>-35138.42</v>
      </c>
      <c r="G302" s="69">
        <v>-169.7</v>
      </c>
      <c r="H302" s="69">
        <f>VLOOKUP(A302,Ucto_HK_2021!$A$2:$D$929,4,FALSE)</f>
        <v>-660239.24</v>
      </c>
      <c r="K302" s="69">
        <v>-660317</v>
      </c>
    </row>
    <row r="303" spans="1:11">
      <c r="A303" s="355" t="s">
        <v>1668</v>
      </c>
      <c r="B303" s="355" t="s">
        <v>1669</v>
      </c>
      <c r="C303" s="69"/>
      <c r="D303" s="69"/>
      <c r="E303" s="69">
        <v>-3541797.59</v>
      </c>
      <c r="F303" s="69">
        <v>-20908427.620000001</v>
      </c>
      <c r="G303" s="69">
        <v>-22715701.079999998</v>
      </c>
      <c r="H303" s="69">
        <f>VLOOKUP(A303,Ucto_HK_2021!$A$2:$D$929,4,FALSE)</f>
        <v>-22596678.440000001</v>
      </c>
      <c r="K303" s="69">
        <v>-22638678.440000001</v>
      </c>
    </row>
    <row r="304" spans="1:11">
      <c r="A304" s="355" t="s">
        <v>1670</v>
      </c>
      <c r="B304" s="355" t="s">
        <v>1671</v>
      </c>
      <c r="C304" s="69"/>
      <c r="D304" s="69"/>
      <c r="E304" s="69">
        <v>0</v>
      </c>
      <c r="F304" s="69">
        <v>-521876.59</v>
      </c>
      <c r="G304" s="69">
        <v>-521871.77</v>
      </c>
      <c r="H304" s="69">
        <f>VLOOKUP(A304,Ucto_HK_2021!$A$2:$D$929,4,FALSE)</f>
        <v>-521879.95</v>
      </c>
      <c r="K304" s="69">
        <v>-543833.32999999996</v>
      </c>
    </row>
    <row r="305" spans="1:11">
      <c r="A305" s="355" t="s">
        <v>1672</v>
      </c>
      <c r="B305" s="355" t="s">
        <v>1673</v>
      </c>
      <c r="C305" s="69"/>
      <c r="D305" s="69"/>
      <c r="E305" s="69"/>
      <c r="F305" s="69"/>
      <c r="G305" s="69">
        <v>-1852890.7</v>
      </c>
      <c r="H305" s="69">
        <f>VLOOKUP(A305,Ucto_HK_2021!$A$2:$D$929,4,FALSE)</f>
        <v>-6902760.9699999997</v>
      </c>
      <c r="K305" s="69">
        <v>-6902760.9699999997</v>
      </c>
    </row>
    <row r="306" spans="1:11">
      <c r="A306" s="355" t="s">
        <v>1674</v>
      </c>
      <c r="C306" s="69">
        <v>-1011286.85</v>
      </c>
      <c r="D306" s="69">
        <v>-1023388.62</v>
      </c>
      <c r="E306" s="69">
        <v>-3627188.1</v>
      </c>
      <c r="F306" s="69">
        <v>-21586677.350000001</v>
      </c>
      <c r="G306" s="69">
        <v>-25152292.559999999</v>
      </c>
      <c r="H306" s="69">
        <f>VLOOKUP(A306,Ucto_HK_2021!$A$2:$D$929,4,FALSE)</f>
        <v>-30864029.359999999</v>
      </c>
      <c r="K306" s="69">
        <v>-30936357.73</v>
      </c>
    </row>
    <row r="307" spans="1:11">
      <c r="A307" s="584" t="s">
        <v>1675</v>
      </c>
      <c r="C307" s="587">
        <v>-1122066.24</v>
      </c>
      <c r="D307" s="587">
        <v>-1030854.32</v>
      </c>
      <c r="E307" s="69">
        <v>-3743367.99</v>
      </c>
      <c r="F307" s="69">
        <v>-21781951.66</v>
      </c>
      <c r="G307" s="69">
        <v>-25270089.890000001</v>
      </c>
      <c r="H307" s="69">
        <f>VLOOKUP(A307,Ucto_HK_2021!$A$2:$D$929,4,FALSE)</f>
        <v>-31144512.050000001</v>
      </c>
      <c r="K307" s="69">
        <v>-31206890.68</v>
      </c>
    </row>
    <row r="308" spans="1:11">
      <c r="A308" s="355" t="s">
        <v>1676</v>
      </c>
      <c r="B308" s="355" t="s">
        <v>1677</v>
      </c>
      <c r="C308" s="69">
        <v>27867.52</v>
      </c>
      <c r="D308" s="69">
        <v>6033.24</v>
      </c>
      <c r="E308" s="69">
        <v>7847.3</v>
      </c>
      <c r="F308" s="69">
        <v>31993.05</v>
      </c>
      <c r="G308" s="69">
        <v>18963.919999999998</v>
      </c>
      <c r="H308" s="69">
        <f>VLOOKUP(A308,Ucto_HK_2021!$A$2:$D$929,4,FALSE)</f>
        <v>26868.02</v>
      </c>
      <c r="K308" s="69">
        <v>3395.31</v>
      </c>
    </row>
    <row r="309" spans="1:11">
      <c r="A309" s="355" t="s">
        <v>1678</v>
      </c>
      <c r="C309" s="69">
        <v>27867.52</v>
      </c>
      <c r="D309" s="69">
        <v>6033.24</v>
      </c>
      <c r="E309" s="69">
        <v>7847.3</v>
      </c>
      <c r="F309" s="69">
        <v>31993.05</v>
      </c>
      <c r="G309" s="69">
        <v>18963.919999999998</v>
      </c>
      <c r="H309" s="69">
        <f>VLOOKUP(A309,Ucto_HK_2021!$A$2:$D$929,4,FALSE)</f>
        <v>28915.05</v>
      </c>
      <c r="K309" s="69">
        <v>3612.61</v>
      </c>
    </row>
    <row r="310" spans="1:11">
      <c r="A310" s="355" t="s">
        <v>2654</v>
      </c>
      <c r="B310" s="355" t="s">
        <v>2655</v>
      </c>
      <c r="C310" s="69">
        <v>-4.5</v>
      </c>
      <c r="D310" s="69">
        <v>0</v>
      </c>
      <c r="E310" s="69">
        <v>-35.35</v>
      </c>
      <c r="F310" s="69">
        <v>0</v>
      </c>
      <c r="G310" s="69"/>
      <c r="H310" s="69">
        <f>VLOOKUP(A310,Ucto_HK_2021!$A$2:$D$929,4,FALSE)</f>
        <v>-387.29</v>
      </c>
      <c r="K310" s="69"/>
    </row>
    <row r="311" spans="1:11">
      <c r="A311" s="355" t="s">
        <v>2656</v>
      </c>
      <c r="C311" s="69">
        <v>-4.5</v>
      </c>
      <c r="D311" s="69">
        <v>0</v>
      </c>
      <c r="E311" s="69">
        <v>-35.35</v>
      </c>
      <c r="F311" s="69">
        <v>0</v>
      </c>
      <c r="G311" s="69"/>
      <c r="H311" s="69">
        <f>VLOOKUP(A311,Ucto_HK_2021!$A$2:$D$929,4,FALSE)</f>
        <v>-387.29</v>
      </c>
      <c r="K311" s="69"/>
    </row>
    <row r="312" spans="1:11">
      <c r="A312" s="355" t="s">
        <v>1679</v>
      </c>
      <c r="B312" s="355" t="s">
        <v>1680</v>
      </c>
      <c r="C312" s="69">
        <v>-220128.93</v>
      </c>
      <c r="D312" s="69">
        <v>-205964.58</v>
      </c>
      <c r="E312" s="69">
        <v>-216379.13</v>
      </c>
      <c r="F312" s="69">
        <v>-213980.42</v>
      </c>
      <c r="G312" s="69">
        <v>-384259.41</v>
      </c>
      <c r="H312" s="69">
        <f>VLOOKUP(A312,Ucto_HK_2021!$A$2:$D$929,4,FALSE)</f>
        <v>-415804.42</v>
      </c>
      <c r="K312" s="69">
        <v>-391569.01</v>
      </c>
    </row>
    <row r="313" spans="1:11">
      <c r="A313" s="355" t="s">
        <v>1681</v>
      </c>
      <c r="B313" s="355" t="s">
        <v>1682</v>
      </c>
      <c r="C313" s="69">
        <v>-2972.3</v>
      </c>
      <c r="D313" s="69">
        <v>-4520.93</v>
      </c>
      <c r="E313" s="69">
        <v>-6841.29</v>
      </c>
      <c r="F313" s="69">
        <v>-10439.58</v>
      </c>
      <c r="G313" s="69">
        <v>-6142.01</v>
      </c>
      <c r="H313" s="69">
        <f>VLOOKUP(A313,Ucto_HK_2021!$A$2:$D$929,4,FALSE)</f>
        <v>-91806.87</v>
      </c>
      <c r="K313" s="69">
        <v>-2511.25</v>
      </c>
    </row>
    <row r="314" spans="1:11">
      <c r="A314" s="578" t="s">
        <v>2785</v>
      </c>
      <c r="B314" s="578" t="s">
        <v>2786</v>
      </c>
      <c r="C314" s="69"/>
      <c r="D314" s="69"/>
      <c r="E314" s="69"/>
      <c r="F314" s="69"/>
      <c r="G314" s="69"/>
      <c r="H314" s="69">
        <f>VLOOKUP(A314,Ucto_HK_2021!$A$2:$D$929,4,FALSE)</f>
        <v>-19919.13</v>
      </c>
      <c r="K314" s="69">
        <v>-13815.77</v>
      </c>
    </row>
    <row r="315" spans="1:11">
      <c r="A315" s="578" t="s">
        <v>2787</v>
      </c>
      <c r="B315" s="578" t="s">
        <v>2788</v>
      </c>
      <c r="C315" s="69"/>
      <c r="D315" s="69"/>
      <c r="E315" s="69"/>
      <c r="F315" s="69"/>
      <c r="G315" s="69"/>
      <c r="H315" s="69">
        <f>VLOOKUP(A315,Ucto_HK_2021!$A$2:$D$929,4,FALSE)</f>
        <v>-640355.59</v>
      </c>
      <c r="K315" s="69">
        <v>-735938.4</v>
      </c>
    </row>
    <row r="316" spans="1:11">
      <c r="A316" s="578" t="s">
        <v>2863</v>
      </c>
      <c r="B316" s="578" t="s">
        <v>2864</v>
      </c>
      <c r="C316" s="69"/>
      <c r="D316" s="69"/>
      <c r="E316" s="69"/>
      <c r="F316" s="69"/>
      <c r="G316" s="69"/>
      <c r="H316" s="69">
        <f>VLOOKUP(A316,Ucto_HK_2021!$A$2:$D$929,4,FALSE)</f>
        <v>-320608.2</v>
      </c>
      <c r="K316" s="69"/>
    </row>
    <row r="317" spans="1:11">
      <c r="A317" s="355" t="s">
        <v>1683</v>
      </c>
      <c r="C317" s="69">
        <v>-223101.23</v>
      </c>
      <c r="D317" s="69">
        <v>-210485.51</v>
      </c>
      <c r="E317" s="69">
        <v>-223220.42</v>
      </c>
      <c r="F317" s="69">
        <v>-224420</v>
      </c>
      <c r="G317" s="69">
        <v>-390401.42</v>
      </c>
      <c r="H317" s="69">
        <f>VLOOKUP(A317,Ucto_HK_2021!$A$2:$D$929,4,FALSE)</f>
        <v>-1488494.21</v>
      </c>
      <c r="K317" s="69">
        <v>-1143834.43</v>
      </c>
    </row>
    <row r="318" spans="1:11">
      <c r="A318" s="355" t="s">
        <v>1684</v>
      </c>
      <c r="B318" s="355" t="s">
        <v>1685</v>
      </c>
      <c r="C318" s="69">
        <v>7709.29</v>
      </c>
      <c r="D318" s="69">
        <v>1611251.8</v>
      </c>
      <c r="E318" s="69">
        <v>2034.79</v>
      </c>
      <c r="F318" s="69">
        <v>0</v>
      </c>
      <c r="G318" s="69">
        <v>1603166.25</v>
      </c>
      <c r="H318" s="69">
        <f>VLOOKUP(A318,Ucto_HK_2021!$A$2:$D$929,4,FALSE)</f>
        <v>2059841.93</v>
      </c>
      <c r="K318" s="69">
        <v>0</v>
      </c>
    </row>
    <row r="319" spans="1:11">
      <c r="A319" s="355" t="s">
        <v>1686</v>
      </c>
      <c r="C319" s="69">
        <v>7709.29</v>
      </c>
      <c r="D319" s="69">
        <v>1611251.8</v>
      </c>
      <c r="E319" s="69">
        <v>2034.79</v>
      </c>
      <c r="F319" s="69">
        <v>0</v>
      </c>
      <c r="G319" s="69">
        <v>1603166.25</v>
      </c>
      <c r="H319" s="69">
        <f>VLOOKUP(A319,Ucto_HK_2021!$A$2:$D$929,4,FALSE)</f>
        <v>2059841.93</v>
      </c>
      <c r="K319" s="69">
        <v>0</v>
      </c>
    </row>
    <row r="320" spans="1:11">
      <c r="A320" s="584" t="s">
        <v>1687</v>
      </c>
      <c r="C320" s="587">
        <v>-187528.92</v>
      </c>
      <c r="D320" s="587">
        <v>1406799.53</v>
      </c>
      <c r="E320" s="69">
        <v>-213373.68</v>
      </c>
      <c r="F320" s="69">
        <v>-192426.95</v>
      </c>
      <c r="G320" s="69">
        <v>1231728.75</v>
      </c>
      <c r="H320" s="69">
        <f>VLOOKUP(A320,Ucto_HK_2021!$A$2:$D$929,4,FALSE)</f>
        <v>599875.48</v>
      </c>
      <c r="K320" s="69">
        <v>-1140221.82</v>
      </c>
    </row>
    <row r="321" spans="1:11">
      <c r="A321" s="355" t="s">
        <v>1688</v>
      </c>
      <c r="B321" s="355" t="s">
        <v>1689</v>
      </c>
      <c r="C321" s="69">
        <v>-671062.56999999995</v>
      </c>
      <c r="D321" s="69">
        <v>-1266747.73</v>
      </c>
      <c r="E321" s="69">
        <v>-111185.32</v>
      </c>
      <c r="F321" s="69">
        <v>-190569.32</v>
      </c>
      <c r="G321" s="69">
        <v>0</v>
      </c>
      <c r="H321" s="69">
        <f>VLOOKUP(A321,Ucto_HK_2021!$A$2:$D$929,4,FALSE)</f>
        <v>-624850.84</v>
      </c>
      <c r="K321" s="69"/>
    </row>
    <row r="322" spans="1:11">
      <c r="A322" s="355" t="s">
        <v>1690</v>
      </c>
      <c r="B322" s="355" t="s">
        <v>1691</v>
      </c>
      <c r="C322" s="69">
        <v>-222200.05</v>
      </c>
      <c r="D322" s="69">
        <v>-190861.29</v>
      </c>
      <c r="E322" s="69">
        <v>-195985.6</v>
      </c>
      <c r="F322" s="69">
        <v>-198588.74</v>
      </c>
      <c r="G322" s="69">
        <v>-281965.09000000003</v>
      </c>
      <c r="H322" s="69">
        <f>VLOOKUP(A322,Ucto_HK_2021!$A$2:$D$929,4,FALSE)</f>
        <v>-453333.84</v>
      </c>
      <c r="K322" s="69">
        <v>-174121.79</v>
      </c>
    </row>
    <row r="323" spans="1:11">
      <c r="A323" s="355" t="s">
        <v>1692</v>
      </c>
      <c r="B323" s="355" t="s">
        <v>1693</v>
      </c>
      <c r="C323" s="69">
        <v>-12320.92</v>
      </c>
      <c r="D323" s="69">
        <v>-12320.92</v>
      </c>
      <c r="E323" s="69">
        <v>-12320.92</v>
      </c>
      <c r="F323" s="69">
        <v>-12320.92</v>
      </c>
      <c r="G323" s="69">
        <v>-12320.92</v>
      </c>
      <c r="H323" s="69">
        <f>VLOOKUP(A323,Ucto_HK_2021!$A$2:$D$929,4,FALSE)</f>
        <v>-119976.6</v>
      </c>
      <c r="K323" s="69">
        <v>-119976.6</v>
      </c>
    </row>
    <row r="324" spans="1:11">
      <c r="A324" s="578" t="s">
        <v>2865</v>
      </c>
      <c r="B324" s="578" t="s">
        <v>2866</v>
      </c>
      <c r="C324" s="69"/>
      <c r="D324" s="69"/>
      <c r="E324" s="69"/>
      <c r="F324" s="69"/>
      <c r="G324" s="69"/>
      <c r="H324" s="69">
        <f>VLOOKUP(A324,Ucto_HK_2021!$A$2:$D$929,4,FALSE)</f>
        <v>-1986.09</v>
      </c>
      <c r="K324" s="69"/>
    </row>
    <row r="325" spans="1:11">
      <c r="A325" s="355" t="s">
        <v>1694</v>
      </c>
      <c r="C325" s="69">
        <v>-905583.54</v>
      </c>
      <c r="D325" s="69">
        <v>-1469929.94</v>
      </c>
      <c r="E325" s="69">
        <v>-319491.84000000003</v>
      </c>
      <c r="F325" s="69">
        <v>-401478.98</v>
      </c>
      <c r="G325" s="69">
        <v>-294286.01</v>
      </c>
      <c r="H325" s="69">
        <f>VLOOKUP(A325,Ucto_HK_2021!$A$2:$D$929,4,FALSE)</f>
        <v>-1200147.3700000001</v>
      </c>
      <c r="K325" s="69">
        <v>-294098.39</v>
      </c>
    </row>
    <row r="326" spans="1:11">
      <c r="A326" s="355" t="s">
        <v>1695</v>
      </c>
      <c r="B326" s="355" t="s">
        <v>1696</v>
      </c>
      <c r="C326" s="69">
        <v>0</v>
      </c>
      <c r="D326" s="69">
        <v>0</v>
      </c>
      <c r="E326" s="69">
        <v>0</v>
      </c>
      <c r="F326" s="69">
        <v>0</v>
      </c>
      <c r="G326" s="69">
        <v>0</v>
      </c>
      <c r="H326" s="69">
        <f>VLOOKUP(A326,Ucto_HK_2021!$A$2:$D$929,4,FALSE)</f>
        <v>0</v>
      </c>
      <c r="K326" s="69">
        <v>0</v>
      </c>
    </row>
    <row r="327" spans="1:11">
      <c r="A327" s="355" t="s">
        <v>1697</v>
      </c>
      <c r="B327" s="355" t="s">
        <v>1698</v>
      </c>
      <c r="C327" s="69">
        <v>0</v>
      </c>
      <c r="D327" s="69">
        <v>0</v>
      </c>
      <c r="E327" s="69">
        <v>0</v>
      </c>
      <c r="F327" s="69">
        <v>0</v>
      </c>
      <c r="G327" s="69">
        <v>0</v>
      </c>
      <c r="H327" s="69">
        <f>VLOOKUP(A327,Ucto_HK_2021!$A$2:$D$929,4,FALSE)</f>
        <v>0</v>
      </c>
      <c r="K327" s="69">
        <v>0</v>
      </c>
    </row>
    <row r="328" spans="1:11">
      <c r="A328" s="355" t="s">
        <v>1699</v>
      </c>
      <c r="B328" s="355" t="s">
        <v>1700</v>
      </c>
      <c r="C328" s="69"/>
      <c r="D328" s="69"/>
      <c r="E328" s="69"/>
      <c r="F328" s="69">
        <v>0</v>
      </c>
      <c r="G328" s="69">
        <v>0</v>
      </c>
      <c r="H328" s="69">
        <f>VLOOKUP(A328,Ucto_HK_2021!$A$2:$D$929,4,FALSE)</f>
        <v>0</v>
      </c>
      <c r="K328" s="69">
        <v>0</v>
      </c>
    </row>
    <row r="329" spans="1:11">
      <c r="A329" s="355" t="s">
        <v>1701</v>
      </c>
      <c r="B329" s="355" t="s">
        <v>1702</v>
      </c>
      <c r="C329" s="69"/>
      <c r="D329" s="69"/>
      <c r="E329" s="69"/>
      <c r="F329" s="69"/>
      <c r="G329" s="69">
        <v>0</v>
      </c>
      <c r="H329" s="69">
        <f>VLOOKUP(A329,Ucto_HK_2021!$A$2:$D$929,4,FALSE)</f>
        <v>0</v>
      </c>
      <c r="K329" s="69">
        <v>0</v>
      </c>
    </row>
    <row r="330" spans="1:11">
      <c r="A330" s="355" t="s">
        <v>1703</v>
      </c>
      <c r="B330" s="355" t="s">
        <v>1704</v>
      </c>
      <c r="C330" s="69"/>
      <c r="D330" s="69"/>
      <c r="E330" s="69"/>
      <c r="F330" s="69"/>
      <c r="G330" s="69">
        <v>0</v>
      </c>
      <c r="H330" s="69"/>
      <c r="K330" s="69"/>
    </row>
    <row r="331" spans="1:11">
      <c r="A331" s="355" t="s">
        <v>1705</v>
      </c>
      <c r="B331" s="355" t="s">
        <v>1706</v>
      </c>
      <c r="C331" s="69">
        <v>0</v>
      </c>
      <c r="D331" s="69">
        <v>0</v>
      </c>
      <c r="E331" s="69">
        <v>0</v>
      </c>
      <c r="F331" s="69">
        <v>0</v>
      </c>
      <c r="G331" s="69">
        <v>0</v>
      </c>
      <c r="H331" s="69">
        <f>VLOOKUP(A331,Ucto_HK_2021!$A$2:$D$929,4,FALSE)</f>
        <v>0</v>
      </c>
      <c r="K331" s="69">
        <v>0</v>
      </c>
    </row>
    <row r="332" spans="1:11">
      <c r="A332" s="355" t="s">
        <v>1707</v>
      </c>
      <c r="C332" s="69">
        <v>0</v>
      </c>
      <c r="D332" s="69">
        <v>0</v>
      </c>
      <c r="E332" s="69">
        <v>0</v>
      </c>
      <c r="F332" s="69">
        <v>0</v>
      </c>
      <c r="G332" s="69">
        <v>0</v>
      </c>
      <c r="H332" s="69">
        <f>VLOOKUP(A332,Ucto_HK_2021!$A$2:$D$929,4,FALSE)</f>
        <v>0</v>
      </c>
      <c r="K332" s="69">
        <v>0</v>
      </c>
    </row>
    <row r="333" spans="1:11">
      <c r="A333" s="584" t="s">
        <v>1708</v>
      </c>
      <c r="C333" s="587">
        <v>-905583.54</v>
      </c>
      <c r="D333" s="587">
        <v>-1469929.94</v>
      </c>
      <c r="E333" s="69">
        <v>-319491.84000000003</v>
      </c>
      <c r="F333" s="69">
        <v>-401478.98</v>
      </c>
      <c r="G333" s="69">
        <v>-294286.01</v>
      </c>
      <c r="H333" s="69">
        <f>VLOOKUP(A333,Ucto_HK_2021!$A$2:$D$929,4,FALSE)</f>
        <v>-1200147.3700000001</v>
      </c>
      <c r="K333" s="69">
        <v>-294098.39</v>
      </c>
    </row>
    <row r="334" spans="1:11">
      <c r="A334" s="584" t="s">
        <v>1709</v>
      </c>
      <c r="C334" s="587">
        <v>-112744552.20999999</v>
      </c>
      <c r="D334" s="587">
        <v>-127085179.84999999</v>
      </c>
      <c r="E334" s="69">
        <v>-126171381.95999999</v>
      </c>
      <c r="F334" s="69">
        <v>-140008351.81</v>
      </c>
      <c r="G334" s="69">
        <v>-172768202.38</v>
      </c>
      <c r="H334" s="69">
        <f>VLOOKUP(A334,Ucto_HK_2021!$A$2:$D$929,4,FALSE)</f>
        <v>-211189042.27000001</v>
      </c>
      <c r="K334" s="69">
        <v>-194874324.81</v>
      </c>
    </row>
    <row r="335" spans="1:11">
      <c r="C335" s="69"/>
      <c r="D335" s="69"/>
      <c r="E335" s="69"/>
      <c r="F335" s="69"/>
      <c r="G335" s="69"/>
      <c r="H335" s="69"/>
      <c r="K335" s="69"/>
    </row>
    <row r="336" spans="1:11">
      <c r="A336" s="355" t="s">
        <v>1710</v>
      </c>
      <c r="B336" s="355" t="s">
        <v>1711</v>
      </c>
      <c r="C336" s="69">
        <v>34934574.479999997</v>
      </c>
      <c r="D336" s="69">
        <v>52824437.450000003</v>
      </c>
      <c r="E336" s="69">
        <v>71384596.780000001</v>
      </c>
      <c r="F336" s="69">
        <v>68802116.540000007</v>
      </c>
      <c r="G336" s="69">
        <v>69911174.849999994</v>
      </c>
      <c r="H336" s="69">
        <f>VLOOKUP(A336,Ucto_HK_2021!$A$2:$D$929,4,FALSE)</f>
        <v>95395229.810000002</v>
      </c>
      <c r="K336" s="69">
        <v>95395229.810000002</v>
      </c>
    </row>
    <row r="337" spans="1:11">
      <c r="A337" s="355" t="s">
        <v>1712</v>
      </c>
      <c r="C337" s="69">
        <v>34934574.479999997</v>
      </c>
      <c r="D337" s="69">
        <v>52824437.450000003</v>
      </c>
      <c r="E337" s="69">
        <v>71384596.780000001</v>
      </c>
      <c r="F337" s="69">
        <v>68802116.540000007</v>
      </c>
      <c r="G337" s="69">
        <v>69911174.849999994</v>
      </c>
      <c r="H337" s="69">
        <f>VLOOKUP(A337,Ucto_HK_2021!$A$2:$D$929,4,FALSE)</f>
        <v>95395229.810000002</v>
      </c>
      <c r="K337" s="69">
        <v>95395229.810000002</v>
      </c>
    </row>
    <row r="338" spans="1:11">
      <c r="A338" s="584" t="s">
        <v>1713</v>
      </c>
      <c r="C338" s="587">
        <v>34934574.479999997</v>
      </c>
      <c r="D338" s="587">
        <v>52824437.450000003</v>
      </c>
      <c r="E338" s="69">
        <v>71384596.780000001</v>
      </c>
      <c r="F338" s="69">
        <v>68802116.540000007</v>
      </c>
      <c r="G338" s="69">
        <v>69911174.849999994</v>
      </c>
      <c r="H338" s="69">
        <f>VLOOKUP(A338,Ucto_HK_2021!$A$2:$D$929,4,FALSE)</f>
        <v>95395229.810000002</v>
      </c>
      <c r="K338" s="69">
        <v>95395229.810000002</v>
      </c>
    </row>
    <row r="339" spans="1:11">
      <c r="A339" s="355" t="s">
        <v>1714</v>
      </c>
      <c r="B339" s="355" t="s">
        <v>1715</v>
      </c>
      <c r="C339" s="69">
        <v>18509426.140000001</v>
      </c>
      <c r="D339" s="69">
        <v>0</v>
      </c>
      <c r="E339" s="69">
        <v>0</v>
      </c>
      <c r="F339" s="69">
        <v>0</v>
      </c>
      <c r="G339" s="69">
        <v>0</v>
      </c>
      <c r="H339" s="69">
        <f>VLOOKUP(A339,Ucto_HK_2021!$A$2:$D$929,4,FALSE)</f>
        <v>0</v>
      </c>
      <c r="K339" s="69">
        <v>0</v>
      </c>
    </row>
    <row r="340" spans="1:11">
      <c r="A340" s="355" t="s">
        <v>1716</v>
      </c>
      <c r="C340" s="69">
        <v>18509426.140000001</v>
      </c>
      <c r="D340" s="69">
        <v>0</v>
      </c>
      <c r="E340" s="69">
        <v>0</v>
      </c>
      <c r="F340" s="69">
        <v>0</v>
      </c>
      <c r="G340" s="69">
        <v>0</v>
      </c>
      <c r="H340" s="69">
        <f>VLOOKUP(A340,Ucto_HK_2021!$A$2:$D$929,4,FALSE)</f>
        <v>0</v>
      </c>
      <c r="K340" s="69">
        <v>0</v>
      </c>
    </row>
    <row r="341" spans="1:11">
      <c r="A341" s="584" t="s">
        <v>1717</v>
      </c>
      <c r="C341" s="587">
        <v>18509426.140000001</v>
      </c>
      <c r="D341" s="587">
        <v>0</v>
      </c>
      <c r="E341" s="69">
        <v>0</v>
      </c>
      <c r="F341" s="69">
        <v>0</v>
      </c>
      <c r="G341" s="69">
        <v>0</v>
      </c>
      <c r="H341" s="69">
        <f>VLOOKUP(A341,Ucto_HK_2021!$A$2:$D$929,4,FALSE)</f>
        <v>0</v>
      </c>
      <c r="K341" s="69">
        <v>0</v>
      </c>
    </row>
    <row r="342" spans="1:11">
      <c r="A342" s="355" t="s">
        <v>1718</v>
      </c>
      <c r="B342" s="355" t="s">
        <v>1719</v>
      </c>
      <c r="C342" s="69">
        <v>-26545.68</v>
      </c>
      <c r="D342" s="69">
        <v>-26545.68</v>
      </c>
      <c r="E342" s="69">
        <v>-20827.02</v>
      </c>
      <c r="F342" s="69">
        <v>-48409.01</v>
      </c>
      <c r="G342" s="69">
        <v>-107654.27</v>
      </c>
      <c r="H342" s="69">
        <f>VLOOKUP(A342,Ucto_HK_2021!$A$2:$D$929,4,FALSE)</f>
        <v>-121526.14</v>
      </c>
      <c r="K342" s="69">
        <v>-121526.14</v>
      </c>
    </row>
    <row r="343" spans="1:11">
      <c r="A343" s="355" t="s">
        <v>1720</v>
      </c>
      <c r="B343" s="355" t="s">
        <v>1721</v>
      </c>
      <c r="C343" s="69">
        <v>0</v>
      </c>
      <c r="D343" s="69">
        <v>-586450.47</v>
      </c>
      <c r="E343" s="69">
        <v>-607690.47</v>
      </c>
      <c r="F343" s="69">
        <v>-676319.53</v>
      </c>
      <c r="G343" s="69">
        <v>-763600.97</v>
      </c>
      <c r="H343" s="69">
        <f>VLOOKUP(A343,Ucto_HK_2021!$A$2:$D$929,4,FALSE)</f>
        <v>-989598.25</v>
      </c>
      <c r="K343" s="69">
        <v>-786633.08</v>
      </c>
    </row>
    <row r="344" spans="1:11">
      <c r="A344" s="355" t="s">
        <v>1722</v>
      </c>
      <c r="B344" s="355" t="s">
        <v>1723</v>
      </c>
      <c r="C344" s="69">
        <v>0</v>
      </c>
      <c r="D344" s="69">
        <v>879.61</v>
      </c>
      <c r="E344" s="69">
        <v>531.08000000000004</v>
      </c>
      <c r="F344" s="69">
        <v>2200.81</v>
      </c>
      <c r="G344" s="69">
        <v>2500</v>
      </c>
      <c r="H344" s="69">
        <f>VLOOKUP(A344,Ucto_HK_2021!$A$2:$D$929,4,FALSE)</f>
        <v>4660</v>
      </c>
      <c r="K344" s="69">
        <v>3910</v>
      </c>
    </row>
    <row r="345" spans="1:11">
      <c r="A345" s="355" t="s">
        <v>1724</v>
      </c>
      <c r="B345" s="355" t="s">
        <v>1725</v>
      </c>
      <c r="C345" s="69">
        <v>0</v>
      </c>
      <c r="D345" s="69">
        <v>21405</v>
      </c>
      <c r="E345" s="69">
        <v>19842.02</v>
      </c>
      <c r="F345" s="69">
        <v>21372.98</v>
      </c>
      <c r="G345" s="69">
        <v>44270</v>
      </c>
      <c r="H345" s="69">
        <f>VLOOKUP(A345,Ucto_HK_2021!$A$2:$D$929,4,FALSE)</f>
        <v>49584.99</v>
      </c>
      <c r="K345" s="69">
        <v>41204.99</v>
      </c>
    </row>
    <row r="346" spans="1:11">
      <c r="A346" s="355" t="s">
        <v>1726</v>
      </c>
      <c r="B346" s="355" t="s">
        <v>1727</v>
      </c>
      <c r="C346" s="69">
        <v>0</v>
      </c>
      <c r="D346" s="69">
        <v>525192.52</v>
      </c>
      <c r="E346" s="69">
        <v>514634.98</v>
      </c>
      <c r="F346" s="69">
        <v>549770.07999999996</v>
      </c>
      <c r="G346" s="69">
        <v>651938.30000000005</v>
      </c>
      <c r="H346" s="69">
        <f>VLOOKUP(A346,Ucto_HK_2021!$A$2:$D$929,4,FALSE)</f>
        <v>777236.02</v>
      </c>
      <c r="K346" s="69">
        <v>309288.77</v>
      </c>
    </row>
    <row r="347" spans="1:11">
      <c r="A347" s="355" t="s">
        <v>1728</v>
      </c>
      <c r="B347" s="355" t="s">
        <v>1729</v>
      </c>
      <c r="C347" s="69">
        <v>0</v>
      </c>
      <c r="D347" s="69">
        <v>44692</v>
      </c>
      <c r="E347" s="69">
        <v>45100.4</v>
      </c>
      <c r="F347" s="69">
        <v>43730.400000000001</v>
      </c>
      <c r="G347" s="69">
        <v>51020.800000000003</v>
      </c>
      <c r="H347" s="69">
        <f>VLOOKUP(A347,Ucto_HK_2021!$A$2:$D$929,4,FALSE)</f>
        <v>47970.8</v>
      </c>
      <c r="K347" s="69">
        <v>39729.4</v>
      </c>
    </row>
    <row r="348" spans="1:11">
      <c r="A348" s="355" t="s">
        <v>1730</v>
      </c>
      <c r="C348" s="69">
        <v>-26545.68</v>
      </c>
      <c r="D348" s="69">
        <v>-20827.02</v>
      </c>
      <c r="E348" s="69">
        <v>-48409.01</v>
      </c>
      <c r="F348" s="69">
        <v>-107654.27</v>
      </c>
      <c r="G348" s="69">
        <v>-121526.14</v>
      </c>
      <c r="H348" s="69">
        <f>VLOOKUP(A348,Ucto_HK_2021!$A$2:$D$929,4,FALSE)</f>
        <v>-231672.58</v>
      </c>
      <c r="K348" s="69">
        <v>-514026.06</v>
      </c>
    </row>
    <row r="349" spans="1:11">
      <c r="A349" s="355" t="s">
        <v>1731</v>
      </c>
      <c r="B349" s="355" t="s">
        <v>1732</v>
      </c>
      <c r="C349" s="69"/>
      <c r="D349" s="69"/>
      <c r="E349" s="69"/>
      <c r="F349" s="69">
        <v>-194480.68</v>
      </c>
      <c r="G349" s="69">
        <v>-196412.08</v>
      </c>
      <c r="H349" s="69">
        <f>VLOOKUP(A349,Ucto_HK_2021!$A$2:$D$929,4,FALSE)</f>
        <v>-131807.44</v>
      </c>
      <c r="K349" s="69">
        <v>-196412.08</v>
      </c>
    </row>
    <row r="350" spans="1:11">
      <c r="A350" s="355" t="s">
        <v>1733</v>
      </c>
      <c r="C350" s="69"/>
      <c r="D350" s="69"/>
      <c r="E350" s="69"/>
      <c r="F350" s="69">
        <v>-194480.68</v>
      </c>
      <c r="G350" s="69">
        <v>-196412.08</v>
      </c>
      <c r="H350" s="69">
        <f>VLOOKUP(A350,Ucto_HK_2021!$A$2:$D$929,4,FALSE)</f>
        <v>-131807.44</v>
      </c>
      <c r="K350" s="69">
        <v>-196412.08</v>
      </c>
    </row>
    <row r="351" spans="1:11">
      <c r="A351" s="584" t="s">
        <v>1734</v>
      </c>
      <c r="C351" s="587">
        <v>-26545.68</v>
      </c>
      <c r="D351" s="587">
        <v>-20827.02</v>
      </c>
      <c r="E351" s="69">
        <v>-48409.01</v>
      </c>
      <c r="F351" s="69">
        <v>-302134.95</v>
      </c>
      <c r="G351" s="69">
        <v>-317938.21999999997</v>
      </c>
      <c r="H351" s="69">
        <f>VLOOKUP(A351,Ucto_HK_2021!$A$2:$D$929,4,FALSE)</f>
        <v>-363480.02</v>
      </c>
      <c r="K351" s="69">
        <v>-710438.14</v>
      </c>
    </row>
    <row r="352" spans="1:11">
      <c r="A352" s="584" t="s">
        <v>1735</v>
      </c>
      <c r="C352" s="587">
        <v>53417454.939999998</v>
      </c>
      <c r="D352" s="587">
        <v>52803610.43</v>
      </c>
      <c r="E352" s="69">
        <v>71336187.769999996</v>
      </c>
      <c r="F352" s="69">
        <v>68499981.590000004</v>
      </c>
      <c r="G352" s="69">
        <v>69593236.629999995</v>
      </c>
      <c r="H352" s="69">
        <f>VLOOKUP(A352,Ucto_HK_2021!$A$2:$D$929,4,FALSE)</f>
        <v>95031749.790000007</v>
      </c>
      <c r="K352" s="69">
        <v>94684791.670000002</v>
      </c>
    </row>
    <row r="353" spans="1:11">
      <c r="C353" s="69"/>
      <c r="D353" s="69"/>
      <c r="E353" s="69"/>
      <c r="F353" s="69"/>
      <c r="G353" s="69"/>
      <c r="H353" s="69"/>
      <c r="K353" s="69"/>
    </row>
    <row r="354" spans="1:11" s="440" customFormat="1">
      <c r="A354" s="668" t="s">
        <v>1736</v>
      </c>
      <c r="B354" s="668" t="s">
        <v>1737</v>
      </c>
      <c r="C354" s="568">
        <v>0</v>
      </c>
      <c r="D354" s="568">
        <v>489894.36</v>
      </c>
      <c r="E354" s="568">
        <v>384879.95</v>
      </c>
      <c r="F354" s="568">
        <v>345954.85</v>
      </c>
      <c r="G354" s="568">
        <v>381555.88</v>
      </c>
      <c r="H354" s="568">
        <f>VLOOKUP(A354,Ucto_HK_2021!$A$2:$D$929,4,FALSE)</f>
        <v>846440.71</v>
      </c>
      <c r="K354" s="568">
        <v>781684.4</v>
      </c>
    </row>
    <row r="355" spans="1:11" s="440" customFormat="1">
      <c r="A355" s="668" t="s">
        <v>1738</v>
      </c>
      <c r="B355" s="668" t="s">
        <v>1739</v>
      </c>
      <c r="C355" s="568">
        <v>0</v>
      </c>
      <c r="D355" s="568">
        <v>1906854.38</v>
      </c>
      <c r="E355" s="568">
        <v>1591076.3</v>
      </c>
      <c r="F355" s="568">
        <v>1674471.41</v>
      </c>
      <c r="G355" s="568">
        <v>1557902.81</v>
      </c>
      <c r="H355" s="568">
        <f>VLOOKUP(A355,Ucto_HK_2021!$A$2:$D$929,4,FALSE)</f>
        <v>1685043.1</v>
      </c>
      <c r="K355" s="568">
        <v>1580291.93</v>
      </c>
    </row>
    <row r="356" spans="1:11" s="440" customFormat="1">
      <c r="A356" s="668" t="s">
        <v>1740</v>
      </c>
      <c r="B356" s="668" t="s">
        <v>1741</v>
      </c>
      <c r="C356" s="568">
        <v>0</v>
      </c>
      <c r="D356" s="568">
        <v>164556.59</v>
      </c>
      <c r="E356" s="568">
        <v>165858.18</v>
      </c>
      <c r="F356" s="568">
        <v>155178.34</v>
      </c>
      <c r="G356" s="568">
        <v>145697.67000000001</v>
      </c>
      <c r="H356" s="568">
        <f>VLOOKUP(A356,Ucto_HK_2021!$A$2:$D$929,4,FALSE)</f>
        <v>133703.19</v>
      </c>
      <c r="K356" s="568">
        <v>150163.4</v>
      </c>
    </row>
    <row r="357" spans="1:11" s="440" customFormat="1">
      <c r="A357" s="668" t="s">
        <v>1742</v>
      </c>
      <c r="B357" s="668" t="s">
        <v>1743</v>
      </c>
      <c r="C357" s="568">
        <v>0</v>
      </c>
      <c r="D357" s="568">
        <v>4824.08</v>
      </c>
      <c r="E357" s="568">
        <v>6161.72</v>
      </c>
      <c r="F357" s="568">
        <v>10492.06</v>
      </c>
      <c r="G357" s="568">
        <v>14984.79</v>
      </c>
      <c r="H357" s="568">
        <f>VLOOKUP(A357,Ucto_HK_2021!$A$2:$D$929,4,FALSE)</f>
        <v>15724.26</v>
      </c>
      <c r="K357" s="568">
        <v>13829.47</v>
      </c>
    </row>
    <row r="358" spans="1:11" s="440" customFormat="1">
      <c r="A358" s="668" t="s">
        <v>1744</v>
      </c>
      <c r="B358" s="668" t="s">
        <v>1745</v>
      </c>
      <c r="C358" s="568">
        <v>0</v>
      </c>
      <c r="D358" s="568">
        <v>13391.86</v>
      </c>
      <c r="E358" s="568">
        <v>13331.38</v>
      </c>
      <c r="F358" s="568">
        <v>12473.96</v>
      </c>
      <c r="G358" s="568">
        <v>9610.0300000000007</v>
      </c>
      <c r="H358" s="568">
        <f>VLOOKUP(A358,Ucto_HK_2021!$A$2:$D$929,4,FALSE)</f>
        <v>12095.76</v>
      </c>
      <c r="K358" s="568">
        <v>11812.78</v>
      </c>
    </row>
    <row r="359" spans="1:11" s="440" customFormat="1">
      <c r="A359" s="668" t="s">
        <v>1746</v>
      </c>
      <c r="B359" s="668" t="s">
        <v>1747</v>
      </c>
      <c r="C359" s="568">
        <v>0</v>
      </c>
      <c r="D359" s="568">
        <v>175326.11</v>
      </c>
      <c r="E359" s="568">
        <v>192055.18</v>
      </c>
      <c r="F359" s="568">
        <v>196862.81</v>
      </c>
      <c r="G359" s="568">
        <v>186068.53</v>
      </c>
      <c r="H359" s="568">
        <f>VLOOKUP(A359,Ucto_HK_2021!$A$2:$D$929,4,FALSE)</f>
        <v>159700.15</v>
      </c>
      <c r="K359" s="568">
        <v>163764.29</v>
      </c>
    </row>
    <row r="360" spans="1:11" s="440" customFormat="1">
      <c r="A360" s="668" t="s">
        <v>1748</v>
      </c>
      <c r="B360" s="668" t="s">
        <v>1749</v>
      </c>
      <c r="C360" s="568">
        <v>0</v>
      </c>
      <c r="D360" s="568">
        <v>1831844.34</v>
      </c>
      <c r="E360" s="568">
        <v>1610247.22</v>
      </c>
      <c r="F360" s="568">
        <v>1604683.29</v>
      </c>
      <c r="G360" s="568">
        <v>2277529.0699999998</v>
      </c>
      <c r="H360" s="568">
        <f>VLOOKUP(A360,Ucto_HK_2021!$A$2:$D$929,4,FALSE)</f>
        <v>2325935.19</v>
      </c>
      <c r="K360" s="568">
        <v>2104764.19</v>
      </c>
    </row>
    <row r="361" spans="1:11" s="440" customFormat="1">
      <c r="A361" s="668" t="s">
        <v>1750</v>
      </c>
      <c r="B361" s="668" t="s">
        <v>1751</v>
      </c>
      <c r="C361" s="568">
        <v>0</v>
      </c>
      <c r="D361" s="568">
        <v>2305155.86</v>
      </c>
      <c r="E361" s="568">
        <v>3916991.05</v>
      </c>
      <c r="F361" s="568">
        <v>4062686.62</v>
      </c>
      <c r="G361" s="568">
        <v>4311918.1399999997</v>
      </c>
      <c r="H361" s="568">
        <f>VLOOKUP(A361,Ucto_HK_2021!$A$2:$D$929,4,FALSE)</f>
        <v>7585677.2999999998</v>
      </c>
      <c r="K361" s="568">
        <v>5499204.9699999997</v>
      </c>
    </row>
    <row r="362" spans="1:11" s="440" customFormat="1">
      <c r="A362" s="668" t="s">
        <v>1752</v>
      </c>
      <c r="B362" s="668" t="s">
        <v>1753</v>
      </c>
      <c r="C362" s="568">
        <v>0</v>
      </c>
      <c r="D362" s="568">
        <v>190592.23</v>
      </c>
      <c r="E362" s="568">
        <v>191002.97</v>
      </c>
      <c r="F362" s="568">
        <v>244640.45</v>
      </c>
      <c r="G362" s="568">
        <v>249988.88</v>
      </c>
      <c r="H362" s="568">
        <f>VLOOKUP(A362,Ucto_HK_2021!$A$2:$D$929,4,FALSE)</f>
        <v>165483.42000000001</v>
      </c>
      <c r="K362" s="568">
        <v>187720.51</v>
      </c>
    </row>
    <row r="363" spans="1:11" s="440" customFormat="1">
      <c r="A363" s="668" t="s">
        <v>1754</v>
      </c>
      <c r="B363" s="668" t="s">
        <v>1755</v>
      </c>
      <c r="C363" s="568">
        <v>0</v>
      </c>
      <c r="D363" s="568">
        <v>554744.82999999996</v>
      </c>
      <c r="E363" s="568">
        <v>615480.69999999995</v>
      </c>
      <c r="F363" s="568">
        <v>583927.54</v>
      </c>
      <c r="G363" s="568">
        <v>496363.45</v>
      </c>
      <c r="H363" s="568">
        <f>VLOOKUP(A363,Ucto_HK_2021!$A$2:$D$929,4,FALSE)</f>
        <v>421930.05</v>
      </c>
      <c r="K363" s="568">
        <v>535343.69999999995</v>
      </c>
    </row>
    <row r="364" spans="1:11" s="440" customFormat="1">
      <c r="A364" s="668" t="s">
        <v>1756</v>
      </c>
      <c r="B364" s="668" t="s">
        <v>1757</v>
      </c>
      <c r="C364" s="568">
        <v>0</v>
      </c>
      <c r="D364" s="568">
        <v>648.32000000000005</v>
      </c>
      <c r="E364" s="568">
        <v>198.8</v>
      </c>
      <c r="F364" s="568">
        <v>3730.14</v>
      </c>
      <c r="G364" s="568">
        <v>592.75</v>
      </c>
      <c r="H364" s="568">
        <f>VLOOKUP(A364,Ucto_HK_2021!$A$2:$D$929,4,FALSE)</f>
        <v>1773.39</v>
      </c>
      <c r="K364" s="568">
        <v>2110.67</v>
      </c>
    </row>
    <row r="365" spans="1:11" s="440" customFormat="1">
      <c r="A365" s="668" t="s">
        <v>1758</v>
      </c>
      <c r="B365" s="668" t="s">
        <v>1759</v>
      </c>
      <c r="C365" s="568">
        <v>0</v>
      </c>
      <c r="D365" s="568">
        <v>114551.2</v>
      </c>
      <c r="E365" s="568">
        <v>68408.52</v>
      </c>
      <c r="F365" s="568">
        <v>63824.39</v>
      </c>
      <c r="G365" s="568">
        <v>75528.47</v>
      </c>
      <c r="H365" s="568">
        <f>VLOOKUP(A365,Ucto_HK_2021!$A$2:$D$929,4,FALSE)</f>
        <v>76783.44</v>
      </c>
      <c r="K365" s="568">
        <v>71054.48</v>
      </c>
    </row>
    <row r="366" spans="1:11" s="440" customFormat="1">
      <c r="A366" s="668" t="s">
        <v>1762</v>
      </c>
      <c r="B366" s="668" t="s">
        <v>1763</v>
      </c>
      <c r="C366" s="568"/>
      <c r="D366" s="568"/>
      <c r="E366" s="568"/>
      <c r="F366" s="568">
        <v>3374198.93</v>
      </c>
      <c r="G366" s="568">
        <v>4423164.33</v>
      </c>
      <c r="H366" s="568">
        <f>VLOOKUP(A366,Ucto_HK_2021!$A$2:$D$929,4,FALSE)</f>
        <v>5834484.6299999999</v>
      </c>
      <c r="K366" s="568">
        <v>4395891.72</v>
      </c>
    </row>
    <row r="367" spans="1:11" s="440" customFormat="1">
      <c r="A367" s="668" t="s">
        <v>1760</v>
      </c>
      <c r="B367" s="668" t="s">
        <v>1761</v>
      </c>
      <c r="C367" s="568">
        <v>0</v>
      </c>
      <c r="D367" s="568">
        <v>1105828.72</v>
      </c>
      <c r="E367" s="568">
        <v>1689261.22</v>
      </c>
      <c r="F367" s="568">
        <v>2336879.0499999998</v>
      </c>
      <c r="G367" s="568">
        <v>929180.11</v>
      </c>
      <c r="H367" s="568">
        <f>VLOOKUP(A367,Ucto_HK_2021!$A$2:$D$929,4,FALSE)</f>
        <v>567735.85</v>
      </c>
      <c r="K367" s="568">
        <v>471485.39</v>
      </c>
    </row>
    <row r="368" spans="1:11" s="440" customFormat="1">
      <c r="A368" s="668" t="s">
        <v>1764</v>
      </c>
      <c r="B368" s="668" t="s">
        <v>1765</v>
      </c>
      <c r="C368" s="568">
        <v>0</v>
      </c>
      <c r="D368" s="568">
        <v>66035.59</v>
      </c>
      <c r="E368" s="568">
        <v>62852.480000000003</v>
      </c>
      <c r="F368" s="568">
        <v>112003.62</v>
      </c>
      <c r="G368" s="568">
        <v>107540.96</v>
      </c>
      <c r="H368" s="568">
        <f>VLOOKUP(A368,Ucto_HK_2021!$A$2:$D$929,4,FALSE)</f>
        <v>109711.09</v>
      </c>
      <c r="K368" s="568">
        <v>117238.03</v>
      </c>
    </row>
    <row r="369" spans="1:11" s="440" customFormat="1">
      <c r="A369" s="668" t="s">
        <v>1766</v>
      </c>
      <c r="B369" s="668" t="s">
        <v>1767</v>
      </c>
      <c r="C369" s="568">
        <v>0</v>
      </c>
      <c r="D369" s="568">
        <v>238119.88</v>
      </c>
      <c r="E369" s="568">
        <v>220739.8</v>
      </c>
      <c r="F369" s="568">
        <v>217116.56</v>
      </c>
      <c r="G369" s="568">
        <v>234111.8</v>
      </c>
      <c r="H369" s="568">
        <f>VLOOKUP(A369,Ucto_HK_2021!$A$2:$D$929,4,FALSE)</f>
        <v>193858.39</v>
      </c>
      <c r="K369" s="568">
        <v>155954.6</v>
      </c>
    </row>
    <row r="370" spans="1:11" s="440" customFormat="1">
      <c r="A370" s="668" t="s">
        <v>1768</v>
      </c>
      <c r="B370" s="668" t="s">
        <v>1769</v>
      </c>
      <c r="C370" s="568">
        <v>0</v>
      </c>
      <c r="D370" s="568">
        <v>153282.42000000001</v>
      </c>
      <c r="E370" s="568">
        <v>154596.72</v>
      </c>
      <c r="F370" s="568">
        <v>148846.37</v>
      </c>
      <c r="G370" s="568">
        <v>199841.62</v>
      </c>
      <c r="H370" s="568">
        <f>VLOOKUP(A370,Ucto_HK_2021!$A$2:$D$929,4,FALSE)</f>
        <v>444697.77</v>
      </c>
      <c r="K370" s="568">
        <v>336879.23</v>
      </c>
    </row>
    <row r="371" spans="1:11" s="440" customFormat="1">
      <c r="A371" s="668" t="s">
        <v>1770</v>
      </c>
      <c r="B371" s="668" t="s">
        <v>1771</v>
      </c>
      <c r="C371" s="568">
        <v>0</v>
      </c>
      <c r="D371" s="568">
        <v>960.07</v>
      </c>
      <c r="E371" s="568">
        <v>4420.0200000000004</v>
      </c>
      <c r="F371" s="568">
        <v>1471.72</v>
      </c>
      <c r="G371" s="568">
        <v>883.54</v>
      </c>
      <c r="H371" s="568">
        <f>VLOOKUP(A371,Ucto_HK_2021!$A$2:$D$929,4,FALSE)</f>
        <v>520.71</v>
      </c>
      <c r="K371" s="568">
        <v>520.71</v>
      </c>
    </row>
    <row r="372" spans="1:11" s="440" customFormat="1">
      <c r="A372" s="668" t="s">
        <v>2657</v>
      </c>
      <c r="B372" s="668" t="s">
        <v>2658</v>
      </c>
      <c r="C372" s="568"/>
      <c r="D372" s="568"/>
      <c r="E372" s="568">
        <v>50.73</v>
      </c>
      <c r="F372" s="568">
        <v>83.52</v>
      </c>
      <c r="G372" s="568"/>
      <c r="H372" s="568"/>
      <c r="K372" s="568"/>
    </row>
    <row r="373" spans="1:11" s="440" customFormat="1">
      <c r="A373" s="668" t="s">
        <v>1772</v>
      </c>
      <c r="B373" s="668" t="s">
        <v>1773</v>
      </c>
      <c r="C373" s="568">
        <v>0</v>
      </c>
      <c r="D373" s="568">
        <v>31981.29</v>
      </c>
      <c r="E373" s="568">
        <v>32091.49</v>
      </c>
      <c r="F373" s="568">
        <v>41259.279999999999</v>
      </c>
      <c r="G373" s="568">
        <v>38013.53</v>
      </c>
      <c r="H373" s="568">
        <f>VLOOKUP(A373,Ucto_HK_2021!$A$2:$D$929,4,FALSE)</f>
        <v>42344.07</v>
      </c>
      <c r="K373" s="568">
        <v>37663.07</v>
      </c>
    </row>
    <row r="374" spans="1:11" s="440" customFormat="1">
      <c r="A374" s="668" t="s">
        <v>1774</v>
      </c>
      <c r="B374" s="668" t="s">
        <v>1775</v>
      </c>
      <c r="C374" s="568">
        <v>0</v>
      </c>
      <c r="D374" s="568">
        <v>52862.31</v>
      </c>
      <c r="E374" s="568">
        <v>81525.38</v>
      </c>
      <c r="F374" s="568">
        <v>729005.58</v>
      </c>
      <c r="G374" s="568">
        <v>86111.18</v>
      </c>
      <c r="H374" s="568">
        <f>VLOOKUP(A374,Ucto_HK_2021!$A$2:$D$929,4,FALSE)</f>
        <v>19118.59</v>
      </c>
      <c r="K374" s="568">
        <v>19519.02</v>
      </c>
    </row>
    <row r="375" spans="1:11" s="440" customFormat="1">
      <c r="A375" s="668" t="s">
        <v>1776</v>
      </c>
      <c r="B375" s="668" t="s">
        <v>1292</v>
      </c>
      <c r="C375" s="568">
        <v>0</v>
      </c>
      <c r="D375" s="568">
        <v>2082687.56</v>
      </c>
      <c r="E375" s="568">
        <v>2286266.9300000002</v>
      </c>
      <c r="F375" s="568">
        <v>2334448.7999999998</v>
      </c>
      <c r="G375" s="568">
        <v>1843687.9</v>
      </c>
      <c r="H375" s="568">
        <f>VLOOKUP(A375,Ucto_HK_2021!$A$2:$D$929,4,FALSE)</f>
        <v>2001749.67</v>
      </c>
      <c r="K375" s="568">
        <v>1640115.68</v>
      </c>
    </row>
    <row r="376" spans="1:11" s="440" customFormat="1">
      <c r="A376" s="668" t="s">
        <v>1777</v>
      </c>
      <c r="B376" s="668" t="s">
        <v>1778</v>
      </c>
      <c r="C376" s="568">
        <v>0</v>
      </c>
      <c r="D376" s="568">
        <v>4784985.49</v>
      </c>
      <c r="E376" s="568">
        <v>4691374.0800000001</v>
      </c>
      <c r="F376" s="568">
        <v>5132662.49</v>
      </c>
      <c r="G376" s="568">
        <v>4106303.69</v>
      </c>
      <c r="H376" s="568">
        <f>VLOOKUP(A376,Ucto_HK_2021!$A$2:$D$929,4,FALSE)</f>
        <v>4007271.44</v>
      </c>
      <c r="K376" s="568">
        <v>3421986.85</v>
      </c>
    </row>
    <row r="377" spans="1:11" s="440" customFormat="1">
      <c r="A377" s="668" t="s">
        <v>1779</v>
      </c>
      <c r="B377" s="668" t="s">
        <v>1780</v>
      </c>
      <c r="C377" s="568">
        <v>0</v>
      </c>
      <c r="D377" s="568">
        <v>2831551.61</v>
      </c>
      <c r="E377" s="568">
        <v>2748416.09</v>
      </c>
      <c r="F377" s="568">
        <v>5406581.8899999997</v>
      </c>
      <c r="G377" s="568">
        <v>7683526.0800000001</v>
      </c>
      <c r="H377" s="568">
        <f>VLOOKUP(A377,Ucto_HK_2021!$A$2:$D$929,4,FALSE)</f>
        <v>7708943.2300000004</v>
      </c>
      <c r="K377" s="568">
        <v>6453842.2300000004</v>
      </c>
    </row>
    <row r="378" spans="1:11" s="440" customFormat="1">
      <c r="A378" s="668" t="s">
        <v>2707</v>
      </c>
      <c r="B378" s="668" t="s">
        <v>1794</v>
      </c>
      <c r="C378" s="568">
        <v>0</v>
      </c>
      <c r="D378" s="568">
        <v>100426.8</v>
      </c>
      <c r="E378" s="568">
        <v>227726.72</v>
      </c>
      <c r="F378" s="568"/>
      <c r="G378" s="568"/>
      <c r="H378" s="568"/>
      <c r="K378" s="568"/>
    </row>
    <row r="379" spans="1:11" s="440" customFormat="1">
      <c r="A379" s="668" t="s">
        <v>1781</v>
      </c>
      <c r="B379" s="668" t="s">
        <v>1782</v>
      </c>
      <c r="C379" s="568">
        <v>0</v>
      </c>
      <c r="D379" s="568">
        <v>5504.46</v>
      </c>
      <c r="E379" s="568">
        <v>4106.3999999999996</v>
      </c>
      <c r="F379" s="568">
        <v>3297.11</v>
      </c>
      <c r="G379" s="568">
        <v>2442.6999999999998</v>
      </c>
      <c r="H379" s="568">
        <f>VLOOKUP(A379,Ucto_HK_2021!$A$2:$D$929,4,FALSE)</f>
        <v>413.2</v>
      </c>
      <c r="K379" s="568">
        <v>413.2</v>
      </c>
    </row>
    <row r="380" spans="1:11" s="440" customFormat="1">
      <c r="A380" s="668" t="s">
        <v>1783</v>
      </c>
      <c r="B380" s="668" t="s">
        <v>1784</v>
      </c>
      <c r="C380" s="568">
        <v>0</v>
      </c>
      <c r="D380" s="568">
        <v>259291.97</v>
      </c>
      <c r="E380" s="568">
        <v>300511.74</v>
      </c>
      <c r="F380" s="568">
        <v>40667</v>
      </c>
      <c r="G380" s="568">
        <v>188858.14</v>
      </c>
      <c r="H380" s="568">
        <f>VLOOKUP(A380,Ucto_HK_2021!$A$2:$D$929,4,FALSE)</f>
        <v>112469.46</v>
      </c>
      <c r="K380" s="568">
        <v>103917.5</v>
      </c>
    </row>
    <row r="381" spans="1:11" s="440" customFormat="1">
      <c r="A381" s="668" t="s">
        <v>2708</v>
      </c>
      <c r="B381" s="668" t="s">
        <v>1798</v>
      </c>
      <c r="C381" s="568">
        <v>0</v>
      </c>
      <c r="D381" s="568">
        <v>25324.97</v>
      </c>
      <c r="E381" s="568">
        <v>17134.97</v>
      </c>
      <c r="F381" s="568"/>
      <c r="G381" s="568"/>
      <c r="H381" s="568">
        <f>VLOOKUP(A381,Ucto_HK_2021!$A$2:$D$929,4,FALSE)</f>
        <v>0</v>
      </c>
      <c r="K381" s="568"/>
    </row>
    <row r="382" spans="1:11" s="440" customFormat="1">
      <c r="A382" s="668" t="s">
        <v>1785</v>
      </c>
      <c r="B382" s="668" t="s">
        <v>1786</v>
      </c>
      <c r="C382" s="568">
        <v>0</v>
      </c>
      <c r="D382" s="568">
        <v>1823933.61</v>
      </c>
      <c r="E382" s="568">
        <v>1804953.37</v>
      </c>
      <c r="F382" s="568">
        <v>1938586.2</v>
      </c>
      <c r="G382" s="568">
        <v>1673402.14</v>
      </c>
      <c r="H382" s="568">
        <f>VLOOKUP(A382,Ucto_HK_2021!$A$2:$D$929,4,FALSE)</f>
        <v>1678376.03</v>
      </c>
      <c r="K382" s="568">
        <v>1422173.87</v>
      </c>
    </row>
    <row r="383" spans="1:11" s="440" customFormat="1">
      <c r="A383" s="668" t="s">
        <v>1787</v>
      </c>
      <c r="B383" s="668" t="s">
        <v>1788</v>
      </c>
      <c r="C383" s="568">
        <v>0</v>
      </c>
      <c r="D383" s="568">
        <v>391238.63</v>
      </c>
      <c r="E383" s="568">
        <v>621796.37</v>
      </c>
      <c r="F383" s="568">
        <v>773001.21</v>
      </c>
      <c r="G383" s="568">
        <v>709901.74</v>
      </c>
      <c r="H383" s="568">
        <f>VLOOKUP(A383,Ucto_HK_2021!$A$2:$D$929,4,FALSE)</f>
        <v>634568.16</v>
      </c>
      <c r="K383" s="568">
        <v>554333.87</v>
      </c>
    </row>
    <row r="384" spans="1:11" s="440" customFormat="1">
      <c r="A384" s="668" t="s">
        <v>1789</v>
      </c>
      <c r="B384" s="668" t="s">
        <v>1790</v>
      </c>
      <c r="C384" s="568">
        <v>0</v>
      </c>
      <c r="D384" s="568">
        <v>452255.22</v>
      </c>
      <c r="E384" s="568">
        <v>449443.03</v>
      </c>
      <c r="F384" s="568">
        <v>429855.89</v>
      </c>
      <c r="G384" s="568">
        <v>330320.57</v>
      </c>
      <c r="H384" s="568">
        <f>VLOOKUP(A384,Ucto_HK_2021!$A$2:$D$929,4,FALSE)</f>
        <v>364917.15</v>
      </c>
      <c r="K384" s="568">
        <v>288373.11</v>
      </c>
    </row>
    <row r="385" spans="1:11" s="440" customFormat="1">
      <c r="A385" s="668" t="s">
        <v>1791</v>
      </c>
      <c r="B385" s="668" t="s">
        <v>1778</v>
      </c>
      <c r="C385" s="568">
        <v>0</v>
      </c>
      <c r="D385" s="568">
        <v>37762.29</v>
      </c>
      <c r="E385" s="568">
        <v>30056.55</v>
      </c>
      <c r="F385" s="568">
        <v>100714.25</v>
      </c>
      <c r="G385" s="568">
        <v>69302.59</v>
      </c>
      <c r="H385" s="568">
        <f>VLOOKUP(A385,Ucto_HK_2021!$A$2:$D$929,4,FALSE)</f>
        <v>88989.16</v>
      </c>
      <c r="K385" s="568">
        <v>70862.5</v>
      </c>
    </row>
    <row r="386" spans="1:11" s="440" customFormat="1">
      <c r="A386" s="668" t="s">
        <v>1792</v>
      </c>
      <c r="B386" s="668" t="s">
        <v>1780</v>
      </c>
      <c r="C386" s="568">
        <v>0</v>
      </c>
      <c r="D386" s="568">
        <v>136029.45000000001</v>
      </c>
      <c r="E386" s="568">
        <v>98685.43</v>
      </c>
      <c r="F386" s="568">
        <v>140742.20000000001</v>
      </c>
      <c r="G386" s="568">
        <v>92221.7</v>
      </c>
      <c r="H386" s="568">
        <f>VLOOKUP(A386,Ucto_HK_2021!$A$2:$D$929,4,FALSE)</f>
        <v>315957.40999999997</v>
      </c>
      <c r="K386" s="568">
        <v>270144.01</v>
      </c>
    </row>
    <row r="387" spans="1:11" s="440" customFormat="1">
      <c r="A387" s="668" t="s">
        <v>1793</v>
      </c>
      <c r="B387" s="668" t="s">
        <v>1794</v>
      </c>
      <c r="C387" s="568"/>
      <c r="D387" s="568"/>
      <c r="E387" s="568"/>
      <c r="F387" s="568">
        <v>210158.39</v>
      </c>
      <c r="G387" s="568">
        <v>169228.61</v>
      </c>
      <c r="H387" s="568">
        <f>VLOOKUP(A387,Ucto_HK_2021!$A$2:$D$929,4,FALSE)</f>
        <v>136646.46</v>
      </c>
      <c r="K387" s="568">
        <v>113329.24</v>
      </c>
    </row>
    <row r="388" spans="1:11" s="440" customFormat="1">
      <c r="A388" s="668" t="s">
        <v>1795</v>
      </c>
      <c r="B388" s="668" t="s">
        <v>1782</v>
      </c>
      <c r="C388" s="568">
        <v>0</v>
      </c>
      <c r="D388" s="568">
        <v>102000.25</v>
      </c>
      <c r="E388" s="568">
        <v>89993.39</v>
      </c>
      <c r="F388" s="568">
        <v>120394.89</v>
      </c>
      <c r="G388" s="568">
        <v>123821.11</v>
      </c>
      <c r="H388" s="568">
        <f>VLOOKUP(A388,Ucto_HK_2021!$A$2:$D$929,4,FALSE)</f>
        <v>58081.84</v>
      </c>
      <c r="K388" s="568">
        <v>53056.57</v>
      </c>
    </row>
    <row r="389" spans="1:11" s="440" customFormat="1">
      <c r="A389" s="668" t="s">
        <v>1796</v>
      </c>
      <c r="B389" s="668" t="s">
        <v>1784</v>
      </c>
      <c r="C389" s="568"/>
      <c r="D389" s="568"/>
      <c r="E389" s="568"/>
      <c r="F389" s="568">
        <v>214703.7</v>
      </c>
      <c r="G389" s="568">
        <v>90420.62</v>
      </c>
      <c r="H389" s="568">
        <f>VLOOKUP(A389,Ucto_HK_2021!$A$2:$D$929,4,FALSE)</f>
        <v>477.6</v>
      </c>
      <c r="K389" s="568">
        <v>477.6</v>
      </c>
    </row>
    <row r="390" spans="1:11" s="440" customFormat="1">
      <c r="A390" s="668" t="s">
        <v>1797</v>
      </c>
      <c r="B390" s="668" t="s">
        <v>1798</v>
      </c>
      <c r="C390" s="568"/>
      <c r="D390" s="568"/>
      <c r="E390" s="568">
        <v>1634.25</v>
      </c>
      <c r="F390" s="568">
        <v>529.55999999999995</v>
      </c>
      <c r="G390" s="568">
        <v>8136.92</v>
      </c>
      <c r="H390" s="568">
        <f>VLOOKUP(A390,Ucto_HK_2021!$A$2:$D$929,4,FALSE)</f>
        <v>21865.48</v>
      </c>
      <c r="K390" s="568">
        <v>22473.91</v>
      </c>
    </row>
    <row r="391" spans="1:11" s="440" customFormat="1">
      <c r="A391" s="668" t="s">
        <v>1799</v>
      </c>
      <c r="B391" s="668" t="s">
        <v>1800</v>
      </c>
      <c r="C391" s="568">
        <v>0</v>
      </c>
      <c r="D391" s="568">
        <v>3826235.53</v>
      </c>
      <c r="E391" s="568">
        <v>3879186.01</v>
      </c>
      <c r="F391" s="568">
        <v>4283857.4400000004</v>
      </c>
      <c r="G391" s="568">
        <v>5243009.3600000003</v>
      </c>
      <c r="H391" s="568">
        <f>VLOOKUP(A391,Ucto_HK_2021!$A$2:$D$929,4,FALSE)</f>
        <v>6944455.1799999997</v>
      </c>
      <c r="K391" s="568">
        <v>7360023.8700000001</v>
      </c>
    </row>
    <row r="392" spans="1:11" s="440" customFormat="1">
      <c r="A392" s="668" t="s">
        <v>1801</v>
      </c>
      <c r="B392" s="668" t="s">
        <v>1802</v>
      </c>
      <c r="C392" s="568">
        <v>0</v>
      </c>
      <c r="D392" s="568">
        <v>447368.63</v>
      </c>
      <c r="E392" s="568">
        <v>512927.49</v>
      </c>
      <c r="F392" s="568">
        <v>570233.86</v>
      </c>
      <c r="G392" s="568">
        <v>1321682.1100000001</v>
      </c>
      <c r="H392" s="568">
        <f>VLOOKUP(A392,Ucto_HK_2021!$A$2:$D$929,4,FALSE)</f>
        <v>1985250.52</v>
      </c>
      <c r="K392" s="568">
        <v>1834236.05</v>
      </c>
    </row>
    <row r="393" spans="1:11" s="440" customFormat="1">
      <c r="A393" s="668" t="s">
        <v>1803</v>
      </c>
      <c r="B393" s="668" t="s">
        <v>1804</v>
      </c>
      <c r="C393" s="568">
        <v>0</v>
      </c>
      <c r="D393" s="568">
        <v>2787874.37</v>
      </c>
      <c r="E393" s="568">
        <v>3054984.93</v>
      </c>
      <c r="F393" s="568">
        <v>4802.12</v>
      </c>
      <c r="G393" s="568">
        <v>4316.83</v>
      </c>
      <c r="H393" s="568">
        <f>VLOOKUP(A393,Ucto_HK_2021!$A$2:$D$929,4,FALSE)</f>
        <v>3619.21</v>
      </c>
      <c r="K393" s="568">
        <v>4223.6899999999996</v>
      </c>
    </row>
    <row r="394" spans="1:11" s="440" customFormat="1">
      <c r="A394" s="668" t="s">
        <v>1805</v>
      </c>
      <c r="B394" s="668" t="s">
        <v>1806</v>
      </c>
      <c r="C394" s="568">
        <v>0</v>
      </c>
      <c r="D394" s="568">
        <v>36079.370000000003</v>
      </c>
      <c r="E394" s="568">
        <v>44121.91</v>
      </c>
      <c r="F394" s="568">
        <v>42819.19</v>
      </c>
      <c r="G394" s="568">
        <v>51290.39</v>
      </c>
      <c r="H394" s="568">
        <f>VLOOKUP(A394,Ucto_HK_2021!$A$2:$D$929,4,FALSE)</f>
        <v>47390.44</v>
      </c>
      <c r="K394" s="568">
        <v>33661.18</v>
      </c>
    </row>
    <row r="395" spans="1:11" s="440" customFormat="1">
      <c r="A395" s="668" t="s">
        <v>1807</v>
      </c>
      <c r="B395" s="668" t="s">
        <v>1808</v>
      </c>
      <c r="C395" s="568">
        <v>0</v>
      </c>
      <c r="D395" s="568">
        <v>141715.97</v>
      </c>
      <c r="E395" s="568">
        <v>168622.87</v>
      </c>
      <c r="F395" s="568">
        <v>166220.84</v>
      </c>
      <c r="G395" s="568">
        <v>203097.46</v>
      </c>
      <c r="H395" s="568">
        <f>VLOOKUP(A395,Ucto_HK_2021!$A$2:$D$929,4,FALSE)</f>
        <v>399972.47</v>
      </c>
      <c r="K395" s="568">
        <v>275393.73</v>
      </c>
    </row>
    <row r="396" spans="1:11" s="440" customFormat="1">
      <c r="A396" s="668" t="s">
        <v>1809</v>
      </c>
      <c r="B396" s="668" t="s">
        <v>1810</v>
      </c>
      <c r="C396" s="568">
        <v>0</v>
      </c>
      <c r="D396" s="568">
        <v>325026.34000000003</v>
      </c>
      <c r="E396" s="568">
        <v>340129.92</v>
      </c>
      <c r="F396" s="568">
        <v>327166.34999999998</v>
      </c>
      <c r="G396" s="568">
        <v>288960.03999999998</v>
      </c>
      <c r="H396" s="568">
        <f>VLOOKUP(A396,Ucto_HK_2021!$A$2:$D$929,4,FALSE)</f>
        <v>273974.86</v>
      </c>
      <c r="K396" s="568">
        <v>222545.25</v>
      </c>
    </row>
    <row r="397" spans="1:11" s="440" customFormat="1">
      <c r="A397" s="668" t="s">
        <v>1811</v>
      </c>
      <c r="B397" s="668" t="s">
        <v>1812</v>
      </c>
      <c r="C397" s="568">
        <v>0</v>
      </c>
      <c r="D397" s="568">
        <v>379479.95</v>
      </c>
      <c r="E397" s="568">
        <v>336778</v>
      </c>
      <c r="F397" s="568">
        <v>352013.98</v>
      </c>
      <c r="G397" s="568">
        <v>316377.75</v>
      </c>
      <c r="H397" s="568">
        <f>VLOOKUP(A397,Ucto_HK_2021!$A$2:$D$929,4,FALSE)</f>
        <v>344306.76</v>
      </c>
      <c r="K397" s="568">
        <v>285810.33</v>
      </c>
    </row>
    <row r="398" spans="1:11" s="440" customFormat="1">
      <c r="A398" s="668" t="s">
        <v>1813</v>
      </c>
      <c r="B398" s="668" t="s">
        <v>1814</v>
      </c>
      <c r="C398" s="568">
        <v>0</v>
      </c>
      <c r="D398" s="568">
        <v>107580.1</v>
      </c>
      <c r="E398" s="568">
        <v>108368.71</v>
      </c>
      <c r="F398" s="568">
        <v>108886.56</v>
      </c>
      <c r="G398" s="568">
        <v>79490.820000000007</v>
      </c>
      <c r="H398" s="568">
        <f>VLOOKUP(A398,Ucto_HK_2021!$A$2:$D$929,4,FALSE)</f>
        <v>114986.37</v>
      </c>
      <c r="K398" s="568">
        <v>97035.99</v>
      </c>
    </row>
    <row r="399" spans="1:11" s="440" customFormat="1">
      <c r="A399" s="668" t="s">
        <v>1815</v>
      </c>
      <c r="B399" s="668" t="s">
        <v>1816</v>
      </c>
      <c r="C399" s="568">
        <v>0</v>
      </c>
      <c r="D399" s="568">
        <v>119514.86</v>
      </c>
      <c r="E399" s="568">
        <v>122197.68</v>
      </c>
      <c r="F399" s="568">
        <v>129412.32</v>
      </c>
      <c r="G399" s="568">
        <v>95432.52</v>
      </c>
      <c r="H399" s="568">
        <f>VLOOKUP(A399,Ucto_HK_2021!$A$2:$D$929,4,FALSE)</f>
        <v>132365.43</v>
      </c>
      <c r="K399" s="568">
        <v>109815.01</v>
      </c>
    </row>
    <row r="400" spans="1:11" s="440" customFormat="1">
      <c r="A400" s="668" t="s">
        <v>1817</v>
      </c>
      <c r="B400" s="668" t="s">
        <v>1818</v>
      </c>
      <c r="C400" s="568">
        <v>0</v>
      </c>
      <c r="D400" s="568">
        <v>3516.37</v>
      </c>
      <c r="E400" s="568"/>
      <c r="F400" s="568"/>
      <c r="G400" s="568">
        <v>281.52</v>
      </c>
      <c r="H400" s="568">
        <f>VLOOKUP(A400,Ucto_HK_2021!$A$2:$D$929,4,FALSE)</f>
        <v>19385.599999999999</v>
      </c>
      <c r="K400" s="568">
        <v>15525.97</v>
      </c>
    </row>
    <row r="401" spans="1:11" s="440" customFormat="1">
      <c r="A401" s="668" t="s">
        <v>1819</v>
      </c>
      <c r="B401" s="668" t="s">
        <v>1820</v>
      </c>
      <c r="C401" s="568">
        <v>0</v>
      </c>
      <c r="D401" s="568">
        <v>4655.87</v>
      </c>
      <c r="E401" s="568"/>
      <c r="F401" s="568"/>
      <c r="G401" s="568">
        <v>681.73</v>
      </c>
      <c r="H401" s="568">
        <f>VLOOKUP(A401,Ucto_HK_2021!$A$2:$D$929,4,FALSE)</f>
        <v>7933.43</v>
      </c>
      <c r="K401" s="568">
        <v>7933.43</v>
      </c>
    </row>
    <row r="402" spans="1:11" s="440" customFormat="1">
      <c r="A402" s="668" t="s">
        <v>1821</v>
      </c>
      <c r="B402" s="668" t="s">
        <v>1822</v>
      </c>
      <c r="C402" s="568">
        <v>0</v>
      </c>
      <c r="D402" s="568">
        <v>58.19</v>
      </c>
      <c r="E402" s="568">
        <v>52.87</v>
      </c>
      <c r="F402" s="568">
        <v>62.78</v>
      </c>
      <c r="G402" s="568">
        <v>41.37</v>
      </c>
      <c r="H402" s="568">
        <f>VLOOKUP(A402,Ucto_HK_2021!$A$2:$D$929,4,FALSE)</f>
        <v>42.93</v>
      </c>
      <c r="K402" s="568">
        <v>42.4</v>
      </c>
    </row>
    <row r="403" spans="1:11" s="440" customFormat="1">
      <c r="A403" s="668" t="s">
        <v>1823</v>
      </c>
      <c r="B403" s="668" t="s">
        <v>1824</v>
      </c>
      <c r="C403" s="568">
        <v>0</v>
      </c>
      <c r="D403" s="568">
        <v>119312.81</v>
      </c>
      <c r="E403" s="568">
        <v>113995.08</v>
      </c>
      <c r="F403" s="568">
        <v>119090.06</v>
      </c>
      <c r="G403" s="568">
        <v>120516.59</v>
      </c>
      <c r="H403" s="568">
        <f>VLOOKUP(A403,Ucto_HK_2021!$A$2:$D$929,4,FALSE)</f>
        <v>163748.28</v>
      </c>
      <c r="K403" s="568">
        <v>133345.20000000001</v>
      </c>
    </row>
    <row r="404" spans="1:11" s="440" customFormat="1">
      <c r="A404" s="668" t="s">
        <v>1825</v>
      </c>
      <c r="B404" s="668" t="s">
        <v>1826</v>
      </c>
      <c r="C404" s="568">
        <v>0</v>
      </c>
      <c r="D404" s="568">
        <v>309690.31</v>
      </c>
      <c r="E404" s="568">
        <v>283819.31</v>
      </c>
      <c r="F404" s="568">
        <v>317140.49</v>
      </c>
      <c r="G404" s="568">
        <v>444884.27</v>
      </c>
      <c r="H404" s="568">
        <f>VLOOKUP(A404,Ucto_HK_2021!$A$2:$D$929,4,FALSE)</f>
        <v>440143.29</v>
      </c>
      <c r="K404" s="568">
        <v>342230.14</v>
      </c>
    </row>
    <row r="405" spans="1:11" s="440" customFormat="1">
      <c r="A405" s="668" t="s">
        <v>1827</v>
      </c>
      <c r="B405" s="668" t="s">
        <v>226</v>
      </c>
      <c r="C405" s="568">
        <v>0</v>
      </c>
      <c r="D405" s="568">
        <v>73613.009999999995</v>
      </c>
      <c r="E405" s="568">
        <v>71075.58</v>
      </c>
      <c r="F405" s="568">
        <v>81185.64</v>
      </c>
      <c r="G405" s="568">
        <v>82735.210000000006</v>
      </c>
      <c r="H405" s="568">
        <f>VLOOKUP(A405,Ucto_HK_2021!$A$2:$D$929,4,FALSE)</f>
        <v>87978.47</v>
      </c>
      <c r="K405" s="568">
        <v>69519.679999999993</v>
      </c>
    </row>
    <row r="406" spans="1:11" s="440" customFormat="1">
      <c r="A406" s="668" t="s">
        <v>1828</v>
      </c>
      <c r="B406" s="668" t="s">
        <v>1829</v>
      </c>
      <c r="C406" s="568">
        <v>0</v>
      </c>
      <c r="D406" s="568">
        <v>65783.44</v>
      </c>
      <c r="E406" s="568">
        <v>66988.710000000006</v>
      </c>
      <c r="F406" s="568">
        <v>54383.53</v>
      </c>
      <c r="G406" s="568">
        <v>60407.32</v>
      </c>
      <c r="H406" s="568">
        <f>VLOOKUP(A406,Ucto_HK_2021!$A$2:$D$929,4,FALSE)</f>
        <v>48012.56</v>
      </c>
      <c r="K406" s="568">
        <v>37284.82</v>
      </c>
    </row>
    <row r="407" spans="1:11" s="440" customFormat="1">
      <c r="A407" s="668" t="s">
        <v>1830</v>
      </c>
      <c r="B407" s="668" t="s">
        <v>1831</v>
      </c>
      <c r="C407" s="568">
        <v>0</v>
      </c>
      <c r="D407" s="568">
        <v>249.4</v>
      </c>
      <c r="E407" s="568">
        <v>66.55</v>
      </c>
      <c r="F407" s="568">
        <v>62.57</v>
      </c>
      <c r="G407" s="568">
        <v>23.5</v>
      </c>
      <c r="H407" s="568">
        <f>VLOOKUP(A407,Ucto_HK_2021!$A$2:$D$929,4,FALSE)</f>
        <v>85</v>
      </c>
      <c r="K407" s="568">
        <v>85</v>
      </c>
    </row>
    <row r="408" spans="1:11" s="440" customFormat="1">
      <c r="A408" s="668" t="s">
        <v>1832</v>
      </c>
      <c r="B408" s="668" t="s">
        <v>1833</v>
      </c>
      <c r="C408" s="568">
        <v>0</v>
      </c>
      <c r="D408" s="568">
        <v>856.25</v>
      </c>
      <c r="E408" s="568">
        <v>733.35</v>
      </c>
      <c r="F408" s="568">
        <v>750.34</v>
      </c>
      <c r="G408" s="568">
        <v>1010.35</v>
      </c>
      <c r="H408" s="568">
        <f>VLOOKUP(A408,Ucto_HK_2021!$A$2:$D$929,4,FALSE)</f>
        <v>852.94</v>
      </c>
      <c r="K408" s="568">
        <v>561.16999999999996</v>
      </c>
    </row>
    <row r="409" spans="1:11" s="440" customFormat="1">
      <c r="A409" s="668" t="s">
        <v>1834</v>
      </c>
      <c r="B409" s="668" t="s">
        <v>1835</v>
      </c>
      <c r="C409" s="568"/>
      <c r="D409" s="568"/>
      <c r="E409" s="568"/>
      <c r="F409" s="568"/>
      <c r="G409" s="568">
        <v>368.3</v>
      </c>
      <c r="H409" s="568">
        <f>VLOOKUP(A409,Ucto_HK_2021!$A$2:$D$929,4,FALSE)</f>
        <v>2046.76</v>
      </c>
      <c r="K409" s="568">
        <v>2046.76</v>
      </c>
    </row>
    <row r="410" spans="1:11" s="440" customFormat="1">
      <c r="A410" s="668" t="s">
        <v>1836</v>
      </c>
      <c r="B410" s="668" t="s">
        <v>1837</v>
      </c>
      <c r="C410" s="568"/>
      <c r="D410" s="568"/>
      <c r="E410" s="568"/>
      <c r="F410" s="568">
        <v>3449.42</v>
      </c>
      <c r="G410" s="568">
        <v>31572.720000000001</v>
      </c>
      <c r="H410" s="568">
        <f>VLOOKUP(A410,Ucto_HK_2021!$A$2:$D$929,4,FALSE)</f>
        <v>19389.12</v>
      </c>
      <c r="K410" s="568">
        <v>19325.52</v>
      </c>
    </row>
    <row r="411" spans="1:11" s="440" customFormat="1">
      <c r="A411" s="668" t="s">
        <v>1838</v>
      </c>
      <c r="B411" s="668" t="s">
        <v>1839</v>
      </c>
      <c r="C411" s="568"/>
      <c r="D411" s="568"/>
      <c r="E411" s="568"/>
      <c r="F411" s="568">
        <v>10126.790000000001</v>
      </c>
      <c r="G411" s="568">
        <v>11192.61</v>
      </c>
      <c r="H411" s="568">
        <f>VLOOKUP(A411,Ucto_HK_2021!$A$2:$D$929,4,FALSE)</f>
        <v>12928.81</v>
      </c>
      <c r="K411" s="568">
        <v>12223.28</v>
      </c>
    </row>
    <row r="412" spans="1:11" s="440" customFormat="1">
      <c r="A412" s="668" t="s">
        <v>1840</v>
      </c>
      <c r="B412" s="668" t="s">
        <v>1841</v>
      </c>
      <c r="C412" s="568"/>
      <c r="D412" s="568"/>
      <c r="E412" s="568"/>
      <c r="F412" s="568">
        <v>8217.98</v>
      </c>
      <c r="G412" s="568">
        <v>58294</v>
      </c>
      <c r="H412" s="568">
        <f>VLOOKUP(A412,Ucto_HK_2021!$A$2:$D$929,4,FALSE)</f>
        <v>59626.23</v>
      </c>
      <c r="K412" s="568">
        <v>35781.07</v>
      </c>
    </row>
    <row r="413" spans="1:11" s="440" customFormat="1">
      <c r="A413" s="668" t="s">
        <v>1842</v>
      </c>
      <c r="B413" s="668" t="s">
        <v>1843</v>
      </c>
      <c r="C413" s="568"/>
      <c r="D413" s="568"/>
      <c r="E413" s="568">
        <v>109.88</v>
      </c>
      <c r="F413" s="568">
        <v>1040084.94</v>
      </c>
      <c r="G413" s="568">
        <v>1281041.8999999999</v>
      </c>
      <c r="H413" s="568">
        <f>VLOOKUP(A413,Ucto_HK_2021!$A$2:$D$929,4,FALSE)</f>
        <v>1410710.52</v>
      </c>
      <c r="K413" s="568">
        <v>1146483.57</v>
      </c>
    </row>
    <row r="414" spans="1:11" s="440" customFormat="1">
      <c r="A414" s="668" t="s">
        <v>1844</v>
      </c>
      <c r="B414" s="668" t="s">
        <v>1845</v>
      </c>
      <c r="C414" s="568">
        <v>0</v>
      </c>
      <c r="D414" s="568">
        <v>41803.360000000001</v>
      </c>
      <c r="E414" s="568">
        <v>27870.9</v>
      </c>
      <c r="F414" s="568">
        <v>28487.599999999999</v>
      </c>
      <c r="G414" s="568">
        <v>49513.01</v>
      </c>
      <c r="H414" s="568">
        <f>VLOOKUP(A414,Ucto_HK_2021!$A$2:$D$929,4,FALSE)</f>
        <v>79133.16</v>
      </c>
      <c r="K414" s="568">
        <v>58074.78</v>
      </c>
    </row>
    <row r="415" spans="1:11" s="440" customFormat="1">
      <c r="A415" s="668" t="s">
        <v>1846</v>
      </c>
      <c r="B415" s="668" t="s">
        <v>1847</v>
      </c>
      <c r="C415" s="568">
        <v>0</v>
      </c>
      <c r="D415" s="568">
        <v>1355634.43</v>
      </c>
      <c r="E415" s="568">
        <v>1406014.59</v>
      </c>
      <c r="F415" s="568">
        <v>662946.22</v>
      </c>
      <c r="G415" s="568">
        <v>456925.93</v>
      </c>
      <c r="H415" s="568">
        <f>VLOOKUP(A415,Ucto_HK_2021!$A$2:$D$929,4,FALSE)</f>
        <v>610442.29</v>
      </c>
      <c r="K415" s="568">
        <v>448115.23</v>
      </c>
    </row>
    <row r="416" spans="1:11" s="440" customFormat="1">
      <c r="A416" s="668" t="s">
        <v>1848</v>
      </c>
      <c r="B416" s="668" t="s">
        <v>1849</v>
      </c>
      <c r="C416" s="568"/>
      <c r="D416" s="568"/>
      <c r="E416" s="568"/>
      <c r="F416" s="568">
        <v>395048.01</v>
      </c>
      <c r="G416" s="568">
        <v>347346.46</v>
      </c>
      <c r="H416" s="568">
        <f>VLOOKUP(A416,Ucto_HK_2021!$A$2:$D$929,4,FALSE)</f>
        <v>113713.75</v>
      </c>
      <c r="K416" s="568">
        <v>95596.9</v>
      </c>
    </row>
    <row r="417" spans="1:11" s="440" customFormat="1">
      <c r="A417" s="668" t="s">
        <v>1850</v>
      </c>
      <c r="B417" s="668" t="s">
        <v>1851</v>
      </c>
      <c r="C417" s="568">
        <v>0</v>
      </c>
      <c r="D417" s="568">
        <v>353103.17</v>
      </c>
      <c r="E417" s="568">
        <v>411319.76</v>
      </c>
      <c r="F417" s="568">
        <v>30785.48</v>
      </c>
      <c r="G417" s="568">
        <v>50495.87</v>
      </c>
      <c r="H417" s="568">
        <f>VLOOKUP(A417,Ucto_HK_2021!$A$2:$D$929,4,FALSE)</f>
        <v>46999.29</v>
      </c>
      <c r="K417" s="568">
        <v>43337.18</v>
      </c>
    </row>
    <row r="418" spans="1:11" s="440" customFormat="1">
      <c r="A418" s="668" t="s">
        <v>1852</v>
      </c>
      <c r="B418" s="668" t="s">
        <v>1853</v>
      </c>
      <c r="C418" s="568">
        <v>0</v>
      </c>
      <c r="D418" s="568">
        <v>47926.42</v>
      </c>
      <c r="E418" s="568">
        <v>22342.45</v>
      </c>
      <c r="F418" s="568">
        <v>57126.17</v>
      </c>
      <c r="G418" s="568">
        <v>189348.48000000001</v>
      </c>
      <c r="H418" s="568">
        <f>VLOOKUP(A418,Ucto_HK_2021!$A$2:$D$929,4,FALSE)</f>
        <v>418700.66</v>
      </c>
      <c r="K418" s="568">
        <v>364946.73</v>
      </c>
    </row>
    <row r="419" spans="1:11" s="440" customFormat="1">
      <c r="A419" s="668" t="s">
        <v>1854</v>
      </c>
      <c r="B419" s="668" t="s">
        <v>1855</v>
      </c>
      <c r="C419" s="568">
        <v>0</v>
      </c>
      <c r="D419" s="568">
        <v>25265.55</v>
      </c>
      <c r="E419" s="568">
        <v>60736.09</v>
      </c>
      <c r="F419" s="568">
        <v>154822.66</v>
      </c>
      <c r="G419" s="568">
        <v>122439.27</v>
      </c>
      <c r="H419" s="568">
        <f>VLOOKUP(A419,Ucto_HK_2021!$A$2:$D$929,4,FALSE)</f>
        <v>99385.25</v>
      </c>
      <c r="K419" s="568">
        <v>97164.54</v>
      </c>
    </row>
    <row r="420" spans="1:11" s="440" customFormat="1">
      <c r="A420" s="668" t="s">
        <v>1856</v>
      </c>
      <c r="B420" s="668" t="s">
        <v>1857</v>
      </c>
      <c r="C420" s="568">
        <v>0</v>
      </c>
      <c r="D420" s="568">
        <v>284.73</v>
      </c>
      <c r="E420" s="568">
        <v>285.22000000000003</v>
      </c>
      <c r="F420" s="568">
        <v>3390</v>
      </c>
      <c r="G420" s="568">
        <v>8511.83</v>
      </c>
      <c r="H420" s="568">
        <f>VLOOKUP(A420,Ucto_HK_2021!$A$2:$D$929,4,FALSE)</f>
        <v>13934.79</v>
      </c>
      <c r="K420" s="568">
        <v>11442.96</v>
      </c>
    </row>
    <row r="421" spans="1:11" s="440" customFormat="1">
      <c r="A421" s="668" t="s">
        <v>1858</v>
      </c>
      <c r="B421" s="668" t="s">
        <v>1859</v>
      </c>
      <c r="C421" s="568">
        <v>0</v>
      </c>
      <c r="D421" s="568">
        <v>6446.74</v>
      </c>
      <c r="E421" s="568">
        <v>4121.2</v>
      </c>
      <c r="F421" s="568">
        <v>3723.52</v>
      </c>
      <c r="G421" s="568">
        <v>7970.82</v>
      </c>
      <c r="H421" s="568">
        <f>VLOOKUP(A421,Ucto_HK_2021!$A$2:$D$929,4,FALSE)</f>
        <v>4618.8900000000003</v>
      </c>
      <c r="K421" s="568">
        <v>3818.67</v>
      </c>
    </row>
    <row r="422" spans="1:11" s="440" customFormat="1">
      <c r="A422" s="668" t="s">
        <v>1860</v>
      </c>
      <c r="B422" s="668" t="s">
        <v>1861</v>
      </c>
      <c r="C422" s="568">
        <v>0</v>
      </c>
      <c r="D422" s="568">
        <v>16571.07</v>
      </c>
      <c r="E422" s="568">
        <v>24708.97</v>
      </c>
      <c r="F422" s="568">
        <v>18401.240000000002</v>
      </c>
      <c r="G422" s="568">
        <v>44080.86</v>
      </c>
      <c r="H422" s="568">
        <f>VLOOKUP(A422,Ucto_HK_2021!$A$2:$D$929,4,FALSE)</f>
        <v>59842.59</v>
      </c>
      <c r="K422" s="568">
        <v>58486.59</v>
      </c>
    </row>
    <row r="423" spans="1:11" s="440" customFormat="1">
      <c r="A423" s="668" t="s">
        <v>1862</v>
      </c>
      <c r="B423" s="668" t="s">
        <v>1863</v>
      </c>
      <c r="C423" s="568"/>
      <c r="D423" s="568"/>
      <c r="E423" s="568"/>
      <c r="F423" s="568">
        <v>1372.39</v>
      </c>
      <c r="G423" s="568">
        <v>1886.75</v>
      </c>
      <c r="H423" s="568">
        <f>VLOOKUP(A423,Ucto_HK_2021!$A$2:$D$929,4,FALSE)</f>
        <v>2161.9299999999998</v>
      </c>
      <c r="K423" s="568">
        <v>2161.9299999999998</v>
      </c>
    </row>
    <row r="424" spans="1:11" s="440" customFormat="1">
      <c r="A424" s="668" t="s">
        <v>1864</v>
      </c>
      <c r="B424" s="668" t="s">
        <v>1865</v>
      </c>
      <c r="C424" s="568"/>
      <c r="D424" s="568"/>
      <c r="E424" s="568"/>
      <c r="F424" s="568">
        <v>448901.66</v>
      </c>
      <c r="G424" s="568">
        <v>357255.79</v>
      </c>
      <c r="H424" s="568">
        <f>VLOOKUP(A424,Ucto_HK_2021!$A$2:$D$929,4,FALSE)</f>
        <v>384861.92</v>
      </c>
      <c r="K424" s="568">
        <v>350399.33</v>
      </c>
    </row>
    <row r="425" spans="1:11" s="440" customFormat="1">
      <c r="A425" s="668" t="s">
        <v>1866</v>
      </c>
      <c r="B425" s="668" t="s">
        <v>1867</v>
      </c>
      <c r="C425" s="568">
        <v>0</v>
      </c>
      <c r="D425" s="568">
        <v>15.49</v>
      </c>
      <c r="E425" s="568">
        <v>30.56</v>
      </c>
      <c r="F425" s="568">
        <v>32.6</v>
      </c>
      <c r="G425" s="568">
        <v>297.63</v>
      </c>
      <c r="H425" s="568"/>
      <c r="K425" s="568"/>
    </row>
    <row r="426" spans="1:11" s="440" customFormat="1">
      <c r="A426" s="668" t="s">
        <v>1868</v>
      </c>
      <c r="B426" s="668" t="s">
        <v>1869</v>
      </c>
      <c r="C426" s="568">
        <v>0</v>
      </c>
      <c r="D426" s="568">
        <v>9035.5400000000009</v>
      </c>
      <c r="E426" s="568">
        <v>8954.4699999999993</v>
      </c>
      <c r="F426" s="568">
        <v>10388.120000000001</v>
      </c>
      <c r="G426" s="568">
        <v>8737.2999999999993</v>
      </c>
      <c r="H426" s="568">
        <f>VLOOKUP(A426,Ucto_HK_2021!$A$2:$D$929,4,FALSE)</f>
        <v>10697.03</v>
      </c>
      <c r="K426" s="568">
        <v>8486.26</v>
      </c>
    </row>
    <row r="427" spans="1:11" s="440" customFormat="1">
      <c r="A427" s="668" t="s">
        <v>1870</v>
      </c>
      <c r="B427" s="668" t="s">
        <v>1871</v>
      </c>
      <c r="C427" s="568">
        <v>0</v>
      </c>
      <c r="D427" s="568">
        <v>15561.58</v>
      </c>
      <c r="E427" s="568">
        <v>17489.48</v>
      </c>
      <c r="F427" s="568">
        <v>17398.73</v>
      </c>
      <c r="G427" s="568">
        <v>16025.81</v>
      </c>
      <c r="H427" s="568">
        <f>VLOOKUP(A427,Ucto_HK_2021!$A$2:$D$929,4,FALSE)</f>
        <v>16526.39</v>
      </c>
      <c r="K427" s="568">
        <v>13379.1</v>
      </c>
    </row>
    <row r="428" spans="1:11" s="440" customFormat="1">
      <c r="A428" s="668" t="s">
        <v>1872</v>
      </c>
      <c r="B428" s="668" t="s">
        <v>1873</v>
      </c>
      <c r="C428" s="568">
        <v>0</v>
      </c>
      <c r="D428" s="568">
        <v>808.19</v>
      </c>
      <c r="E428" s="568">
        <v>1163.26</v>
      </c>
      <c r="F428" s="568">
        <v>1163.6300000000001</v>
      </c>
      <c r="G428" s="568">
        <v>1207.3399999999999</v>
      </c>
      <c r="H428" s="568">
        <f>VLOOKUP(A428,Ucto_HK_2021!$A$2:$D$929,4,FALSE)</f>
        <v>1573.37</v>
      </c>
      <c r="K428" s="568">
        <v>1424.51</v>
      </c>
    </row>
    <row r="429" spans="1:11" s="440" customFormat="1">
      <c r="A429" s="668" t="s">
        <v>1874</v>
      </c>
      <c r="B429" s="668" t="s">
        <v>1875</v>
      </c>
      <c r="C429" s="568">
        <v>0</v>
      </c>
      <c r="D429" s="568">
        <v>261.25</v>
      </c>
      <c r="E429" s="568">
        <v>309.7</v>
      </c>
      <c r="F429" s="568">
        <v>104.65</v>
      </c>
      <c r="G429" s="568">
        <v>50.13</v>
      </c>
      <c r="H429" s="568">
        <f>VLOOKUP(A429,Ucto_HK_2021!$A$2:$D$929,4,FALSE)</f>
        <v>268.8</v>
      </c>
      <c r="K429" s="568">
        <v>133.44</v>
      </c>
    </row>
    <row r="430" spans="1:11" s="440" customFormat="1">
      <c r="A430" s="668" t="s">
        <v>1876</v>
      </c>
      <c r="B430" s="668" t="s">
        <v>1877</v>
      </c>
      <c r="C430" s="568"/>
      <c r="D430" s="568"/>
      <c r="E430" s="568"/>
      <c r="F430" s="568"/>
      <c r="G430" s="568">
        <v>8668.16</v>
      </c>
      <c r="H430" s="568">
        <f>VLOOKUP(A430,Ucto_HK_2021!$A$2:$D$929,4,FALSE)</f>
        <v>13752.13</v>
      </c>
      <c r="K430" s="568">
        <v>11323</v>
      </c>
    </row>
    <row r="431" spans="1:11" s="440" customFormat="1">
      <c r="A431" s="668" t="s">
        <v>1878</v>
      </c>
      <c r="B431" s="668" t="s">
        <v>1879</v>
      </c>
      <c r="C431" s="568">
        <v>0</v>
      </c>
      <c r="D431" s="568">
        <v>544.15</v>
      </c>
      <c r="E431" s="568">
        <v>564.82000000000005</v>
      </c>
      <c r="F431" s="568">
        <v>469.98</v>
      </c>
      <c r="G431" s="568">
        <v>1105.72</v>
      </c>
      <c r="H431" s="568">
        <f>VLOOKUP(A431,Ucto_HK_2021!$A$2:$D$929,4,FALSE)</f>
        <v>76.400000000000006</v>
      </c>
      <c r="K431" s="568">
        <v>76.400000000000006</v>
      </c>
    </row>
    <row r="432" spans="1:11" s="440" customFormat="1">
      <c r="A432" s="668" t="s">
        <v>1880</v>
      </c>
      <c r="B432" s="668" t="s">
        <v>1881</v>
      </c>
      <c r="C432" s="568">
        <v>0</v>
      </c>
      <c r="D432" s="568">
        <v>199505.25</v>
      </c>
      <c r="E432" s="568">
        <v>208255.53</v>
      </c>
      <c r="F432" s="568">
        <v>208059.5</v>
      </c>
      <c r="G432" s="568">
        <v>67086.320000000007</v>
      </c>
      <c r="H432" s="568">
        <f>VLOOKUP(A432,Ucto_HK_2021!$A$2:$D$929,4,FALSE)</f>
        <v>79960.42</v>
      </c>
      <c r="K432" s="568">
        <v>65946.95</v>
      </c>
    </row>
    <row r="433" spans="1:11" s="440" customFormat="1">
      <c r="A433" s="668" t="s">
        <v>1882</v>
      </c>
      <c r="B433" s="668" t="s">
        <v>1883</v>
      </c>
      <c r="C433" s="568">
        <v>0</v>
      </c>
      <c r="D433" s="568">
        <v>5189.07</v>
      </c>
      <c r="E433" s="568">
        <v>2695.1</v>
      </c>
      <c r="F433" s="568">
        <v>3321.73</v>
      </c>
      <c r="G433" s="568">
        <v>3141.34</v>
      </c>
      <c r="H433" s="568">
        <f>VLOOKUP(A433,Ucto_HK_2021!$A$2:$D$929,4,FALSE)</f>
        <v>9395.74</v>
      </c>
      <c r="K433" s="568">
        <v>8912.4699999999993</v>
      </c>
    </row>
    <row r="434" spans="1:11" s="440" customFormat="1">
      <c r="A434" s="668" t="s">
        <v>1884</v>
      </c>
      <c r="B434" s="668" t="s">
        <v>1885</v>
      </c>
      <c r="C434" s="568">
        <v>0</v>
      </c>
      <c r="D434" s="568">
        <v>2240.21</v>
      </c>
      <c r="E434" s="568">
        <v>1936.46</v>
      </c>
      <c r="F434" s="568">
        <v>1829.8</v>
      </c>
      <c r="G434" s="568">
        <v>2384.11</v>
      </c>
      <c r="H434" s="568">
        <f>VLOOKUP(A434,Ucto_HK_2021!$A$2:$D$929,4,FALSE)</f>
        <v>1612.47</v>
      </c>
      <c r="K434" s="568">
        <v>185.81</v>
      </c>
    </row>
    <row r="435" spans="1:11" s="440" customFormat="1">
      <c r="A435" s="668" t="s">
        <v>1886</v>
      </c>
      <c r="B435" s="668" t="s">
        <v>1887</v>
      </c>
      <c r="C435" s="568">
        <v>0</v>
      </c>
      <c r="D435" s="568">
        <v>3.34</v>
      </c>
      <c r="E435" s="568">
        <v>108.96</v>
      </c>
      <c r="F435" s="568">
        <v>15117.33</v>
      </c>
      <c r="G435" s="568">
        <v>5870.77</v>
      </c>
      <c r="H435" s="568">
        <f>VLOOKUP(A435,Ucto_HK_2021!$A$2:$D$929,4,FALSE)</f>
        <v>29064.23</v>
      </c>
      <c r="K435" s="568">
        <v>966.59</v>
      </c>
    </row>
    <row r="436" spans="1:11" s="440" customFormat="1">
      <c r="A436" s="668" t="s">
        <v>2659</v>
      </c>
      <c r="B436" s="668" t="s">
        <v>2660</v>
      </c>
      <c r="C436" s="568">
        <v>0</v>
      </c>
      <c r="D436" s="568">
        <v>1705.03</v>
      </c>
      <c r="E436" s="568">
        <v>686.07</v>
      </c>
      <c r="F436" s="568">
        <v>1445.84</v>
      </c>
      <c r="G436" s="568"/>
      <c r="H436" s="568"/>
      <c r="K436" s="568"/>
    </row>
    <row r="437" spans="1:11" s="440" customFormat="1">
      <c r="A437" s="668" t="s">
        <v>803</v>
      </c>
      <c r="C437" s="568">
        <v>0</v>
      </c>
      <c r="D437" s="568">
        <v>33264962.09</v>
      </c>
      <c r="E437" s="568">
        <v>35677081.57</v>
      </c>
      <c r="F437" s="568">
        <v>42450438.130000003</v>
      </c>
      <c r="G437" s="568">
        <v>44265220.420000002</v>
      </c>
      <c r="H437" s="568">
        <f>VLOOKUP(A437,Ucto_HK_2021!$A$2:$D$929,4,FALSE)</f>
        <v>52289414.030000001</v>
      </c>
      <c r="K437" s="568">
        <v>44741909.18</v>
      </c>
    </row>
    <row r="438" spans="1:11" s="440" customFormat="1">
      <c r="A438" s="668" t="s">
        <v>1888</v>
      </c>
      <c r="B438" s="668" t="s">
        <v>1889</v>
      </c>
      <c r="C438" s="568">
        <v>0</v>
      </c>
      <c r="D438" s="568">
        <v>1184459.33</v>
      </c>
      <c r="E438" s="568">
        <v>1312777.31</v>
      </c>
      <c r="F438" s="568">
        <v>1464428.82</v>
      </c>
      <c r="G438" s="568">
        <v>2326585.79</v>
      </c>
      <c r="H438" s="568">
        <f>VLOOKUP(A438,Ucto_HK_2021!$A$2:$D$929,4,FALSE)</f>
        <v>1269574.6200000001</v>
      </c>
      <c r="K438" s="568">
        <v>1061691.76</v>
      </c>
    </row>
    <row r="439" spans="1:11" s="440" customFormat="1">
      <c r="A439" s="668" t="s">
        <v>1890</v>
      </c>
      <c r="B439" s="668" t="s">
        <v>1891</v>
      </c>
      <c r="C439" s="568">
        <v>0</v>
      </c>
      <c r="D439" s="568">
        <v>1062339.78</v>
      </c>
      <c r="E439" s="568">
        <v>1121084.69</v>
      </c>
      <c r="F439" s="568">
        <v>1355497.51</v>
      </c>
      <c r="G439" s="568">
        <v>1269677.05</v>
      </c>
      <c r="H439" s="568">
        <f>VLOOKUP(A439,Ucto_HK_2021!$A$2:$D$929,4,FALSE)</f>
        <v>740398.32</v>
      </c>
      <c r="K439" s="568">
        <v>594610.52</v>
      </c>
    </row>
    <row r="440" spans="1:11" s="440" customFormat="1">
      <c r="A440" s="668" t="s">
        <v>1892</v>
      </c>
      <c r="B440" s="668" t="s">
        <v>1893</v>
      </c>
      <c r="C440" s="568">
        <v>0</v>
      </c>
      <c r="D440" s="568">
        <v>396538.63</v>
      </c>
      <c r="E440" s="568">
        <v>403986.01</v>
      </c>
      <c r="F440" s="568">
        <v>360086.99</v>
      </c>
      <c r="G440" s="568">
        <v>332939.69</v>
      </c>
      <c r="H440" s="568">
        <f>VLOOKUP(A440,Ucto_HK_2021!$A$2:$D$929,4,FALSE)</f>
        <v>338659</v>
      </c>
      <c r="K440" s="568">
        <v>277573.46000000002</v>
      </c>
    </row>
    <row r="441" spans="1:11" s="440" customFormat="1">
      <c r="A441" s="668" t="s">
        <v>1894</v>
      </c>
      <c r="B441" s="668" t="s">
        <v>1895</v>
      </c>
      <c r="C441" s="568">
        <v>0</v>
      </c>
      <c r="D441" s="568">
        <v>1166584.6100000001</v>
      </c>
      <c r="E441" s="568">
        <v>1245159.94</v>
      </c>
      <c r="F441" s="568">
        <v>1394381.36</v>
      </c>
      <c r="G441" s="568">
        <v>1476260.38</v>
      </c>
      <c r="H441" s="568">
        <f>VLOOKUP(A441,Ucto_HK_2021!$A$2:$D$929,4,FALSE)</f>
        <v>1696497.97</v>
      </c>
      <c r="K441" s="568">
        <v>1226045.8400000001</v>
      </c>
    </row>
    <row r="442" spans="1:11" s="440" customFormat="1">
      <c r="A442" s="668" t="s">
        <v>1896</v>
      </c>
      <c r="B442" s="668" t="s">
        <v>1897</v>
      </c>
      <c r="C442" s="568">
        <v>0</v>
      </c>
      <c r="D442" s="568">
        <v>39066.230000000003</v>
      </c>
      <c r="E442" s="568">
        <v>18259.939999999999</v>
      </c>
      <c r="F442" s="568">
        <v>25873.59</v>
      </c>
      <c r="G442" s="568">
        <v>3231.85</v>
      </c>
      <c r="H442" s="568">
        <f>VLOOKUP(A442,Ucto_HK_2021!$A$2:$D$929,4,FALSE)</f>
        <v>3990.13</v>
      </c>
      <c r="K442" s="568">
        <v>3348.74</v>
      </c>
    </row>
    <row r="443" spans="1:11" s="440" customFormat="1">
      <c r="A443" s="668" t="s">
        <v>1898</v>
      </c>
      <c r="B443" s="668" t="s">
        <v>1899</v>
      </c>
      <c r="C443" s="568">
        <v>0</v>
      </c>
      <c r="D443" s="568">
        <v>41874.49</v>
      </c>
      <c r="E443" s="568">
        <v>26705.4</v>
      </c>
      <c r="F443" s="568">
        <v>29709.71</v>
      </c>
      <c r="G443" s="568">
        <v>14261.11</v>
      </c>
      <c r="H443" s="568">
        <f>VLOOKUP(A443,Ucto_HK_2021!$A$2:$D$929,4,FALSE)</f>
        <v>7158</v>
      </c>
      <c r="K443" s="568">
        <v>5746.08</v>
      </c>
    </row>
    <row r="444" spans="1:11" s="440" customFormat="1">
      <c r="A444" s="668" t="s">
        <v>1900</v>
      </c>
      <c r="B444" s="668" t="s">
        <v>1901</v>
      </c>
      <c r="C444" s="568">
        <v>0</v>
      </c>
      <c r="D444" s="568">
        <v>15119.01</v>
      </c>
      <c r="E444" s="568">
        <v>13630.23</v>
      </c>
      <c r="F444" s="568">
        <v>12989.82</v>
      </c>
      <c r="G444" s="568">
        <v>11707.63</v>
      </c>
      <c r="H444" s="568">
        <f>VLOOKUP(A444,Ucto_HK_2021!$A$2:$D$929,4,FALSE)</f>
        <v>12480.4</v>
      </c>
      <c r="K444" s="568">
        <v>10056.77</v>
      </c>
    </row>
    <row r="445" spans="1:11" s="440" customFormat="1">
      <c r="A445" s="668" t="s">
        <v>1902</v>
      </c>
      <c r="B445" s="668" t="s">
        <v>1903</v>
      </c>
      <c r="C445" s="568">
        <v>0</v>
      </c>
      <c r="D445" s="568">
        <v>29929</v>
      </c>
      <c r="E445" s="568">
        <v>18926.93</v>
      </c>
      <c r="F445" s="568">
        <v>17887.84</v>
      </c>
      <c r="G445" s="568">
        <v>5410.9</v>
      </c>
      <c r="H445" s="568">
        <f>VLOOKUP(A445,Ucto_HK_2021!$A$2:$D$929,4,FALSE)</f>
        <v>7439.66</v>
      </c>
      <c r="K445" s="568">
        <v>5310.13</v>
      </c>
    </row>
    <row r="446" spans="1:11" s="440" customFormat="1">
      <c r="A446" s="668" t="s">
        <v>804</v>
      </c>
      <c r="C446" s="568">
        <v>0</v>
      </c>
      <c r="D446" s="568">
        <v>3935911.08</v>
      </c>
      <c r="E446" s="568">
        <v>4160530.45</v>
      </c>
      <c r="F446" s="568">
        <v>4660855.6399999997</v>
      </c>
      <c r="G446" s="568">
        <v>5440074.4000000004</v>
      </c>
      <c r="H446" s="568">
        <f>VLOOKUP(A446,Ucto_HK_2021!$A$2:$D$929,4,FALSE)</f>
        <v>4076198.1</v>
      </c>
      <c r="K446" s="568">
        <v>3184383.3</v>
      </c>
    </row>
    <row r="447" spans="1:11" s="440" customFormat="1">
      <c r="A447" s="668" t="s">
        <v>2661</v>
      </c>
      <c r="B447" s="668" t="s">
        <v>2662</v>
      </c>
      <c r="C447" s="568"/>
      <c r="D447" s="568"/>
      <c r="E447" s="568"/>
      <c r="F447" s="568">
        <v>162991.97</v>
      </c>
      <c r="G447" s="568"/>
      <c r="H447" s="568"/>
      <c r="K447" s="568"/>
    </row>
    <row r="448" spans="1:11" s="440" customFormat="1">
      <c r="A448" s="668" t="s">
        <v>1904</v>
      </c>
      <c r="B448" s="668" t="s">
        <v>1905</v>
      </c>
      <c r="C448" s="568"/>
      <c r="D448" s="568"/>
      <c r="E448" s="568"/>
      <c r="F448" s="568"/>
      <c r="G448" s="568">
        <v>2006296.58</v>
      </c>
      <c r="H448" s="568">
        <f>VLOOKUP(A448,Ucto_HK_2021!$A$2:$D$929,4,FALSE)</f>
        <v>2709305.78</v>
      </c>
      <c r="K448" s="568">
        <v>2087829.95</v>
      </c>
    </row>
    <row r="449" spans="1:11" s="440" customFormat="1">
      <c r="A449" s="668" t="s">
        <v>1906</v>
      </c>
      <c r="B449" s="668" t="s">
        <v>1907</v>
      </c>
      <c r="C449" s="568"/>
      <c r="D449" s="568"/>
      <c r="E449" s="568"/>
      <c r="F449" s="568"/>
      <c r="G449" s="568">
        <v>47191.65</v>
      </c>
      <c r="H449" s="568">
        <f>VLOOKUP(A449,Ucto_HK_2021!$A$2:$D$929,4,FALSE)</f>
        <v>57746.46</v>
      </c>
      <c r="K449" s="568">
        <v>45824.74</v>
      </c>
    </row>
    <row r="450" spans="1:11" s="440" customFormat="1">
      <c r="A450" s="668" t="s">
        <v>1908</v>
      </c>
      <c r="B450" s="668" t="s">
        <v>1909</v>
      </c>
      <c r="C450" s="568"/>
      <c r="D450" s="568"/>
      <c r="E450" s="568"/>
      <c r="F450" s="568"/>
      <c r="G450" s="568">
        <v>84698.55</v>
      </c>
      <c r="H450" s="568">
        <f>VLOOKUP(A450,Ucto_HK_2021!$A$2:$D$929,4,FALSE)</f>
        <v>108224.23</v>
      </c>
      <c r="K450" s="568">
        <v>84203.520000000004</v>
      </c>
    </row>
    <row r="451" spans="1:11" s="440" customFormat="1">
      <c r="A451" s="668" t="s">
        <v>1910</v>
      </c>
      <c r="C451" s="568"/>
      <c r="D451" s="568"/>
      <c r="E451" s="568"/>
      <c r="F451" s="568">
        <v>162991.97</v>
      </c>
      <c r="G451" s="568">
        <v>2138186.7799999998</v>
      </c>
      <c r="H451" s="568">
        <f>VLOOKUP(A451,Ucto_HK_2021!$A$2:$D$929,4,FALSE)</f>
        <v>2875276.47</v>
      </c>
      <c r="K451" s="568">
        <v>2217858.21</v>
      </c>
    </row>
    <row r="452" spans="1:11" s="440" customFormat="1">
      <c r="A452" s="670" t="s">
        <v>1911</v>
      </c>
      <c r="C452" s="671">
        <v>0</v>
      </c>
      <c r="D452" s="671">
        <v>37200873.170000002</v>
      </c>
      <c r="E452" s="568">
        <v>39837612.020000003</v>
      </c>
      <c r="F452" s="568">
        <v>47274285.740000002</v>
      </c>
      <c r="G452" s="568">
        <v>51843481.600000001</v>
      </c>
      <c r="H452" s="568">
        <f>VLOOKUP(A452,Ucto_HK_2021!$A$2:$D$929,4,FALSE)</f>
        <v>59240888.600000001</v>
      </c>
      <c r="K452" s="568">
        <v>50144150.689999998</v>
      </c>
    </row>
    <row r="453" spans="1:11" s="440" customFormat="1">
      <c r="A453" s="668" t="s">
        <v>1912</v>
      </c>
      <c r="B453" s="668" t="s">
        <v>1913</v>
      </c>
      <c r="C453" s="568">
        <v>0</v>
      </c>
      <c r="D453" s="568">
        <v>1211677.03</v>
      </c>
      <c r="E453" s="568">
        <v>1210845.75</v>
      </c>
      <c r="F453" s="568">
        <v>1186640.3999999999</v>
      </c>
      <c r="G453" s="568">
        <v>1283909.18</v>
      </c>
      <c r="H453" s="568">
        <f>VLOOKUP(A453,Ucto_HK_2021!$A$2:$D$929,4,FALSE)</f>
        <v>952677.78</v>
      </c>
      <c r="K453" s="568">
        <v>805209.68</v>
      </c>
    </row>
    <row r="454" spans="1:11" s="440" customFormat="1">
      <c r="A454" s="668" t="s">
        <v>1914</v>
      </c>
      <c r="B454" s="668" t="s">
        <v>1915</v>
      </c>
      <c r="C454" s="568">
        <v>0</v>
      </c>
      <c r="D454" s="568">
        <v>122060.98</v>
      </c>
      <c r="E454" s="568">
        <v>148509.38</v>
      </c>
      <c r="F454" s="568">
        <v>266124.12</v>
      </c>
      <c r="G454" s="568">
        <v>359133.48</v>
      </c>
      <c r="H454" s="568">
        <f>VLOOKUP(A454,Ucto_HK_2021!$A$2:$D$929,4,FALSE)</f>
        <v>386387.5</v>
      </c>
      <c r="K454" s="568">
        <v>320061.17</v>
      </c>
    </row>
    <row r="455" spans="1:11" s="440" customFormat="1">
      <c r="A455" s="668" t="s">
        <v>1916</v>
      </c>
      <c r="B455" s="668" t="s">
        <v>1917</v>
      </c>
      <c r="C455" s="568">
        <v>0</v>
      </c>
      <c r="D455" s="568">
        <v>23502.49</v>
      </c>
      <c r="E455" s="568">
        <v>105465.34</v>
      </c>
      <c r="F455" s="568">
        <v>399710.13</v>
      </c>
      <c r="G455" s="568">
        <v>105171.94</v>
      </c>
      <c r="H455" s="568">
        <f>VLOOKUP(A455,Ucto_HK_2021!$A$2:$D$929,4,FALSE)</f>
        <v>296231.32</v>
      </c>
      <c r="K455" s="568">
        <v>217920.02</v>
      </c>
    </row>
    <row r="456" spans="1:11" s="440" customFormat="1">
      <c r="A456" s="668" t="s">
        <v>1918</v>
      </c>
      <c r="B456" s="668" t="s">
        <v>1919</v>
      </c>
      <c r="C456" s="568">
        <v>0</v>
      </c>
      <c r="D456" s="568">
        <v>74681.490000000005</v>
      </c>
      <c r="E456" s="568">
        <v>93282.2</v>
      </c>
      <c r="F456" s="568">
        <v>125474.37</v>
      </c>
      <c r="G456" s="568">
        <v>107365.04</v>
      </c>
      <c r="H456" s="568">
        <f>VLOOKUP(A456,Ucto_HK_2021!$A$2:$D$929,4,FALSE)</f>
        <v>186982.85</v>
      </c>
      <c r="K456" s="568">
        <v>151977.47</v>
      </c>
    </row>
    <row r="457" spans="1:11" s="440" customFormat="1">
      <c r="A457" s="668" t="s">
        <v>2709</v>
      </c>
      <c r="B457" s="668" t="s">
        <v>2710</v>
      </c>
      <c r="C457" s="568">
        <v>0</v>
      </c>
      <c r="D457" s="568">
        <v>10278.469999999999</v>
      </c>
      <c r="E457" s="568">
        <v>625.74</v>
      </c>
      <c r="F457" s="568"/>
      <c r="G457" s="568"/>
      <c r="H457" s="568">
        <f>VLOOKUP(A457,Ucto_HK_2021!$A$2:$D$929,4,FALSE)</f>
        <v>41569.9</v>
      </c>
      <c r="K457" s="568">
        <v>21187.439999999999</v>
      </c>
    </row>
    <row r="458" spans="1:11" s="440" customFormat="1">
      <c r="A458" s="668" t="s">
        <v>1920</v>
      </c>
      <c r="B458" s="668" t="s">
        <v>1921</v>
      </c>
      <c r="C458" s="568">
        <v>0</v>
      </c>
      <c r="D458" s="568">
        <v>26620.71</v>
      </c>
      <c r="E458" s="568">
        <v>44254.73</v>
      </c>
      <c r="F458" s="568">
        <v>24337.439999999999</v>
      </c>
      <c r="G458" s="568">
        <v>33622.949999999997</v>
      </c>
      <c r="H458" s="568">
        <f>VLOOKUP(A458,Ucto_HK_2021!$A$2:$D$929,4,FALSE)</f>
        <v>98976.61</v>
      </c>
      <c r="K458" s="568">
        <v>31069.15</v>
      </c>
    </row>
    <row r="459" spans="1:11" s="440" customFormat="1">
      <c r="A459" s="668" t="s">
        <v>1922</v>
      </c>
      <c r="B459" s="668" t="s">
        <v>1923</v>
      </c>
      <c r="C459" s="568">
        <v>0</v>
      </c>
      <c r="D459" s="568">
        <v>1590.24</v>
      </c>
      <c r="E459" s="568">
        <v>8523.2900000000009</v>
      </c>
      <c r="F459" s="568">
        <v>42235.03</v>
      </c>
      <c r="G459" s="568">
        <v>20363.919999999998</v>
      </c>
      <c r="H459" s="568">
        <f>VLOOKUP(A459,Ucto_HK_2021!$A$2:$D$929,4,FALSE)</f>
        <v>34140.51</v>
      </c>
      <c r="K459" s="568">
        <v>29085.19</v>
      </c>
    </row>
    <row r="460" spans="1:11" s="440" customFormat="1">
      <c r="A460" s="668" t="s">
        <v>1924</v>
      </c>
      <c r="B460" s="668" t="s">
        <v>1925</v>
      </c>
      <c r="C460" s="568">
        <v>0</v>
      </c>
      <c r="D460" s="568">
        <v>300</v>
      </c>
      <c r="E460" s="568"/>
      <c r="F460" s="568">
        <v>3179</v>
      </c>
      <c r="G460" s="568">
        <v>90</v>
      </c>
      <c r="H460" s="568">
        <f>VLOOKUP(A460,Ucto_HK_2021!$A$2:$D$929,4,FALSE)</f>
        <v>24180</v>
      </c>
      <c r="K460" s="568">
        <v>14508</v>
      </c>
    </row>
    <row r="461" spans="1:11" s="440" customFormat="1">
      <c r="A461" s="668" t="s">
        <v>1926</v>
      </c>
      <c r="B461" s="668" t="s">
        <v>1927</v>
      </c>
      <c r="C461" s="568">
        <v>0</v>
      </c>
      <c r="D461" s="568">
        <v>15803.78</v>
      </c>
      <c r="E461" s="568">
        <v>34275.379999999997</v>
      </c>
      <c r="F461" s="568">
        <v>21874.5</v>
      </c>
      <c r="G461" s="568">
        <v>1972.48</v>
      </c>
      <c r="H461" s="568">
        <f>VLOOKUP(A461,Ucto_HK_2021!$A$2:$D$929,4,FALSE)</f>
        <v>8357.23</v>
      </c>
      <c r="K461" s="568">
        <v>8357.23</v>
      </c>
    </row>
    <row r="462" spans="1:11" s="440" customFormat="1">
      <c r="A462" s="668" t="s">
        <v>2663</v>
      </c>
      <c r="B462" s="668" t="s">
        <v>2664</v>
      </c>
      <c r="C462" s="568">
        <v>0</v>
      </c>
      <c r="D462" s="568">
        <v>3720.09</v>
      </c>
      <c r="E462" s="568">
        <v>1993.23</v>
      </c>
      <c r="F462" s="568">
        <v>2611.94</v>
      </c>
      <c r="G462" s="568"/>
      <c r="H462" s="568">
        <f>VLOOKUP(A462,Ucto_HK_2021!$A$2:$D$929,4,FALSE)</f>
        <v>202.42</v>
      </c>
      <c r="K462" s="568">
        <v>6.42</v>
      </c>
    </row>
    <row r="463" spans="1:11" s="440" customFormat="1">
      <c r="A463" s="668" t="s">
        <v>1928</v>
      </c>
      <c r="B463" s="668" t="s">
        <v>1929</v>
      </c>
      <c r="C463" s="568">
        <v>0</v>
      </c>
      <c r="D463" s="568">
        <v>13.57</v>
      </c>
      <c r="E463" s="568">
        <v>222.4</v>
      </c>
      <c r="F463" s="568">
        <v>197.81</v>
      </c>
      <c r="G463" s="568">
        <v>9.36</v>
      </c>
      <c r="H463" s="568"/>
      <c r="K463" s="568"/>
    </row>
    <row r="464" spans="1:11" s="440" customFormat="1">
      <c r="A464" s="668" t="s">
        <v>2665</v>
      </c>
      <c r="B464" s="668" t="s">
        <v>2666</v>
      </c>
      <c r="C464" s="568"/>
      <c r="D464" s="568"/>
      <c r="E464" s="568"/>
      <c r="F464" s="568">
        <v>1386.2</v>
      </c>
      <c r="G464" s="568"/>
      <c r="H464" s="568"/>
      <c r="K464" s="568"/>
    </row>
    <row r="465" spans="1:11" s="440" customFormat="1">
      <c r="A465" s="668" t="s">
        <v>811</v>
      </c>
      <c r="C465" s="568">
        <v>0</v>
      </c>
      <c r="D465" s="568">
        <v>1490248.85</v>
      </c>
      <c r="E465" s="568">
        <v>1648228.98</v>
      </c>
      <c r="F465" s="568">
        <v>2073770.94</v>
      </c>
      <c r="G465" s="568">
        <v>1911638.35</v>
      </c>
      <c r="H465" s="568">
        <f>VLOOKUP(A465,Ucto_HK_2021!$A$2:$D$929,4,FALSE)</f>
        <v>2029706.12</v>
      </c>
      <c r="K465" s="568">
        <v>1599381.77</v>
      </c>
    </row>
    <row r="466" spans="1:11" s="440" customFormat="1">
      <c r="A466" s="668" t="s">
        <v>1930</v>
      </c>
      <c r="B466" s="668" t="s">
        <v>1931</v>
      </c>
      <c r="C466" s="568">
        <v>0</v>
      </c>
      <c r="D466" s="568">
        <v>806.96</v>
      </c>
      <c r="E466" s="568">
        <v>1027.8599999999999</v>
      </c>
      <c r="F466" s="568">
        <v>1155.8399999999999</v>
      </c>
      <c r="G466" s="568">
        <v>1056.0999999999999</v>
      </c>
      <c r="H466" s="568">
        <f>VLOOKUP(A466,Ucto_HK_2021!$A$2:$D$929,4,FALSE)</f>
        <v>1031.7</v>
      </c>
      <c r="K466" s="568">
        <v>821.7</v>
      </c>
    </row>
    <row r="467" spans="1:11" s="440" customFormat="1">
      <c r="A467" s="668" t="s">
        <v>1932</v>
      </c>
      <c r="B467" s="668" t="s">
        <v>1933</v>
      </c>
      <c r="C467" s="568">
        <v>0</v>
      </c>
      <c r="D467" s="568">
        <v>1362.51</v>
      </c>
      <c r="E467" s="568">
        <v>1192.25</v>
      </c>
      <c r="F467" s="568">
        <v>1995.07</v>
      </c>
      <c r="G467" s="568">
        <v>3013.62</v>
      </c>
      <c r="H467" s="568">
        <f>VLOOKUP(A467,Ucto_HK_2021!$A$2:$D$929,4,FALSE)</f>
        <v>3213.5</v>
      </c>
      <c r="K467" s="568">
        <v>1837.9</v>
      </c>
    </row>
    <row r="468" spans="1:11" s="440" customFormat="1">
      <c r="A468" s="668" t="s">
        <v>1934</v>
      </c>
      <c r="B468" s="668" t="s">
        <v>1935</v>
      </c>
      <c r="C468" s="568"/>
      <c r="D468" s="568"/>
      <c r="E468" s="568"/>
      <c r="F468" s="568">
        <v>1509.13</v>
      </c>
      <c r="G468" s="568">
        <v>1442.14</v>
      </c>
      <c r="H468" s="568">
        <f>VLOOKUP(A468,Ucto_HK_2021!$A$2:$D$929,4,FALSE)</f>
        <v>601.08000000000004</v>
      </c>
      <c r="K468" s="568">
        <v>514.08000000000004</v>
      </c>
    </row>
    <row r="469" spans="1:11" s="440" customFormat="1">
      <c r="A469" s="668" t="s">
        <v>2667</v>
      </c>
      <c r="B469" s="668" t="s">
        <v>1931</v>
      </c>
      <c r="C469" s="568">
        <v>0</v>
      </c>
      <c r="D469" s="568">
        <v>110.16</v>
      </c>
      <c r="E469" s="568">
        <v>232.96</v>
      </c>
      <c r="F469" s="568">
        <v>7767.51</v>
      </c>
      <c r="G469" s="568"/>
      <c r="H469" s="568">
        <f>VLOOKUP(A469,Ucto_HK_2021!$A$2:$D$929,4,FALSE)</f>
        <v>76.75</v>
      </c>
      <c r="K469" s="568">
        <v>76.75</v>
      </c>
    </row>
    <row r="470" spans="1:11" s="440" customFormat="1">
      <c r="A470" s="668" t="s">
        <v>2668</v>
      </c>
      <c r="B470" s="668" t="s">
        <v>1933</v>
      </c>
      <c r="C470" s="568">
        <v>0</v>
      </c>
      <c r="D470" s="568">
        <v>93.08</v>
      </c>
      <c r="E470" s="568">
        <v>203.21</v>
      </c>
      <c r="F470" s="568">
        <v>4534.63</v>
      </c>
      <c r="G470" s="568"/>
      <c r="H470" s="568">
        <f>VLOOKUP(A470,Ucto_HK_2021!$A$2:$D$929,4,FALSE)</f>
        <v>185.88</v>
      </c>
      <c r="K470" s="568">
        <v>185.88</v>
      </c>
    </row>
    <row r="471" spans="1:11" s="440" customFormat="1">
      <c r="A471" s="668" t="s">
        <v>812</v>
      </c>
      <c r="C471" s="568">
        <v>0</v>
      </c>
      <c r="D471" s="568">
        <v>2372.71</v>
      </c>
      <c r="E471" s="568">
        <v>2656.28</v>
      </c>
      <c r="F471" s="568">
        <v>16962.18</v>
      </c>
      <c r="G471" s="568">
        <v>5511.86</v>
      </c>
      <c r="H471" s="568">
        <f>VLOOKUP(A471,Ucto_HK_2021!$A$2:$D$929,4,FALSE)</f>
        <v>5108.91</v>
      </c>
      <c r="K471" s="568">
        <v>3436.31</v>
      </c>
    </row>
    <row r="472" spans="1:11" s="440" customFormat="1">
      <c r="A472" s="668" t="s">
        <v>1936</v>
      </c>
      <c r="B472" s="668" t="s">
        <v>814</v>
      </c>
      <c r="C472" s="568">
        <v>0</v>
      </c>
      <c r="D472" s="568">
        <v>863.23</v>
      </c>
      <c r="E472" s="568">
        <v>781.85</v>
      </c>
      <c r="F472" s="568">
        <v>1430.18</v>
      </c>
      <c r="G472" s="568">
        <v>2017.03</v>
      </c>
      <c r="H472" s="568">
        <f>VLOOKUP(A472,Ucto_HK_2021!$A$2:$D$929,4,FALSE)</f>
        <v>21006.36</v>
      </c>
      <c r="K472" s="568">
        <v>17117.28</v>
      </c>
    </row>
    <row r="473" spans="1:11" s="440" customFormat="1">
      <c r="A473" s="668" t="s">
        <v>813</v>
      </c>
      <c r="C473" s="568">
        <v>0</v>
      </c>
      <c r="D473" s="568">
        <v>863.23</v>
      </c>
      <c r="E473" s="568">
        <v>781.85</v>
      </c>
      <c r="F473" s="568">
        <v>1430.18</v>
      </c>
      <c r="G473" s="568">
        <v>2017.03</v>
      </c>
      <c r="H473" s="568">
        <f>VLOOKUP(A473,Ucto_HK_2021!$A$2:$D$929,4,FALSE)</f>
        <v>21006.36</v>
      </c>
      <c r="K473" s="568">
        <v>17117.28</v>
      </c>
    </row>
    <row r="474" spans="1:11" s="440" customFormat="1">
      <c r="A474" s="668" t="s">
        <v>1937</v>
      </c>
      <c r="B474" s="668" t="s">
        <v>1938</v>
      </c>
      <c r="C474" s="568">
        <v>0</v>
      </c>
      <c r="D474" s="568">
        <v>5268.49</v>
      </c>
      <c r="E474" s="568">
        <v>4694.1099999999997</v>
      </c>
      <c r="F474" s="568">
        <v>1928.7</v>
      </c>
      <c r="G474" s="568">
        <v>11647.29</v>
      </c>
      <c r="H474" s="568">
        <f>VLOOKUP(A474,Ucto_HK_2021!$A$2:$D$929,4,FALSE)</f>
        <v>5583.61</v>
      </c>
      <c r="K474" s="568">
        <v>4288.25</v>
      </c>
    </row>
    <row r="475" spans="1:11" s="440" customFormat="1">
      <c r="A475" s="668" t="s">
        <v>2711</v>
      </c>
      <c r="B475" s="668" t="s">
        <v>2712</v>
      </c>
      <c r="C475" s="568">
        <v>0</v>
      </c>
      <c r="D475" s="568">
        <v>9045.9699999999993</v>
      </c>
      <c r="E475" s="568">
        <v>38863.25</v>
      </c>
      <c r="F475" s="568"/>
      <c r="G475" s="568"/>
      <c r="H475" s="568"/>
      <c r="K475" s="568"/>
    </row>
    <row r="476" spans="1:11" s="440" customFormat="1">
      <c r="A476" s="668" t="s">
        <v>1939</v>
      </c>
      <c r="B476" s="668" t="s">
        <v>1940</v>
      </c>
      <c r="C476" s="568">
        <v>0</v>
      </c>
      <c r="D476" s="568">
        <v>1173.26</v>
      </c>
      <c r="E476" s="568">
        <v>777.52</v>
      </c>
      <c r="F476" s="568">
        <v>2316.5500000000002</v>
      </c>
      <c r="G476" s="568">
        <v>1091.3499999999999</v>
      </c>
      <c r="H476" s="568">
        <f>VLOOKUP(A476,Ucto_HK_2021!$A$2:$D$929,4,FALSE)</f>
        <v>919.42</v>
      </c>
      <c r="K476" s="568">
        <v>486.35</v>
      </c>
    </row>
    <row r="477" spans="1:11" s="440" customFormat="1">
      <c r="A477" s="668" t="s">
        <v>2669</v>
      </c>
      <c r="B477" s="668" t="s">
        <v>2670</v>
      </c>
      <c r="C477" s="568">
        <v>0</v>
      </c>
      <c r="D477" s="568">
        <v>58466.37</v>
      </c>
      <c r="E477" s="568">
        <v>61166.080000000002</v>
      </c>
      <c r="F477" s="568">
        <v>55673.279999999999</v>
      </c>
      <c r="G477" s="568"/>
      <c r="H477" s="568">
        <f>VLOOKUP(A477,Ucto_HK_2021!$A$2:$D$929,4,FALSE)</f>
        <v>1029.54</v>
      </c>
      <c r="K477" s="568"/>
    </row>
    <row r="478" spans="1:11" s="440" customFormat="1">
      <c r="A478" s="668" t="s">
        <v>1941</v>
      </c>
      <c r="B478" s="668" t="s">
        <v>1942</v>
      </c>
      <c r="C478" s="568">
        <v>0</v>
      </c>
      <c r="D478" s="568">
        <v>45160.92</v>
      </c>
      <c r="E478" s="568">
        <v>48678.79</v>
      </c>
      <c r="F478" s="568">
        <v>44609.39</v>
      </c>
      <c r="G478" s="568">
        <v>27226.01</v>
      </c>
      <c r="H478" s="568">
        <f>VLOOKUP(A478,Ucto_HK_2021!$A$2:$D$929,4,FALSE)</f>
        <v>24554.68</v>
      </c>
      <c r="K478" s="568">
        <v>21907.58</v>
      </c>
    </row>
    <row r="479" spans="1:11" s="440" customFormat="1">
      <c r="A479" s="668" t="s">
        <v>1943</v>
      </c>
      <c r="B479" s="668" t="s">
        <v>1944</v>
      </c>
      <c r="C479" s="568">
        <v>0</v>
      </c>
      <c r="D479" s="568">
        <v>1667518.19</v>
      </c>
      <c r="E479" s="568">
        <v>1657302.91</v>
      </c>
      <c r="F479" s="568">
        <v>1662794.15</v>
      </c>
      <c r="G479" s="568">
        <v>2219702.11</v>
      </c>
      <c r="H479" s="568">
        <f>VLOOKUP(A479,Ucto_HK_2021!$A$2:$D$929,4,FALSE)</f>
        <v>1351967.9</v>
      </c>
      <c r="K479" s="568">
        <v>1345982.57</v>
      </c>
    </row>
    <row r="480" spans="1:11" s="440" customFormat="1">
      <c r="A480" s="669" t="s">
        <v>2789</v>
      </c>
      <c r="B480" s="669" t="s">
        <v>2790</v>
      </c>
      <c r="C480" s="568"/>
      <c r="D480" s="568"/>
      <c r="E480" s="568"/>
      <c r="F480" s="568"/>
      <c r="G480" s="568"/>
      <c r="H480" s="568">
        <f>VLOOKUP(A480,Ucto_HK_2021!$A$2:$D$929,4,FALSE)</f>
        <v>204666.7</v>
      </c>
      <c r="K480" s="568">
        <v>139972.85</v>
      </c>
    </row>
    <row r="481" spans="1:11" s="440" customFormat="1">
      <c r="A481" s="668" t="s">
        <v>1945</v>
      </c>
      <c r="B481" s="668" t="s">
        <v>1946</v>
      </c>
      <c r="C481" s="568">
        <v>0</v>
      </c>
      <c r="D481" s="568">
        <v>215790.2</v>
      </c>
      <c r="E481" s="568">
        <v>222984.56</v>
      </c>
      <c r="F481" s="568">
        <v>275044.71999999997</v>
      </c>
      <c r="G481" s="568">
        <v>298209.83</v>
      </c>
      <c r="H481" s="568">
        <f>VLOOKUP(A481,Ucto_HK_2021!$A$2:$D$929,4,FALSE)</f>
        <v>372201.38</v>
      </c>
      <c r="K481" s="568">
        <v>304086.71000000002</v>
      </c>
    </row>
    <row r="482" spans="1:11" s="440" customFormat="1">
      <c r="A482" s="668" t="s">
        <v>1947</v>
      </c>
      <c r="B482" s="668" t="s">
        <v>1948</v>
      </c>
      <c r="C482" s="568">
        <v>0</v>
      </c>
      <c r="D482" s="568">
        <v>2669.56</v>
      </c>
      <c r="E482" s="568">
        <v>2942</v>
      </c>
      <c r="F482" s="568">
        <v>2857.99</v>
      </c>
      <c r="G482" s="568">
        <v>4279.78</v>
      </c>
      <c r="H482" s="568">
        <f>VLOOKUP(A482,Ucto_HK_2021!$A$2:$D$929,4,FALSE)</f>
        <v>7029.84</v>
      </c>
      <c r="K482" s="568">
        <v>2183.54</v>
      </c>
    </row>
    <row r="483" spans="1:11" s="440" customFormat="1">
      <c r="A483" s="668" t="s">
        <v>1949</v>
      </c>
      <c r="B483" s="668" t="s">
        <v>1950</v>
      </c>
      <c r="C483" s="568">
        <v>0</v>
      </c>
      <c r="D483" s="568">
        <v>13577.26</v>
      </c>
      <c r="E483" s="568">
        <v>16680.61</v>
      </c>
      <c r="F483" s="568">
        <v>32569.96</v>
      </c>
      <c r="G483" s="568">
        <v>76142.559999999998</v>
      </c>
      <c r="H483" s="568">
        <f>VLOOKUP(A483,Ucto_HK_2021!$A$2:$D$929,4,FALSE)</f>
        <v>41168.160000000003</v>
      </c>
      <c r="K483" s="568">
        <v>16719.36</v>
      </c>
    </row>
    <row r="484" spans="1:11" s="440" customFormat="1">
      <c r="A484" s="668" t="s">
        <v>1951</v>
      </c>
      <c r="B484" s="668" t="s">
        <v>1952</v>
      </c>
      <c r="C484" s="568">
        <v>0</v>
      </c>
      <c r="D484" s="568">
        <v>316547.26</v>
      </c>
      <c r="E484" s="568">
        <v>417817.69</v>
      </c>
      <c r="F484" s="568">
        <v>424316</v>
      </c>
      <c r="G484" s="568">
        <v>368530.63</v>
      </c>
      <c r="H484" s="568">
        <f>VLOOKUP(A484,Ucto_HK_2021!$A$2:$D$929,4,FALSE)</f>
        <v>393083.34</v>
      </c>
      <c r="K484" s="568">
        <v>323317.28000000003</v>
      </c>
    </row>
    <row r="485" spans="1:11" s="440" customFormat="1">
      <c r="A485" s="668" t="s">
        <v>1953</v>
      </c>
      <c r="B485" s="668" t="s">
        <v>1954</v>
      </c>
      <c r="C485" s="568">
        <v>0</v>
      </c>
      <c r="D485" s="568">
        <v>114970.93</v>
      </c>
      <c r="E485" s="568">
        <v>139175.97</v>
      </c>
      <c r="F485" s="568">
        <v>152266.79</v>
      </c>
      <c r="G485" s="568">
        <v>250150.36</v>
      </c>
      <c r="H485" s="568">
        <f>VLOOKUP(A485,Ucto_HK_2021!$A$2:$D$929,4,FALSE)</f>
        <v>103534.33</v>
      </c>
      <c r="K485" s="568">
        <v>56973.23</v>
      </c>
    </row>
    <row r="486" spans="1:11" s="440" customFormat="1">
      <c r="A486" s="668" t="s">
        <v>1955</v>
      </c>
      <c r="B486" s="668" t="s">
        <v>1956</v>
      </c>
      <c r="C486" s="568">
        <v>0</v>
      </c>
      <c r="D486" s="568">
        <v>2427.66</v>
      </c>
      <c r="E486" s="568">
        <v>6338.1</v>
      </c>
      <c r="F486" s="568">
        <v>2052.96</v>
      </c>
      <c r="G486" s="568">
        <v>1735.1</v>
      </c>
      <c r="H486" s="568">
        <f>VLOOKUP(A486,Ucto_HK_2021!$A$2:$D$929,4,FALSE)</f>
        <v>991.77</v>
      </c>
      <c r="K486" s="568">
        <v>991.77</v>
      </c>
    </row>
    <row r="487" spans="1:11" s="440" customFormat="1">
      <c r="A487" s="668" t="s">
        <v>1957</v>
      </c>
      <c r="B487" s="668" t="s">
        <v>1958</v>
      </c>
      <c r="C487" s="568">
        <v>0</v>
      </c>
      <c r="D487" s="568">
        <v>25216.19</v>
      </c>
      <c r="E487" s="568">
        <v>25969.79</v>
      </c>
      <c r="F487" s="568">
        <v>40967.22</v>
      </c>
      <c r="G487" s="568">
        <v>36262.629999999997</v>
      </c>
      <c r="H487" s="568">
        <f>VLOOKUP(A487,Ucto_HK_2021!$A$2:$D$929,4,FALSE)</f>
        <v>44809.49</v>
      </c>
      <c r="K487" s="568">
        <v>39993.49</v>
      </c>
    </row>
    <row r="488" spans="1:11" s="440" customFormat="1">
      <c r="A488" s="668" t="s">
        <v>1959</v>
      </c>
      <c r="B488" s="668" t="s">
        <v>1960</v>
      </c>
      <c r="C488" s="568">
        <v>0</v>
      </c>
      <c r="D488" s="568">
        <v>13963.6</v>
      </c>
      <c r="E488" s="568">
        <v>8414.67</v>
      </c>
      <c r="F488" s="568">
        <v>12684.3</v>
      </c>
      <c r="G488" s="568">
        <v>2247.67</v>
      </c>
      <c r="H488" s="568">
        <f>VLOOKUP(A488,Ucto_HK_2021!$A$2:$D$929,4,FALSE)</f>
        <v>62037.599999999999</v>
      </c>
      <c r="K488" s="568">
        <v>58668</v>
      </c>
    </row>
    <row r="489" spans="1:11" s="440" customFormat="1">
      <c r="A489" s="668" t="s">
        <v>2671</v>
      </c>
      <c r="B489" s="668" t="s">
        <v>2672</v>
      </c>
      <c r="C489" s="568"/>
      <c r="D489" s="568"/>
      <c r="E489" s="568">
        <v>4990</v>
      </c>
      <c r="F489" s="568">
        <v>4800</v>
      </c>
      <c r="G489" s="568"/>
      <c r="H489" s="568">
        <f>VLOOKUP(A489,Ucto_HK_2021!$A$2:$D$929,4,FALSE)</f>
        <v>6550</v>
      </c>
      <c r="K489" s="568">
        <v>2250</v>
      </c>
    </row>
    <row r="490" spans="1:11" s="440" customFormat="1">
      <c r="A490" s="668" t="s">
        <v>1961</v>
      </c>
      <c r="B490" s="668" t="s">
        <v>1962</v>
      </c>
      <c r="C490" s="568">
        <v>0</v>
      </c>
      <c r="D490" s="568">
        <v>2200</v>
      </c>
      <c r="E490" s="568">
        <v>2200</v>
      </c>
      <c r="F490" s="568">
        <v>2200</v>
      </c>
      <c r="G490" s="568">
        <v>3000</v>
      </c>
      <c r="H490" s="568">
        <f>VLOOKUP(A490,Ucto_HK_2021!$A$2:$D$929,4,FALSE)</f>
        <v>400</v>
      </c>
      <c r="K490" s="568">
        <v>400</v>
      </c>
    </row>
    <row r="491" spans="1:11" s="440" customFormat="1">
      <c r="A491" s="668" t="s">
        <v>1963</v>
      </c>
      <c r="B491" s="668" t="s">
        <v>1964</v>
      </c>
      <c r="C491" s="568"/>
      <c r="D491" s="568"/>
      <c r="E491" s="568"/>
      <c r="F491" s="568"/>
      <c r="G491" s="568">
        <v>656.54</v>
      </c>
      <c r="H491" s="568"/>
      <c r="K491" s="568"/>
    </row>
    <row r="492" spans="1:11" s="440" customFormat="1">
      <c r="A492" s="668" t="s">
        <v>1965</v>
      </c>
      <c r="B492" s="668" t="s">
        <v>1966</v>
      </c>
      <c r="C492" s="568"/>
      <c r="D492" s="568"/>
      <c r="E492" s="568"/>
      <c r="F492" s="568"/>
      <c r="G492" s="568">
        <v>541.20000000000005</v>
      </c>
      <c r="H492" s="568"/>
      <c r="K492" s="568"/>
    </row>
    <row r="493" spans="1:11" s="440" customFormat="1">
      <c r="A493" s="668" t="s">
        <v>1967</v>
      </c>
      <c r="B493" s="668" t="s">
        <v>1968</v>
      </c>
      <c r="C493" s="568">
        <v>0</v>
      </c>
      <c r="D493" s="568">
        <v>89116.3</v>
      </c>
      <c r="E493" s="568">
        <v>99496.76</v>
      </c>
      <c r="F493" s="568">
        <v>101089.79</v>
      </c>
      <c r="G493" s="568">
        <v>107773.79</v>
      </c>
      <c r="H493" s="568">
        <f>VLOOKUP(A493,Ucto_HK_2021!$A$2:$D$929,4,FALSE)</f>
        <v>152487.07</v>
      </c>
      <c r="K493" s="568">
        <v>124310.79</v>
      </c>
    </row>
    <row r="494" spans="1:11" s="440" customFormat="1">
      <c r="A494" s="668" t="s">
        <v>1969</v>
      </c>
      <c r="B494" s="668" t="s">
        <v>1970</v>
      </c>
      <c r="C494" s="568">
        <v>0</v>
      </c>
      <c r="D494" s="568">
        <v>21015.200000000001</v>
      </c>
      <c r="E494" s="568">
        <v>7045.73</v>
      </c>
      <c r="F494" s="568">
        <v>12875.08</v>
      </c>
      <c r="G494" s="568">
        <v>20031.810000000001</v>
      </c>
      <c r="H494" s="568">
        <f>VLOOKUP(A494,Ucto_HK_2021!$A$2:$D$929,4,FALSE)</f>
        <v>18501.07</v>
      </c>
      <c r="K494" s="568">
        <v>12399.76</v>
      </c>
    </row>
    <row r="495" spans="1:11" s="440" customFormat="1">
      <c r="A495" s="668" t="s">
        <v>1971</v>
      </c>
      <c r="B495" s="668" t="s">
        <v>1972</v>
      </c>
      <c r="C495" s="568">
        <v>0</v>
      </c>
      <c r="D495" s="568">
        <v>241922.97</v>
      </c>
      <c r="E495" s="568">
        <v>241575.2</v>
      </c>
      <c r="F495" s="568">
        <v>288745.2</v>
      </c>
      <c r="G495" s="568">
        <v>380229.97</v>
      </c>
      <c r="H495" s="568">
        <f>VLOOKUP(A495,Ucto_HK_2021!$A$2:$D$929,4,FALSE)</f>
        <v>403414.99</v>
      </c>
      <c r="K495" s="568">
        <v>343145.61</v>
      </c>
    </row>
    <row r="496" spans="1:11" s="440" customFormat="1">
      <c r="A496" s="668" t="s">
        <v>1973</v>
      </c>
      <c r="B496" s="668" t="s">
        <v>229</v>
      </c>
      <c r="C496" s="568">
        <v>0</v>
      </c>
      <c r="D496" s="568">
        <v>34613.449999999997</v>
      </c>
      <c r="E496" s="568">
        <v>34302.660000000003</v>
      </c>
      <c r="F496" s="568">
        <v>37266.51</v>
      </c>
      <c r="G496" s="568">
        <v>38197.949999999997</v>
      </c>
      <c r="H496" s="568">
        <f>VLOOKUP(A496,Ucto_HK_2021!$A$2:$D$929,4,FALSE)</f>
        <v>38510.17</v>
      </c>
      <c r="K496" s="568">
        <v>31885.87</v>
      </c>
    </row>
    <row r="497" spans="1:15" s="440" customFormat="1">
      <c r="A497" s="668" t="s">
        <v>1974</v>
      </c>
      <c r="B497" s="668" t="s">
        <v>230</v>
      </c>
      <c r="C497" s="568">
        <v>0</v>
      </c>
      <c r="D497" s="568">
        <v>44087.37</v>
      </c>
      <c r="E497" s="568">
        <v>49792.35</v>
      </c>
      <c r="F497" s="568">
        <v>57984.19</v>
      </c>
      <c r="G497" s="568">
        <v>61373.97</v>
      </c>
      <c r="H497" s="568">
        <f>VLOOKUP(A497,Ucto_HK_2021!$A$2:$D$929,4,FALSE)</f>
        <v>55451.68</v>
      </c>
      <c r="K497" s="568">
        <v>46155.86</v>
      </c>
    </row>
    <row r="498" spans="1:15" s="440" customFormat="1">
      <c r="A498" s="668" t="s">
        <v>1975</v>
      </c>
      <c r="B498" s="668" t="s">
        <v>1976</v>
      </c>
      <c r="C498" s="568">
        <v>0</v>
      </c>
      <c r="D498" s="568">
        <v>9274.19</v>
      </c>
      <c r="E498" s="568">
        <v>7868.21</v>
      </c>
      <c r="F498" s="568">
        <v>1859.31</v>
      </c>
      <c r="G498" s="568">
        <v>55825.74</v>
      </c>
      <c r="H498" s="568">
        <f>VLOOKUP(A498,Ucto_HK_2021!$A$2:$D$929,4,FALSE)</f>
        <v>57899.37</v>
      </c>
      <c r="K498" s="568">
        <v>48555.14</v>
      </c>
    </row>
    <row r="499" spans="1:15" s="440" customFormat="1">
      <c r="A499" s="668" t="s">
        <v>1977</v>
      </c>
      <c r="B499" s="668" t="s">
        <v>1978</v>
      </c>
      <c r="C499" s="568">
        <v>0</v>
      </c>
      <c r="D499" s="568">
        <v>1693.11</v>
      </c>
      <c r="E499" s="568">
        <v>1928.78</v>
      </c>
      <c r="F499" s="568">
        <v>3419.16</v>
      </c>
      <c r="G499" s="568">
        <v>2007.38</v>
      </c>
      <c r="H499" s="568">
        <f>VLOOKUP(A499,Ucto_HK_2021!$A$2:$D$929,4,FALSE)</f>
        <v>8309.9699999999993</v>
      </c>
      <c r="K499" s="568">
        <v>5545.16</v>
      </c>
    </row>
    <row r="500" spans="1:15" s="440" customFormat="1">
      <c r="A500" s="668" t="s">
        <v>1979</v>
      </c>
      <c r="B500" s="668" t="s">
        <v>1980</v>
      </c>
      <c r="C500" s="568">
        <v>0</v>
      </c>
      <c r="D500" s="568">
        <v>68622.899999999994</v>
      </c>
      <c r="E500" s="568">
        <v>32442.74</v>
      </c>
      <c r="F500" s="568">
        <v>63318.93</v>
      </c>
      <c r="G500" s="568">
        <v>57162.15</v>
      </c>
      <c r="H500" s="568">
        <f>VLOOKUP(A500,Ucto_HK_2021!$A$2:$D$929,4,FALSE)</f>
        <v>109864.44</v>
      </c>
      <c r="K500" s="568">
        <v>76013.100000000006</v>
      </c>
    </row>
    <row r="501" spans="1:15" s="440" customFormat="1">
      <c r="A501" s="668" t="s">
        <v>1981</v>
      </c>
      <c r="B501" s="668" t="s">
        <v>1982</v>
      </c>
      <c r="C501" s="568"/>
      <c r="D501" s="568"/>
      <c r="E501" s="568"/>
      <c r="F501" s="568">
        <v>5797</v>
      </c>
      <c r="G501" s="568">
        <v>8442.33</v>
      </c>
      <c r="H501" s="568">
        <f>VLOOKUP(A501,Ucto_HK_2021!$A$2:$D$929,4,FALSE)</f>
        <v>28731.71</v>
      </c>
      <c r="K501" s="568">
        <v>20907.36</v>
      </c>
    </row>
    <row r="502" spans="1:15" s="440" customFormat="1">
      <c r="A502" s="668" t="s">
        <v>1983</v>
      </c>
      <c r="B502" s="668" t="s">
        <v>1984</v>
      </c>
      <c r="C502" s="568"/>
      <c r="D502" s="568"/>
      <c r="E502" s="568">
        <v>3108</v>
      </c>
      <c r="F502" s="568">
        <v>13118.4</v>
      </c>
      <c r="G502" s="568">
        <v>6</v>
      </c>
      <c r="H502" s="568">
        <f>VLOOKUP(A502,Ucto_HK_2021!$A$2:$D$929,4,FALSE)</f>
        <v>25693.83</v>
      </c>
      <c r="K502" s="568">
        <v>18253.509999999998</v>
      </c>
    </row>
    <row r="503" spans="1:15" s="440" customFormat="1">
      <c r="A503" s="668" t="s">
        <v>1985</v>
      </c>
      <c r="B503" s="668" t="s">
        <v>1986</v>
      </c>
      <c r="C503" s="568">
        <v>0</v>
      </c>
      <c r="D503" s="568">
        <v>28308.78</v>
      </c>
      <c r="E503" s="568">
        <v>30776.39</v>
      </c>
      <c r="F503" s="568">
        <v>32113.85</v>
      </c>
      <c r="G503" s="568">
        <v>33787.4</v>
      </c>
      <c r="H503" s="568">
        <f>VLOOKUP(A503,Ucto_HK_2021!$A$2:$D$929,4,FALSE)</f>
        <v>34540.589999999997</v>
      </c>
      <c r="K503" s="568">
        <v>27431.79</v>
      </c>
    </row>
    <row r="504" spans="1:15" s="440" customFormat="1">
      <c r="A504" s="668" t="s">
        <v>1987</v>
      </c>
      <c r="B504" s="668" t="s">
        <v>1988</v>
      </c>
      <c r="C504" s="568">
        <v>0</v>
      </c>
      <c r="D504" s="568">
        <v>1000</v>
      </c>
      <c r="E504" s="568">
        <v>1000</v>
      </c>
      <c r="F504" s="568">
        <v>12262.81</v>
      </c>
      <c r="G504" s="568">
        <v>7104</v>
      </c>
      <c r="H504" s="568">
        <f>VLOOKUP(A504,Ucto_HK_2021!$A$2:$D$929,4,FALSE)</f>
        <v>11885.96</v>
      </c>
      <c r="K504" s="568">
        <v>128654.82</v>
      </c>
    </row>
    <row r="505" spans="1:15" s="440" customFormat="1">
      <c r="A505" s="668" t="s">
        <v>2673</v>
      </c>
      <c r="B505" s="668" t="s">
        <v>2674</v>
      </c>
      <c r="C505" s="568">
        <v>0</v>
      </c>
      <c r="D505" s="568">
        <v>646</v>
      </c>
      <c r="E505" s="568"/>
      <c r="F505" s="568">
        <v>26.03</v>
      </c>
      <c r="G505" s="568"/>
      <c r="H505" s="568"/>
      <c r="K505" s="568"/>
      <c r="N505" s="568"/>
      <c r="O505" s="568"/>
    </row>
    <row r="506" spans="1:15" s="440" customFormat="1">
      <c r="A506" s="668" t="s">
        <v>1989</v>
      </c>
      <c r="B506" s="668" t="s">
        <v>1990</v>
      </c>
      <c r="C506" s="568">
        <v>0</v>
      </c>
      <c r="D506" s="568">
        <v>22049.86</v>
      </c>
      <c r="E506" s="568">
        <v>19008.97</v>
      </c>
      <c r="F506" s="568">
        <v>16657.34</v>
      </c>
      <c r="G506" s="568">
        <v>22359.73</v>
      </c>
      <c r="H506" s="568">
        <f>VLOOKUP(A506,Ucto_HK_2021!$A$2:$D$929,4,FALSE)</f>
        <v>9538.7900000000009</v>
      </c>
      <c r="K506" s="568">
        <v>9538.7900000000009</v>
      </c>
    </row>
    <row r="507" spans="1:15" s="440" customFormat="1">
      <c r="A507" s="668" t="s">
        <v>1991</v>
      </c>
      <c r="B507" s="668" t="s">
        <v>1992</v>
      </c>
      <c r="C507" s="568">
        <v>0</v>
      </c>
      <c r="D507" s="568">
        <v>3511.74</v>
      </c>
      <c r="E507" s="568">
        <v>1729</v>
      </c>
      <c r="F507" s="568">
        <v>1959.21</v>
      </c>
      <c r="G507" s="568">
        <v>293.11</v>
      </c>
      <c r="H507" s="568">
        <f>VLOOKUP(A507,Ucto_HK_2021!$A$2:$D$929,4,FALSE)</f>
        <v>990</v>
      </c>
      <c r="K507" s="568"/>
    </row>
    <row r="508" spans="1:15" s="440" customFormat="1">
      <c r="A508" s="668" t="s">
        <v>2675</v>
      </c>
      <c r="B508" s="668" t="s">
        <v>2676</v>
      </c>
      <c r="C508" s="568"/>
      <c r="D508" s="568"/>
      <c r="E508" s="568"/>
      <c r="F508" s="568">
        <v>788.6</v>
      </c>
      <c r="G508" s="568"/>
      <c r="H508" s="568"/>
      <c r="K508" s="568"/>
    </row>
    <row r="509" spans="1:15" s="440" customFormat="1">
      <c r="A509" s="668" t="s">
        <v>1993</v>
      </c>
      <c r="B509" s="668" t="s">
        <v>1994</v>
      </c>
      <c r="C509" s="568">
        <v>0</v>
      </c>
      <c r="D509" s="568">
        <v>569.14</v>
      </c>
      <c r="E509" s="568">
        <v>386.57</v>
      </c>
      <c r="F509" s="568">
        <v>223.11</v>
      </c>
      <c r="G509" s="568">
        <v>14.77</v>
      </c>
      <c r="H509" s="568">
        <f>VLOOKUP(A509,Ucto_HK_2021!$A$2:$D$929,4,FALSE)</f>
        <v>11.78</v>
      </c>
      <c r="K509" s="568">
        <v>11.78</v>
      </c>
    </row>
    <row r="510" spans="1:15" s="440" customFormat="1">
      <c r="A510" s="668" t="s">
        <v>1995</v>
      </c>
      <c r="B510" s="668" t="s">
        <v>1996</v>
      </c>
      <c r="C510" s="568">
        <v>0</v>
      </c>
      <c r="D510" s="568">
        <v>53.99</v>
      </c>
      <c r="E510" s="568">
        <v>7.08</v>
      </c>
      <c r="F510" s="568">
        <v>15.5</v>
      </c>
      <c r="G510" s="568">
        <v>742.39</v>
      </c>
      <c r="H510" s="568">
        <f>VLOOKUP(A510,Ucto_HK_2021!$A$2:$D$929,4,FALSE)</f>
        <v>412.91</v>
      </c>
      <c r="K510" s="568">
        <v>271.64</v>
      </c>
    </row>
    <row r="511" spans="1:15" s="440" customFormat="1">
      <c r="A511" s="668" t="s">
        <v>1997</v>
      </c>
      <c r="B511" s="668" t="s">
        <v>1998</v>
      </c>
      <c r="C511" s="568"/>
      <c r="D511" s="568"/>
      <c r="E511" s="568"/>
      <c r="F511" s="568">
        <v>2229</v>
      </c>
      <c r="G511" s="568">
        <v>2378.16</v>
      </c>
      <c r="H511" s="568">
        <f>VLOOKUP(A511,Ucto_HK_2021!$A$2:$D$929,4,FALSE)</f>
        <v>7513</v>
      </c>
      <c r="K511" s="568">
        <v>2165</v>
      </c>
    </row>
    <row r="512" spans="1:15">
      <c r="A512" s="355" t="s">
        <v>815</v>
      </c>
      <c r="C512" s="69">
        <v>0</v>
      </c>
      <c r="D512" s="69">
        <v>3060480.86</v>
      </c>
      <c r="E512" s="69">
        <v>3189464.49</v>
      </c>
      <c r="F512" s="69">
        <v>3368831.03</v>
      </c>
      <c r="G512" s="69">
        <v>4099153.71</v>
      </c>
      <c r="H512" s="69">
        <f>VLOOKUP(A512,Ucto_HK_2021!$A$2:$D$929,4,FALSE)</f>
        <v>3584285.09</v>
      </c>
      <c r="K512" s="69">
        <v>3213466.96</v>
      </c>
    </row>
    <row r="513" spans="1:11">
      <c r="A513" s="584" t="s">
        <v>1999</v>
      </c>
      <c r="C513" s="587">
        <v>0</v>
      </c>
      <c r="D513" s="587">
        <v>4553965.6500000004</v>
      </c>
      <c r="E513" s="69">
        <v>4841131.5999999996</v>
      </c>
      <c r="F513" s="69">
        <v>5460994.3300000001</v>
      </c>
      <c r="G513" s="69">
        <v>6018320.9500000002</v>
      </c>
      <c r="H513" s="69">
        <f>VLOOKUP(A513,Ucto_HK_2021!$A$2:$D$929,4,FALSE)</f>
        <v>5640106.4800000004</v>
      </c>
      <c r="K513" s="69">
        <v>4833402.32</v>
      </c>
    </row>
    <row r="514" spans="1:11" s="440" customFormat="1">
      <c r="A514" s="668" t="s">
        <v>2000</v>
      </c>
      <c r="B514" s="668" t="s">
        <v>2001</v>
      </c>
      <c r="C514" s="568">
        <v>0</v>
      </c>
      <c r="D514" s="568">
        <v>17959986.390000001</v>
      </c>
      <c r="E514" s="568">
        <v>18121404.41</v>
      </c>
      <c r="F514" s="568">
        <v>19487303.41</v>
      </c>
      <c r="G514" s="568">
        <v>21620056.02</v>
      </c>
      <c r="H514" s="568">
        <f>VLOOKUP(A514,Ucto_HK_2021!$A$2:$D$929,4,FALSE)</f>
        <v>27274560.879999999</v>
      </c>
      <c r="K514" s="568">
        <v>22005162.640000001</v>
      </c>
    </row>
    <row r="515" spans="1:11" s="440" customFormat="1">
      <c r="A515" s="668" t="s">
        <v>2002</v>
      </c>
      <c r="B515" s="668" t="s">
        <v>2003</v>
      </c>
      <c r="C515" s="568">
        <v>0</v>
      </c>
      <c r="D515" s="568">
        <v>7100841.2300000004</v>
      </c>
      <c r="E515" s="568">
        <v>7271780.2400000002</v>
      </c>
      <c r="F515" s="568">
        <v>7571424.8799999999</v>
      </c>
      <c r="G515" s="568">
        <v>8446490.9700000007</v>
      </c>
      <c r="H515" s="568">
        <f>VLOOKUP(A515,Ucto_HK_2021!$A$2:$D$929,4,FALSE)</f>
        <v>10540950.689999999</v>
      </c>
      <c r="K515" s="568">
        <v>8380753.04</v>
      </c>
    </row>
    <row r="516" spans="1:11" s="440" customFormat="1">
      <c r="A516" s="668" t="s">
        <v>2004</v>
      </c>
      <c r="B516" s="668" t="s">
        <v>2005</v>
      </c>
      <c r="C516" s="568">
        <v>0</v>
      </c>
      <c r="D516" s="568">
        <v>5345022.54</v>
      </c>
      <c r="E516" s="568">
        <v>5670449.46</v>
      </c>
      <c r="F516" s="568">
        <v>6668349.5300000003</v>
      </c>
      <c r="G516" s="568">
        <v>7680724.04</v>
      </c>
      <c r="H516" s="568">
        <f>VLOOKUP(A516,Ucto_HK_2021!$A$2:$D$929,4,FALSE)</f>
        <v>10694120.82</v>
      </c>
      <c r="K516" s="568">
        <v>8478931.8900000006</v>
      </c>
    </row>
    <row r="517" spans="1:11" s="440" customFormat="1">
      <c r="A517" s="668" t="s">
        <v>2006</v>
      </c>
      <c r="B517" s="668" t="s">
        <v>2007</v>
      </c>
      <c r="C517" s="568">
        <v>0</v>
      </c>
      <c r="D517" s="568">
        <v>16691167.869999999</v>
      </c>
      <c r="E517" s="568">
        <v>17152200.59</v>
      </c>
      <c r="F517" s="568">
        <v>17355046.530000001</v>
      </c>
      <c r="G517" s="568">
        <v>18586979.59</v>
      </c>
      <c r="H517" s="568">
        <f>VLOOKUP(A517,Ucto_HK_2021!$A$2:$D$929,4,FALSE)</f>
        <v>25070441.73</v>
      </c>
      <c r="K517" s="568">
        <v>19915141.600000001</v>
      </c>
    </row>
    <row r="518" spans="1:11" s="440" customFormat="1">
      <c r="A518" s="668" t="s">
        <v>2008</v>
      </c>
      <c r="B518" s="668" t="s">
        <v>2009</v>
      </c>
      <c r="C518" s="568"/>
      <c r="D518" s="568"/>
      <c r="E518" s="568"/>
      <c r="F518" s="568">
        <v>2329510.1</v>
      </c>
      <c r="G518" s="568">
        <v>2922382</v>
      </c>
      <c r="H518" s="568">
        <f>VLOOKUP(A518,Ucto_HK_2021!$A$2:$D$929,4,FALSE)</f>
        <v>4308093.1100000003</v>
      </c>
      <c r="K518" s="568">
        <v>3387080.27</v>
      </c>
    </row>
    <row r="519" spans="1:11" s="440" customFormat="1">
      <c r="A519" s="668" t="s">
        <v>2010</v>
      </c>
      <c r="B519" s="668" t="s">
        <v>2011</v>
      </c>
      <c r="C519" s="568">
        <v>0</v>
      </c>
      <c r="D519" s="568">
        <v>15120.38</v>
      </c>
      <c r="E519" s="568">
        <v>7325.6</v>
      </c>
      <c r="F519" s="568">
        <v>8569.8799999999992</v>
      </c>
      <c r="G519" s="568">
        <v>14007.46</v>
      </c>
      <c r="H519" s="568">
        <f>VLOOKUP(A519,Ucto_HK_2021!$A$2:$D$929,4,FALSE)</f>
        <v>50193.3</v>
      </c>
      <c r="K519" s="568">
        <v>44759.3</v>
      </c>
    </row>
    <row r="520" spans="1:11" s="440" customFormat="1">
      <c r="A520" s="668" t="s">
        <v>2012</v>
      </c>
      <c r="B520" s="668" t="s">
        <v>2013</v>
      </c>
      <c r="C520" s="568">
        <v>0</v>
      </c>
      <c r="D520" s="568">
        <v>161171.99</v>
      </c>
      <c r="E520" s="568">
        <v>168785.63</v>
      </c>
      <c r="F520" s="568">
        <v>16451.240000000002</v>
      </c>
      <c r="G520" s="568">
        <v>3926</v>
      </c>
      <c r="H520" s="568">
        <f>VLOOKUP(A520,Ucto_HK_2021!$A$2:$D$929,4,FALSE)</f>
        <v>6732.57</v>
      </c>
      <c r="K520" s="568">
        <v>5791</v>
      </c>
    </row>
    <row r="521" spans="1:11" s="440" customFormat="1">
      <c r="A521" s="668" t="s">
        <v>2014</v>
      </c>
      <c r="B521" s="668" t="s">
        <v>2015</v>
      </c>
      <c r="C521" s="568">
        <v>0</v>
      </c>
      <c r="D521" s="568">
        <v>2998.5</v>
      </c>
      <c r="E521" s="568">
        <v>5368.94</v>
      </c>
      <c r="F521" s="568">
        <v>174647.64</v>
      </c>
      <c r="G521" s="568">
        <v>364215.07</v>
      </c>
      <c r="H521" s="568">
        <f>VLOOKUP(A521,Ucto_HK_2021!$A$2:$D$929,4,FALSE)</f>
        <v>604706.76</v>
      </c>
      <c r="K521" s="568">
        <v>446539.73</v>
      </c>
    </row>
    <row r="522" spans="1:11" s="440" customFormat="1">
      <c r="A522" s="669" t="s">
        <v>2791</v>
      </c>
      <c r="B522" s="669" t="s">
        <v>2792</v>
      </c>
      <c r="C522" s="568"/>
      <c r="D522" s="568"/>
      <c r="E522" s="568"/>
      <c r="F522" s="568"/>
      <c r="G522" s="568"/>
      <c r="H522" s="568">
        <f>VLOOKUP(A522,Ucto_HK_2021!$A$2:$D$929,4,FALSE)</f>
        <v>1792.65</v>
      </c>
      <c r="K522" s="568">
        <v>1771.35</v>
      </c>
    </row>
    <row r="523" spans="1:11" s="440" customFormat="1">
      <c r="A523" s="669" t="s">
        <v>2793</v>
      </c>
      <c r="B523" s="669" t="s">
        <v>2794</v>
      </c>
      <c r="C523" s="568"/>
      <c r="D523" s="568"/>
      <c r="E523" s="568"/>
      <c r="F523" s="568"/>
      <c r="G523" s="568"/>
      <c r="H523" s="568">
        <f>VLOOKUP(A523,Ucto_HK_2021!$A$2:$D$929,4,FALSE)</f>
        <v>3067.64</v>
      </c>
      <c r="K523" s="568">
        <v>2556.5100000000002</v>
      </c>
    </row>
    <row r="524" spans="1:11" s="440" customFormat="1">
      <c r="A524" s="668" t="s">
        <v>2016</v>
      </c>
      <c r="B524" s="668" t="s">
        <v>2017</v>
      </c>
      <c r="C524" s="568">
        <v>0</v>
      </c>
      <c r="D524" s="568">
        <v>1000989.52</v>
      </c>
      <c r="E524" s="568">
        <v>913827.22</v>
      </c>
      <c r="F524" s="568">
        <v>962786.02</v>
      </c>
      <c r="G524" s="568">
        <v>913926.44</v>
      </c>
      <c r="H524" s="568">
        <f>VLOOKUP(A524,Ucto_HK_2021!$A$2:$D$929,4,FALSE)</f>
        <v>865001</v>
      </c>
      <c r="K524" s="568">
        <v>708003</v>
      </c>
    </row>
    <row r="525" spans="1:11" s="440" customFormat="1">
      <c r="A525" s="668" t="s">
        <v>817</v>
      </c>
      <c r="C525" s="568">
        <v>0</v>
      </c>
      <c r="D525" s="568">
        <v>48277298.420000002</v>
      </c>
      <c r="E525" s="568">
        <v>49311142.090000004</v>
      </c>
      <c r="F525" s="568">
        <v>54574089.229999997</v>
      </c>
      <c r="G525" s="568">
        <v>60552707.590000004</v>
      </c>
      <c r="H525" s="568">
        <f>VLOOKUP(A525,Ucto_HK_2021!$A$2:$D$929,4,FALSE)</f>
        <v>79419661.150000006</v>
      </c>
      <c r="K525" s="568">
        <v>63376490.329999998</v>
      </c>
    </row>
    <row r="526" spans="1:11" s="440" customFormat="1">
      <c r="A526" s="668" t="s">
        <v>2018</v>
      </c>
      <c r="B526" s="668" t="s">
        <v>2019</v>
      </c>
      <c r="C526" s="568">
        <v>0</v>
      </c>
      <c r="D526" s="568">
        <v>1812276.82</v>
      </c>
      <c r="E526" s="568">
        <v>1838527.72</v>
      </c>
      <c r="F526" s="568">
        <v>1942798.58</v>
      </c>
      <c r="G526" s="568">
        <v>2162175.4700000002</v>
      </c>
      <c r="H526" s="568">
        <f>VLOOKUP(A526,Ucto_HK_2021!$A$2:$D$929,4,FALSE)</f>
        <v>2737649.69</v>
      </c>
      <c r="K526" s="568">
        <v>2203307.3199999998</v>
      </c>
    </row>
    <row r="527" spans="1:11" s="440" customFormat="1">
      <c r="A527" s="668" t="s">
        <v>2020</v>
      </c>
      <c r="B527" s="668" t="s">
        <v>2021</v>
      </c>
      <c r="C527" s="568">
        <v>0</v>
      </c>
      <c r="D527" s="568">
        <v>696482.79</v>
      </c>
      <c r="E527" s="568">
        <v>718809.38</v>
      </c>
      <c r="F527" s="568">
        <v>761331.47</v>
      </c>
      <c r="G527" s="568">
        <v>847618.08</v>
      </c>
      <c r="H527" s="568">
        <f>VLOOKUP(A527,Ucto_HK_2021!$A$2:$D$929,4,FALSE)</f>
        <v>1060527</v>
      </c>
      <c r="K527" s="568">
        <v>838504.49</v>
      </c>
    </row>
    <row r="528" spans="1:11" s="440" customFormat="1">
      <c r="A528" s="668" t="s">
        <v>2022</v>
      </c>
      <c r="B528" s="668" t="s">
        <v>2023</v>
      </c>
      <c r="C528" s="568">
        <v>0</v>
      </c>
      <c r="D528" s="568">
        <v>521289.92</v>
      </c>
      <c r="E528" s="568">
        <v>560208.01</v>
      </c>
      <c r="F528" s="568">
        <v>667413.9</v>
      </c>
      <c r="G528" s="568">
        <v>775635.98</v>
      </c>
      <c r="H528" s="568">
        <f>VLOOKUP(A528,Ucto_HK_2021!$A$2:$D$929,4,FALSE)</f>
        <v>1056796.96</v>
      </c>
      <c r="K528" s="568">
        <v>839762.67</v>
      </c>
    </row>
    <row r="529" spans="1:11" s="440" customFormat="1">
      <c r="A529" s="668" t="s">
        <v>2024</v>
      </c>
      <c r="B529" s="668" t="s">
        <v>2025</v>
      </c>
      <c r="C529" s="568">
        <v>0</v>
      </c>
      <c r="D529" s="568">
        <v>1668773.42</v>
      </c>
      <c r="E529" s="568">
        <v>1718765.3</v>
      </c>
      <c r="F529" s="568">
        <v>1742517.7</v>
      </c>
      <c r="G529" s="568">
        <v>1871085.66</v>
      </c>
      <c r="H529" s="568">
        <f>VLOOKUP(A529,Ucto_HK_2021!$A$2:$D$929,4,FALSE)</f>
        <v>2522596.31</v>
      </c>
      <c r="K529" s="568">
        <v>1995067.91</v>
      </c>
    </row>
    <row r="530" spans="1:11" s="440" customFormat="1">
      <c r="A530" s="668" t="s">
        <v>2026</v>
      </c>
      <c r="B530" s="668" t="s">
        <v>2027</v>
      </c>
      <c r="C530" s="568"/>
      <c r="D530" s="568"/>
      <c r="E530" s="568"/>
      <c r="F530" s="568">
        <v>235645.5</v>
      </c>
      <c r="G530" s="568">
        <v>295958.24</v>
      </c>
      <c r="H530" s="568">
        <f>VLOOKUP(A530,Ucto_HK_2021!$A$2:$D$929,4,FALSE)</f>
        <v>436402.11</v>
      </c>
      <c r="K530" s="568">
        <v>341222.38</v>
      </c>
    </row>
    <row r="531" spans="1:11" s="440" customFormat="1">
      <c r="A531" s="668" t="s">
        <v>2028</v>
      </c>
      <c r="B531" s="668" t="s">
        <v>2029</v>
      </c>
      <c r="C531" s="568">
        <v>0</v>
      </c>
      <c r="D531" s="568">
        <v>258908.03</v>
      </c>
      <c r="E531" s="568">
        <v>259873.04</v>
      </c>
      <c r="F531" s="568">
        <v>274147.8</v>
      </c>
      <c r="G531" s="568">
        <v>304140.23</v>
      </c>
      <c r="H531" s="568">
        <f>VLOOKUP(A531,Ucto_HK_2021!$A$2:$D$929,4,FALSE)</f>
        <v>383654.24</v>
      </c>
      <c r="K531" s="568">
        <v>308954.96000000002</v>
      </c>
    </row>
    <row r="532" spans="1:11" s="440" customFormat="1">
      <c r="A532" s="668" t="s">
        <v>2030</v>
      </c>
      <c r="B532" s="668" t="s">
        <v>2031</v>
      </c>
      <c r="C532" s="568">
        <v>0</v>
      </c>
      <c r="D532" s="568">
        <v>101158.83</v>
      </c>
      <c r="E532" s="568">
        <v>103332.71</v>
      </c>
      <c r="F532" s="568">
        <v>107532.44</v>
      </c>
      <c r="G532" s="568">
        <v>120368.9</v>
      </c>
      <c r="H532" s="568">
        <f>VLOOKUP(A532,Ucto_HK_2021!$A$2:$D$929,4,FALSE)</f>
        <v>149537.65</v>
      </c>
      <c r="K532" s="568">
        <v>118329.58</v>
      </c>
    </row>
    <row r="533" spans="1:11" s="440" customFormat="1">
      <c r="A533" s="668" t="s">
        <v>2032</v>
      </c>
      <c r="B533" s="668" t="s">
        <v>2033</v>
      </c>
      <c r="C533" s="568">
        <v>0</v>
      </c>
      <c r="D533" s="568">
        <v>77995.03</v>
      </c>
      <c r="E533" s="568">
        <v>80875.89</v>
      </c>
      <c r="F533" s="568">
        <v>94086.54</v>
      </c>
      <c r="G533" s="568">
        <v>109623.54</v>
      </c>
      <c r="H533" s="568">
        <f>VLOOKUP(A533,Ucto_HK_2021!$A$2:$D$929,4,FALSE)</f>
        <v>149514.10999999999</v>
      </c>
      <c r="K533" s="568">
        <v>117794.82</v>
      </c>
    </row>
    <row r="534" spans="1:11" s="440" customFormat="1">
      <c r="A534" s="668" t="s">
        <v>2034</v>
      </c>
      <c r="B534" s="668" t="s">
        <v>2035</v>
      </c>
      <c r="C534" s="568">
        <v>0</v>
      </c>
      <c r="D534" s="568">
        <v>236508.46</v>
      </c>
      <c r="E534" s="568">
        <v>243019.19</v>
      </c>
      <c r="F534" s="568">
        <v>245870.02</v>
      </c>
      <c r="G534" s="568">
        <v>263447.46999999997</v>
      </c>
      <c r="H534" s="568">
        <f>VLOOKUP(A534,Ucto_HK_2021!$A$2:$D$929,4,FALSE)</f>
        <v>354017.18</v>
      </c>
      <c r="K534" s="568">
        <v>280238.71000000002</v>
      </c>
    </row>
    <row r="535" spans="1:11" s="440" customFormat="1">
      <c r="A535" s="668" t="s">
        <v>2036</v>
      </c>
      <c r="B535" s="668" t="s">
        <v>2037</v>
      </c>
      <c r="C535" s="568"/>
      <c r="D535" s="568"/>
      <c r="E535" s="568"/>
      <c r="F535" s="568">
        <v>33072.61</v>
      </c>
      <c r="G535" s="568">
        <v>41476.83</v>
      </c>
      <c r="H535" s="568">
        <f>VLOOKUP(A535,Ucto_HK_2021!$A$2:$D$929,4,FALSE)</f>
        <v>60920.54</v>
      </c>
      <c r="K535" s="568">
        <v>47693.87</v>
      </c>
    </row>
    <row r="536" spans="1:11" s="440" customFormat="1">
      <c r="A536" s="668" t="s">
        <v>2038</v>
      </c>
      <c r="B536" s="668" t="s">
        <v>2039</v>
      </c>
      <c r="C536" s="568">
        <v>0</v>
      </c>
      <c r="D536" s="568">
        <v>2590795.64</v>
      </c>
      <c r="E536" s="568">
        <v>2600048.09</v>
      </c>
      <c r="F536" s="568">
        <v>2742492.36</v>
      </c>
      <c r="G536" s="568">
        <v>3041803.98</v>
      </c>
      <c r="H536" s="568">
        <f>VLOOKUP(A536,Ucto_HK_2021!$A$2:$D$929,4,FALSE)</f>
        <v>3836899.66</v>
      </c>
      <c r="K536" s="568">
        <v>3089840.95</v>
      </c>
    </row>
    <row r="537" spans="1:11" s="440" customFormat="1">
      <c r="A537" s="668" t="s">
        <v>2040</v>
      </c>
      <c r="B537" s="668" t="s">
        <v>2041</v>
      </c>
      <c r="C537" s="568">
        <v>0</v>
      </c>
      <c r="D537" s="568">
        <v>1013942.67</v>
      </c>
      <c r="E537" s="568">
        <v>1035069.68</v>
      </c>
      <c r="F537" s="568">
        <v>1076009.92</v>
      </c>
      <c r="G537" s="568">
        <v>1203880.1499999999</v>
      </c>
      <c r="H537" s="568">
        <f>VLOOKUP(A537,Ucto_HK_2021!$A$2:$D$929,4,FALSE)</f>
        <v>1495838.09</v>
      </c>
      <c r="K537" s="568">
        <v>1183556.5900000001</v>
      </c>
    </row>
    <row r="538" spans="1:11" s="440" customFormat="1">
      <c r="A538" s="668" t="s">
        <v>2042</v>
      </c>
      <c r="B538" s="668" t="s">
        <v>2043</v>
      </c>
      <c r="C538" s="568">
        <v>0</v>
      </c>
      <c r="D538" s="568">
        <v>759920.29</v>
      </c>
      <c r="E538" s="568">
        <v>806794</v>
      </c>
      <c r="F538" s="568">
        <v>944331.67</v>
      </c>
      <c r="G538" s="568">
        <v>1109960.01</v>
      </c>
      <c r="H538" s="568">
        <f>VLOOKUP(A538,Ucto_HK_2021!$A$2:$D$929,4,FALSE)</f>
        <v>1552630.12</v>
      </c>
      <c r="K538" s="568">
        <v>1212782.3</v>
      </c>
    </row>
    <row r="539" spans="1:11" s="440" customFormat="1">
      <c r="A539" s="668" t="s">
        <v>2044</v>
      </c>
      <c r="B539" s="668" t="s">
        <v>2045</v>
      </c>
      <c r="C539" s="568">
        <v>0</v>
      </c>
      <c r="D539" s="568">
        <v>2365509.06</v>
      </c>
      <c r="E539" s="568">
        <v>2430902.5</v>
      </c>
      <c r="F539" s="568">
        <v>2459291.89</v>
      </c>
      <c r="G539" s="568">
        <v>2635061.5099999998</v>
      </c>
      <c r="H539" s="568">
        <f>VLOOKUP(A539,Ucto_HK_2021!$A$2:$D$929,4,FALSE)</f>
        <v>3541477.85</v>
      </c>
      <c r="K539" s="568">
        <v>2803510.6</v>
      </c>
    </row>
    <row r="540" spans="1:11" s="440" customFormat="1">
      <c r="A540" s="668" t="s">
        <v>2046</v>
      </c>
      <c r="B540" s="668" t="s">
        <v>2047</v>
      </c>
      <c r="C540" s="568"/>
      <c r="D540" s="568"/>
      <c r="E540" s="568"/>
      <c r="F540" s="568">
        <v>330837.62</v>
      </c>
      <c r="G540" s="568">
        <v>414899.12</v>
      </c>
      <c r="H540" s="568">
        <f>VLOOKUP(A540,Ucto_HK_2021!$A$2:$D$929,4,FALSE)</f>
        <v>609738.48</v>
      </c>
      <c r="K540" s="568">
        <v>477347.87</v>
      </c>
    </row>
    <row r="541" spans="1:11" s="440" customFormat="1">
      <c r="A541" s="668" t="s">
        <v>2048</v>
      </c>
      <c r="B541" s="668" t="s">
        <v>2049</v>
      </c>
      <c r="C541" s="568">
        <v>0</v>
      </c>
      <c r="D541" s="568">
        <v>166764.95000000001</v>
      </c>
      <c r="E541" s="568">
        <v>167092.07999999999</v>
      </c>
      <c r="F541" s="568">
        <v>176190.84</v>
      </c>
      <c r="G541" s="568">
        <v>196107.86</v>
      </c>
      <c r="H541" s="568">
        <f>VLOOKUP(A541,Ucto_HK_2021!$A$2:$D$929,4,FALSE)</f>
        <v>252135.41</v>
      </c>
      <c r="K541" s="568">
        <v>203144.25</v>
      </c>
    </row>
    <row r="542" spans="1:11" s="440" customFormat="1">
      <c r="A542" s="668" t="s">
        <v>2050</v>
      </c>
      <c r="B542" s="668" t="s">
        <v>2051</v>
      </c>
      <c r="C542" s="568">
        <v>0</v>
      </c>
      <c r="D542" s="568">
        <v>68374.63</v>
      </c>
      <c r="E542" s="568">
        <v>69189.23</v>
      </c>
      <c r="F542" s="568">
        <v>72231.97</v>
      </c>
      <c r="G542" s="568">
        <v>80249.649999999994</v>
      </c>
      <c r="H542" s="568">
        <f>VLOOKUP(A542,Ucto_HK_2021!$A$2:$D$929,4,FALSE)</f>
        <v>100676.57</v>
      </c>
      <c r="K542" s="568">
        <v>79755.75</v>
      </c>
    </row>
    <row r="543" spans="1:11" s="440" customFormat="1">
      <c r="A543" s="668" t="s">
        <v>2052</v>
      </c>
      <c r="B543" s="668" t="s">
        <v>2053</v>
      </c>
      <c r="C543" s="568">
        <v>0</v>
      </c>
      <c r="D543" s="568">
        <v>49125.919999999998</v>
      </c>
      <c r="E543" s="568">
        <v>51120.47</v>
      </c>
      <c r="F543" s="568">
        <v>58140.01</v>
      </c>
      <c r="G543" s="568">
        <v>69266.740000000005</v>
      </c>
      <c r="H543" s="568">
        <f>VLOOKUP(A543,Ucto_HK_2021!$A$2:$D$929,4,FALSE)</f>
        <v>97582.24</v>
      </c>
      <c r="K543" s="568">
        <v>76763.25</v>
      </c>
    </row>
    <row r="544" spans="1:11" s="440" customFormat="1">
      <c r="A544" s="668" t="s">
        <v>2054</v>
      </c>
      <c r="B544" s="668" t="s">
        <v>2055</v>
      </c>
      <c r="C544" s="568">
        <v>0</v>
      </c>
      <c r="D544" s="568">
        <v>164592.29</v>
      </c>
      <c r="E544" s="568">
        <v>168425.26</v>
      </c>
      <c r="F544" s="568">
        <v>169499.39</v>
      </c>
      <c r="G544" s="568">
        <v>181887.05</v>
      </c>
      <c r="H544" s="568">
        <f>VLOOKUP(A544,Ucto_HK_2021!$A$2:$D$929,4,FALSE)</f>
        <v>245610.18</v>
      </c>
      <c r="K544" s="568">
        <v>194540.69</v>
      </c>
    </row>
    <row r="545" spans="1:11" s="440" customFormat="1">
      <c r="A545" s="668" t="s">
        <v>2056</v>
      </c>
      <c r="B545" s="668" t="s">
        <v>2057</v>
      </c>
      <c r="C545" s="568"/>
      <c r="D545" s="568"/>
      <c r="E545" s="568"/>
      <c r="F545" s="568">
        <v>23203.88</v>
      </c>
      <c r="G545" s="568">
        <v>28242</v>
      </c>
      <c r="H545" s="568">
        <f>VLOOKUP(A545,Ucto_HK_2021!$A$2:$D$929,4,FALSE)</f>
        <v>42960.77</v>
      </c>
      <c r="K545" s="568">
        <v>33639.620000000003</v>
      </c>
    </row>
    <row r="546" spans="1:11" s="440" customFormat="1">
      <c r="A546" s="668" t="s">
        <v>2058</v>
      </c>
      <c r="B546" s="668" t="s">
        <v>2059</v>
      </c>
      <c r="C546" s="568">
        <v>0</v>
      </c>
      <c r="D546" s="568">
        <v>504357.18</v>
      </c>
      <c r="E546" s="568">
        <v>505240.06</v>
      </c>
      <c r="F546" s="568">
        <v>531478.65</v>
      </c>
      <c r="G546" s="568">
        <v>590825.49</v>
      </c>
      <c r="H546" s="568">
        <f>VLOOKUP(A546,Ucto_HK_2021!$A$2:$D$929,4,FALSE)</f>
        <v>760602.11</v>
      </c>
      <c r="K546" s="568">
        <v>612600.85</v>
      </c>
    </row>
    <row r="547" spans="1:11" s="440" customFormat="1">
      <c r="A547" s="668" t="s">
        <v>2060</v>
      </c>
      <c r="B547" s="668" t="s">
        <v>2061</v>
      </c>
      <c r="C547" s="568">
        <v>0</v>
      </c>
      <c r="D547" s="568">
        <v>207157.62</v>
      </c>
      <c r="E547" s="568">
        <v>209196.03</v>
      </c>
      <c r="F547" s="568">
        <v>218047.93</v>
      </c>
      <c r="G547" s="568">
        <v>241955.15</v>
      </c>
      <c r="H547" s="568">
        <f>VLOOKUP(A547,Ucto_HK_2021!$A$2:$D$929,4,FALSE)</f>
        <v>303393.71000000002</v>
      </c>
      <c r="K547" s="568">
        <v>240309.57</v>
      </c>
    </row>
    <row r="548" spans="1:11" s="440" customFormat="1">
      <c r="A548" s="668" t="s">
        <v>2062</v>
      </c>
      <c r="B548" s="668" t="s">
        <v>2063</v>
      </c>
      <c r="C548" s="568">
        <v>0</v>
      </c>
      <c r="D548" s="568">
        <v>148696.26999999999</v>
      </c>
      <c r="E548" s="568">
        <v>154837.91</v>
      </c>
      <c r="F548" s="568">
        <v>176378.5</v>
      </c>
      <c r="G548" s="568">
        <v>211578.73</v>
      </c>
      <c r="H548" s="568">
        <f>VLOOKUP(A548,Ucto_HK_2021!$A$2:$D$929,4,FALSE)</f>
        <v>306387.59000000003</v>
      </c>
      <c r="K548" s="568">
        <v>238759.16</v>
      </c>
    </row>
    <row r="549" spans="1:11" s="440" customFormat="1">
      <c r="A549" s="668" t="s">
        <v>2064</v>
      </c>
      <c r="B549" s="668" t="s">
        <v>2065</v>
      </c>
      <c r="C549" s="568">
        <v>0</v>
      </c>
      <c r="D549" s="568">
        <v>495076.69</v>
      </c>
      <c r="E549" s="568">
        <v>506501.23</v>
      </c>
      <c r="F549" s="568">
        <v>510215.65</v>
      </c>
      <c r="G549" s="568">
        <v>547104.94999999995</v>
      </c>
      <c r="H549" s="568">
        <f>VLOOKUP(A549,Ucto_HK_2021!$A$2:$D$929,4,FALSE)</f>
        <v>739037.9</v>
      </c>
      <c r="K549" s="568">
        <v>585365.9</v>
      </c>
    </row>
    <row r="550" spans="1:11" s="440" customFormat="1">
      <c r="A550" s="668" t="s">
        <v>2066</v>
      </c>
      <c r="B550" s="668" t="s">
        <v>2067</v>
      </c>
      <c r="C550" s="568"/>
      <c r="D550" s="568"/>
      <c r="E550" s="568"/>
      <c r="F550" s="568">
        <v>69630.460000000006</v>
      </c>
      <c r="G550" s="568">
        <v>87760.68</v>
      </c>
      <c r="H550" s="568">
        <f>VLOOKUP(A550,Ucto_HK_2021!$A$2:$D$929,4,FALSE)</f>
        <v>128994.43</v>
      </c>
      <c r="K550" s="568">
        <v>101005.56</v>
      </c>
    </row>
    <row r="551" spans="1:11" s="440" customFormat="1">
      <c r="A551" s="668" t="s">
        <v>2068</v>
      </c>
      <c r="B551" s="668" t="s">
        <v>2069</v>
      </c>
      <c r="C551" s="568">
        <v>0</v>
      </c>
      <c r="D551" s="568">
        <v>148425.68</v>
      </c>
      <c r="E551" s="568">
        <v>148931.07999999999</v>
      </c>
      <c r="F551" s="568">
        <v>156957.94</v>
      </c>
      <c r="G551" s="568">
        <v>174224.1</v>
      </c>
      <c r="H551" s="568">
        <f>VLOOKUP(A551,Ucto_HK_2021!$A$2:$D$929,4,FALSE)</f>
        <v>220139.08</v>
      </c>
      <c r="K551" s="568">
        <v>177161.3</v>
      </c>
    </row>
    <row r="552" spans="1:11" s="440" customFormat="1">
      <c r="A552" s="668" t="s">
        <v>2070</v>
      </c>
      <c r="B552" s="668" t="s">
        <v>2071</v>
      </c>
      <c r="C552" s="568">
        <v>0</v>
      </c>
      <c r="D552" s="568">
        <v>59250.720000000001</v>
      </c>
      <c r="E552" s="568">
        <v>60572.53</v>
      </c>
      <c r="F552" s="568">
        <v>61771.21</v>
      </c>
      <c r="G552" s="568">
        <v>68946.13</v>
      </c>
      <c r="H552" s="568">
        <f>VLOOKUP(A552,Ucto_HK_2021!$A$2:$D$929,4,FALSE)</f>
        <v>85930.09</v>
      </c>
      <c r="K552" s="568">
        <v>67940.2</v>
      </c>
    </row>
    <row r="553" spans="1:11" s="440" customFormat="1">
      <c r="A553" s="668" t="s">
        <v>2072</v>
      </c>
      <c r="B553" s="668" t="s">
        <v>2073</v>
      </c>
      <c r="C553" s="568">
        <v>0</v>
      </c>
      <c r="D553" s="568">
        <v>43671.8</v>
      </c>
      <c r="E553" s="568">
        <v>46179.76</v>
      </c>
      <c r="F553" s="568">
        <v>55810.92</v>
      </c>
      <c r="G553" s="568">
        <v>65918.83</v>
      </c>
      <c r="H553" s="568">
        <f>VLOOKUP(A553,Ucto_HK_2021!$A$2:$D$929,4,FALSE)</f>
        <v>91967.89</v>
      </c>
      <c r="K553" s="568">
        <v>72080.91</v>
      </c>
    </row>
    <row r="554" spans="1:11" s="440" customFormat="1">
      <c r="A554" s="668" t="s">
        <v>2074</v>
      </c>
      <c r="B554" s="668" t="s">
        <v>2075</v>
      </c>
      <c r="C554" s="568">
        <v>0</v>
      </c>
      <c r="D554" s="568">
        <v>135614.29999999999</v>
      </c>
      <c r="E554" s="568">
        <v>139128.91</v>
      </c>
      <c r="F554" s="568">
        <v>140668.44</v>
      </c>
      <c r="G554" s="568">
        <v>151135.87</v>
      </c>
      <c r="H554" s="568">
        <f>VLOOKUP(A554,Ucto_HK_2021!$A$2:$D$929,4,FALSE)</f>
        <v>203218.46</v>
      </c>
      <c r="K554" s="568">
        <v>160673.03</v>
      </c>
    </row>
    <row r="555" spans="1:11" s="440" customFormat="1">
      <c r="A555" s="668" t="s">
        <v>2076</v>
      </c>
      <c r="B555" s="668" t="s">
        <v>2077</v>
      </c>
      <c r="C555" s="568"/>
      <c r="D555" s="568"/>
      <c r="E555" s="568"/>
      <c r="F555" s="568">
        <v>18903.02</v>
      </c>
      <c r="G555" s="568">
        <v>23724.47</v>
      </c>
      <c r="H555" s="568">
        <f>VLOOKUP(A555,Ucto_HK_2021!$A$2:$D$929,4,FALSE)</f>
        <v>34950.230000000003</v>
      </c>
      <c r="K555" s="568">
        <v>27325.39</v>
      </c>
    </row>
    <row r="556" spans="1:11" s="440" customFormat="1">
      <c r="A556" s="668" t="s">
        <v>2078</v>
      </c>
      <c r="B556" s="668" t="s">
        <v>2079</v>
      </c>
      <c r="C556" s="568">
        <v>0</v>
      </c>
      <c r="D556" s="568">
        <v>878987.1</v>
      </c>
      <c r="E556" s="568">
        <v>882121.68</v>
      </c>
      <c r="F556" s="568">
        <v>930389.13</v>
      </c>
      <c r="G556" s="568">
        <v>1032019.23</v>
      </c>
      <c r="H556" s="568">
        <f>VLOOKUP(A556,Ucto_HK_2021!$A$2:$D$929,4,FALSE)</f>
        <v>1301773.71</v>
      </c>
      <c r="K556" s="568">
        <v>1048312.89</v>
      </c>
    </row>
    <row r="557" spans="1:11" s="440" customFormat="1">
      <c r="A557" s="668" t="s">
        <v>2080</v>
      </c>
      <c r="B557" s="668" t="s">
        <v>2081</v>
      </c>
      <c r="C557" s="568">
        <v>0</v>
      </c>
      <c r="D557" s="568">
        <v>343989.08</v>
      </c>
      <c r="E557" s="568">
        <v>351160.31</v>
      </c>
      <c r="F557" s="568">
        <v>365053.3</v>
      </c>
      <c r="G557" s="568">
        <v>408513.09</v>
      </c>
      <c r="H557" s="568">
        <f>VLOOKUP(A557,Ucto_HK_2021!$A$2:$D$929,4,FALSE)</f>
        <v>507492.12</v>
      </c>
      <c r="K557" s="568">
        <v>401542.71</v>
      </c>
    </row>
    <row r="558" spans="1:11" s="440" customFormat="1">
      <c r="A558" s="668" t="s">
        <v>2082</v>
      </c>
      <c r="B558" s="668" t="s">
        <v>2083</v>
      </c>
      <c r="C558" s="568">
        <v>0</v>
      </c>
      <c r="D558" s="568">
        <v>257781.44</v>
      </c>
      <c r="E558" s="568">
        <v>273358.38</v>
      </c>
      <c r="F558" s="568">
        <v>320383.26</v>
      </c>
      <c r="G558" s="568">
        <v>376803.63</v>
      </c>
      <c r="H558" s="568">
        <f>VLOOKUP(A558,Ucto_HK_2021!$A$2:$D$929,4,FALSE)</f>
        <v>526747.69999999995</v>
      </c>
      <c r="K558" s="568">
        <v>411450.25</v>
      </c>
    </row>
    <row r="559" spans="1:11" s="440" customFormat="1">
      <c r="A559" s="668" t="s">
        <v>2084</v>
      </c>
      <c r="B559" s="668" t="s">
        <v>2085</v>
      </c>
      <c r="C559" s="568">
        <v>0</v>
      </c>
      <c r="D559" s="568">
        <v>802530.28</v>
      </c>
      <c r="E559" s="568">
        <v>824719.43</v>
      </c>
      <c r="F559" s="568">
        <v>834359.36</v>
      </c>
      <c r="G559" s="568">
        <v>893995.74</v>
      </c>
      <c r="H559" s="568">
        <f>VLOOKUP(A559,Ucto_HK_2021!$A$2:$D$929,4,FALSE)</f>
        <v>1201528.29</v>
      </c>
      <c r="K559" s="568">
        <v>951154.12</v>
      </c>
    </row>
    <row r="560" spans="1:11" s="440" customFormat="1">
      <c r="A560" s="668" t="s">
        <v>2086</v>
      </c>
      <c r="B560" s="668" t="s">
        <v>2087</v>
      </c>
      <c r="C560" s="568"/>
      <c r="D560" s="568"/>
      <c r="E560" s="568"/>
      <c r="F560" s="568">
        <v>112239.82</v>
      </c>
      <c r="G560" s="568">
        <v>140761.39000000001</v>
      </c>
      <c r="H560" s="568">
        <f>VLOOKUP(A560,Ucto_HK_2021!$A$2:$D$929,4,FALSE)</f>
        <v>206864.75</v>
      </c>
      <c r="K560" s="568">
        <v>161948.6</v>
      </c>
    </row>
    <row r="561" spans="1:11" s="440" customFormat="1">
      <c r="A561" s="668" t="s">
        <v>2088</v>
      </c>
      <c r="B561" s="668" t="s">
        <v>2089</v>
      </c>
      <c r="C561" s="568">
        <v>0</v>
      </c>
      <c r="D561" s="568">
        <v>98126.36</v>
      </c>
      <c r="E561" s="568">
        <v>89692</v>
      </c>
      <c r="F561" s="568">
        <v>96126.67</v>
      </c>
      <c r="G561" s="568">
        <v>92652.24</v>
      </c>
      <c r="H561" s="568">
        <f>VLOOKUP(A561,Ucto_HK_2021!$A$2:$D$929,4,FALSE)</f>
        <v>87398</v>
      </c>
      <c r="K561" s="568">
        <v>71082</v>
      </c>
    </row>
    <row r="562" spans="1:11" s="440" customFormat="1">
      <c r="A562" s="668" t="s">
        <v>2090</v>
      </c>
      <c r="B562" s="668" t="s">
        <v>2091</v>
      </c>
      <c r="C562" s="568">
        <v>0</v>
      </c>
      <c r="D562" s="568">
        <v>14182.32</v>
      </c>
      <c r="E562" s="568">
        <v>12945.94</v>
      </c>
      <c r="F562" s="568">
        <v>13616.71</v>
      </c>
      <c r="G562" s="568">
        <v>14135.31</v>
      </c>
      <c r="H562" s="568">
        <f>VLOOKUP(A562,Ucto_HK_2021!$A$2:$D$929,4,FALSE)</f>
        <v>12154</v>
      </c>
      <c r="K562" s="568">
        <v>9856</v>
      </c>
    </row>
    <row r="563" spans="1:11" s="440" customFormat="1">
      <c r="A563" s="668" t="s">
        <v>2092</v>
      </c>
      <c r="B563" s="668" t="s">
        <v>2093</v>
      </c>
      <c r="C563" s="568">
        <v>0</v>
      </c>
      <c r="D563" s="568">
        <v>142021</v>
      </c>
      <c r="E563" s="568">
        <v>128967.08</v>
      </c>
      <c r="F563" s="568">
        <v>136359.79</v>
      </c>
      <c r="G563" s="568">
        <v>132572.01999999999</v>
      </c>
      <c r="H563" s="568">
        <f>VLOOKUP(A563,Ucto_HK_2021!$A$2:$D$929,4,FALSE)</f>
        <v>121590</v>
      </c>
      <c r="K563" s="568">
        <v>98597</v>
      </c>
    </row>
    <row r="564" spans="1:11" s="440" customFormat="1">
      <c r="A564" s="668" t="s">
        <v>2094</v>
      </c>
      <c r="B564" s="668" t="s">
        <v>2095</v>
      </c>
      <c r="C564" s="568">
        <v>0</v>
      </c>
      <c r="D564" s="568">
        <v>8882.44</v>
      </c>
      <c r="E564" s="568">
        <v>8034.66</v>
      </c>
      <c r="F564" s="568">
        <v>8347.0400000000009</v>
      </c>
      <c r="G564" s="568">
        <v>8288.81</v>
      </c>
      <c r="H564" s="568">
        <f>VLOOKUP(A564,Ucto_HK_2021!$A$2:$D$929,4,FALSE)</f>
        <v>7952</v>
      </c>
      <c r="K564" s="568">
        <v>6453</v>
      </c>
    </row>
    <row r="565" spans="1:11" s="440" customFormat="1">
      <c r="A565" s="668" t="s">
        <v>2096</v>
      </c>
      <c r="B565" s="668" t="s">
        <v>2097</v>
      </c>
      <c r="C565" s="568">
        <v>0</v>
      </c>
      <c r="D565" s="568">
        <v>26852.65</v>
      </c>
      <c r="E565" s="568">
        <v>24257.01</v>
      </c>
      <c r="F565" s="568">
        <v>25176.45</v>
      </c>
      <c r="G565" s="568">
        <v>25252.639999999999</v>
      </c>
      <c r="H565" s="568">
        <f>VLOOKUP(A565,Ucto_HK_2021!$A$2:$D$929,4,FALSE)</f>
        <v>24012</v>
      </c>
      <c r="K565" s="568">
        <v>19476</v>
      </c>
    </row>
    <row r="566" spans="1:11" s="440" customFormat="1">
      <c r="A566" s="668" t="s">
        <v>2098</v>
      </c>
      <c r="B566" s="668" t="s">
        <v>2099</v>
      </c>
      <c r="C566" s="568">
        <v>0</v>
      </c>
      <c r="D566" s="568">
        <v>8162.77</v>
      </c>
      <c r="E566" s="568">
        <v>7421.81</v>
      </c>
      <c r="F566" s="568">
        <v>7836.02</v>
      </c>
      <c r="G566" s="568">
        <v>7512.39</v>
      </c>
      <c r="H566" s="568">
        <f>VLOOKUP(A566,Ucto_HK_2021!$A$2:$D$929,4,FALSE)</f>
        <v>7028</v>
      </c>
      <c r="K566" s="568">
        <v>5714</v>
      </c>
    </row>
    <row r="567" spans="1:11" s="440" customFormat="1">
      <c r="A567" s="668" t="s">
        <v>2100</v>
      </c>
      <c r="B567" s="668" t="s">
        <v>2101</v>
      </c>
      <c r="C567" s="568">
        <v>0</v>
      </c>
      <c r="D567" s="568">
        <v>48196.35</v>
      </c>
      <c r="E567" s="568">
        <v>44220.52</v>
      </c>
      <c r="F567" s="568">
        <v>46253.82</v>
      </c>
      <c r="G567" s="568">
        <v>44227.21</v>
      </c>
      <c r="H567" s="568">
        <f>VLOOKUP(A567,Ucto_HK_2021!$A$2:$D$929,4,FALSE)</f>
        <v>41258</v>
      </c>
      <c r="K567" s="568">
        <v>33456</v>
      </c>
    </row>
    <row r="568" spans="1:11" s="440" customFormat="1">
      <c r="A568" s="668" t="s">
        <v>818</v>
      </c>
      <c r="C568" s="568">
        <v>0</v>
      </c>
      <c r="D568" s="568">
        <v>16924380.800000001</v>
      </c>
      <c r="E568" s="568">
        <v>17269538.879999999</v>
      </c>
      <c r="F568" s="568">
        <v>18992650.199999999</v>
      </c>
      <c r="G568" s="568">
        <v>21092796.57</v>
      </c>
      <c r="H568" s="568">
        <f>VLOOKUP(A568,Ucto_HK_2021!$A$2:$D$929,4,FALSE)</f>
        <v>27607585.219999999</v>
      </c>
      <c r="K568" s="568">
        <v>21948023.02</v>
      </c>
    </row>
    <row r="569" spans="1:11" s="440" customFormat="1">
      <c r="A569" s="668" t="s">
        <v>2102</v>
      </c>
      <c r="B569" s="668" t="s">
        <v>2103</v>
      </c>
      <c r="C569" s="568">
        <v>0</v>
      </c>
      <c r="D569" s="568">
        <v>95463.77</v>
      </c>
      <c r="E569" s="568">
        <v>99223.25</v>
      </c>
      <c r="F569" s="568">
        <v>110554.26</v>
      </c>
      <c r="G569" s="568">
        <v>117683.06</v>
      </c>
      <c r="H569" s="568">
        <f>VLOOKUP(A569,Ucto_HK_2021!$A$2:$D$929,4,FALSE)</f>
        <v>195164.3</v>
      </c>
      <c r="K569" s="568">
        <v>155474.06</v>
      </c>
    </row>
    <row r="570" spans="1:11" s="440" customFormat="1">
      <c r="A570" s="668" t="s">
        <v>2104</v>
      </c>
      <c r="B570" s="668" t="s">
        <v>2105</v>
      </c>
      <c r="C570" s="568">
        <v>0</v>
      </c>
      <c r="D570" s="568">
        <v>83500.23</v>
      </c>
      <c r="E570" s="568">
        <v>84901</v>
      </c>
      <c r="F570" s="568">
        <v>88447.52</v>
      </c>
      <c r="G570" s="568">
        <v>99411.54</v>
      </c>
      <c r="H570" s="568">
        <f>VLOOKUP(A570,Ucto_HK_2021!$A$2:$D$929,4,FALSE)</f>
        <v>133992.65</v>
      </c>
      <c r="K570" s="568">
        <v>106750.3</v>
      </c>
    </row>
    <row r="571" spans="1:11" s="440" customFormat="1">
      <c r="A571" s="668" t="s">
        <v>2106</v>
      </c>
      <c r="B571" s="668" t="s">
        <v>2107</v>
      </c>
      <c r="C571" s="568">
        <v>0</v>
      </c>
      <c r="D571" s="568">
        <v>54636.05</v>
      </c>
      <c r="E571" s="568">
        <v>59217.97</v>
      </c>
      <c r="F571" s="568">
        <v>68391.710000000006</v>
      </c>
      <c r="G571" s="568">
        <v>74630.59</v>
      </c>
      <c r="H571" s="568">
        <f>VLOOKUP(A571,Ucto_HK_2021!$A$2:$D$929,4,FALSE)</f>
        <v>83730.67</v>
      </c>
      <c r="K571" s="568">
        <v>67572.61</v>
      </c>
    </row>
    <row r="572" spans="1:11" s="440" customFormat="1">
      <c r="A572" s="668" t="s">
        <v>2108</v>
      </c>
      <c r="B572" s="668" t="s">
        <v>2109</v>
      </c>
      <c r="C572" s="568">
        <v>0</v>
      </c>
      <c r="D572" s="568">
        <v>146382.28</v>
      </c>
      <c r="E572" s="568">
        <v>154167.09</v>
      </c>
      <c r="F572" s="568">
        <v>167875.79</v>
      </c>
      <c r="G572" s="568">
        <v>186398.09</v>
      </c>
      <c r="H572" s="568">
        <f>VLOOKUP(A572,Ucto_HK_2021!$A$2:$D$929,4,FALSE)</f>
        <v>295898.28000000003</v>
      </c>
      <c r="K572" s="568">
        <v>234134.49</v>
      </c>
    </row>
    <row r="573" spans="1:11" s="440" customFormat="1">
      <c r="A573" s="668" t="s">
        <v>2110</v>
      </c>
      <c r="B573" s="668" t="s">
        <v>2111</v>
      </c>
      <c r="C573" s="568"/>
      <c r="D573" s="568"/>
      <c r="E573" s="568"/>
      <c r="F573" s="568">
        <v>11179.13</v>
      </c>
      <c r="G573" s="568">
        <v>14409.47</v>
      </c>
      <c r="H573" s="568">
        <f>VLOOKUP(A573,Ucto_HK_2021!$A$2:$D$929,4,FALSE)</f>
        <v>25417.52</v>
      </c>
      <c r="K573" s="568">
        <v>19728.46</v>
      </c>
    </row>
    <row r="574" spans="1:11" s="440" customFormat="1">
      <c r="A574" s="668" t="s">
        <v>2112</v>
      </c>
      <c r="B574" s="668" t="s">
        <v>2113</v>
      </c>
      <c r="C574" s="568">
        <v>0</v>
      </c>
      <c r="D574" s="568">
        <v>10497.01</v>
      </c>
      <c r="E574" s="568">
        <v>9934.24</v>
      </c>
      <c r="F574" s="568">
        <v>9449.3700000000008</v>
      </c>
      <c r="G574" s="568">
        <v>5702.29</v>
      </c>
      <c r="H574" s="568">
        <f>VLOOKUP(A574,Ucto_HK_2021!$A$2:$D$929,4,FALSE)</f>
        <v>5303</v>
      </c>
      <c r="K574" s="568">
        <v>4346</v>
      </c>
    </row>
    <row r="575" spans="1:11" s="440" customFormat="1">
      <c r="A575" s="668" t="s">
        <v>820</v>
      </c>
      <c r="C575" s="568">
        <v>0</v>
      </c>
      <c r="D575" s="568">
        <v>390479.34</v>
      </c>
      <c r="E575" s="568">
        <v>407443.55</v>
      </c>
      <c r="F575" s="568">
        <v>455897.78</v>
      </c>
      <c r="G575" s="568">
        <v>498235.04</v>
      </c>
      <c r="H575" s="568">
        <f>VLOOKUP(A575,Ucto_HK_2021!$A$2:$D$929,4,FALSE)</f>
        <v>739506.42</v>
      </c>
      <c r="K575" s="568">
        <v>588005.92000000004</v>
      </c>
    </row>
    <row r="576" spans="1:11" s="440" customFormat="1">
      <c r="A576" s="668" t="s">
        <v>2114</v>
      </c>
      <c r="B576" s="668" t="s">
        <v>2115</v>
      </c>
      <c r="C576" s="568">
        <v>0</v>
      </c>
      <c r="D576" s="568">
        <v>206182.9</v>
      </c>
      <c r="E576" s="568">
        <v>208906.39</v>
      </c>
      <c r="F576" s="568">
        <v>228115.01</v>
      </c>
      <c r="G576" s="568">
        <v>260692.28</v>
      </c>
      <c r="H576" s="568">
        <f>VLOOKUP(A576,Ucto_HK_2021!$A$2:$D$929,4,FALSE)</f>
        <v>324596.77</v>
      </c>
      <c r="K576" s="568">
        <v>260159.3</v>
      </c>
    </row>
    <row r="577" spans="1:11" s="440" customFormat="1">
      <c r="A577" s="668" t="s">
        <v>2116</v>
      </c>
      <c r="B577" s="668" t="s">
        <v>2117</v>
      </c>
      <c r="C577" s="568">
        <v>0</v>
      </c>
      <c r="D577" s="568">
        <v>89171.68</v>
      </c>
      <c r="E577" s="568">
        <v>93006.399999999994</v>
      </c>
      <c r="F577" s="568">
        <v>96574.41</v>
      </c>
      <c r="G577" s="568">
        <v>108074.5</v>
      </c>
      <c r="H577" s="568">
        <f>VLOOKUP(A577,Ucto_HK_2021!$A$2:$D$929,4,FALSE)</f>
        <v>135852.44</v>
      </c>
      <c r="K577" s="568">
        <v>107467.98</v>
      </c>
    </row>
    <row r="578" spans="1:11" s="440" customFormat="1">
      <c r="A578" s="668" t="s">
        <v>2118</v>
      </c>
      <c r="B578" s="668" t="s">
        <v>2119</v>
      </c>
      <c r="C578" s="568">
        <v>0</v>
      </c>
      <c r="D578" s="568">
        <v>80306.320000000007</v>
      </c>
      <c r="E578" s="568">
        <v>84824.55</v>
      </c>
      <c r="F578" s="568">
        <v>96873.44</v>
      </c>
      <c r="G578" s="568">
        <v>110265.67</v>
      </c>
      <c r="H578" s="568">
        <f>VLOOKUP(A578,Ucto_HK_2021!$A$2:$D$929,4,FALSE)</f>
        <v>146332.85</v>
      </c>
      <c r="K578" s="568">
        <v>117056.58</v>
      </c>
    </row>
    <row r="579" spans="1:11" s="440" customFormat="1">
      <c r="A579" s="668" t="s">
        <v>2120</v>
      </c>
      <c r="B579" s="668" t="s">
        <v>2121</v>
      </c>
      <c r="C579" s="568">
        <v>0</v>
      </c>
      <c r="D579" s="568">
        <v>210789.57</v>
      </c>
      <c r="E579" s="568">
        <v>220953.32</v>
      </c>
      <c r="F579" s="568">
        <v>224324.38</v>
      </c>
      <c r="G579" s="568">
        <v>244990.62</v>
      </c>
      <c r="H579" s="568">
        <f>VLOOKUP(A579,Ucto_HK_2021!$A$2:$D$929,4,FALSE)</f>
        <v>326535.36</v>
      </c>
      <c r="K579" s="568">
        <v>258004.79</v>
      </c>
    </row>
    <row r="580" spans="1:11" s="440" customFormat="1">
      <c r="A580" s="668" t="s">
        <v>2122</v>
      </c>
      <c r="B580" s="668" t="s">
        <v>2123</v>
      </c>
      <c r="C580" s="568"/>
      <c r="D580" s="568"/>
      <c r="E580" s="568"/>
      <c r="F580" s="568">
        <v>30139.39</v>
      </c>
      <c r="G580" s="568">
        <v>38373.67</v>
      </c>
      <c r="H580" s="568">
        <f>VLOOKUP(A580,Ucto_HK_2021!$A$2:$D$929,4,FALSE)</f>
        <v>56280.83</v>
      </c>
      <c r="K580" s="568">
        <v>43944.43</v>
      </c>
    </row>
    <row r="581" spans="1:11" s="440" customFormat="1">
      <c r="A581" s="668" t="s">
        <v>2124</v>
      </c>
      <c r="B581" s="668" t="s">
        <v>2125</v>
      </c>
      <c r="C581" s="568">
        <v>0</v>
      </c>
      <c r="D581" s="568">
        <v>72638.22</v>
      </c>
      <c r="E581" s="568">
        <v>74102.61</v>
      </c>
      <c r="F581" s="568">
        <v>77488.5</v>
      </c>
      <c r="G581" s="568">
        <v>107497.85</v>
      </c>
      <c r="H581" s="568">
        <f>VLOOKUP(A581,Ucto_HK_2021!$A$2:$D$929,4,FALSE)</f>
        <v>87786.64</v>
      </c>
      <c r="K581" s="568">
        <v>72355.539999999994</v>
      </c>
    </row>
    <row r="582" spans="1:11" s="440" customFormat="1">
      <c r="A582" s="668" t="s">
        <v>2126</v>
      </c>
      <c r="B582" s="668" t="s">
        <v>2127</v>
      </c>
      <c r="C582" s="568">
        <v>0</v>
      </c>
      <c r="D582" s="568">
        <v>76247.72</v>
      </c>
      <c r="E582" s="568">
        <v>78027.61</v>
      </c>
      <c r="F582" s="568">
        <v>78174.27</v>
      </c>
      <c r="G582" s="568">
        <v>142596.47</v>
      </c>
      <c r="H582" s="568">
        <f>VLOOKUP(A582,Ucto_HK_2021!$A$2:$D$929,4,FALSE)</f>
        <v>78896.479999999996</v>
      </c>
      <c r="K582" s="568">
        <v>66514.91</v>
      </c>
    </row>
    <row r="583" spans="1:11" s="440" customFormat="1">
      <c r="A583" s="668" t="s">
        <v>2128</v>
      </c>
      <c r="B583" s="668" t="s">
        <v>2129</v>
      </c>
      <c r="C583" s="568">
        <v>0</v>
      </c>
      <c r="D583" s="568">
        <v>90861.4</v>
      </c>
      <c r="E583" s="568">
        <v>90642.95</v>
      </c>
      <c r="F583" s="568">
        <v>97128.12</v>
      </c>
      <c r="G583" s="568">
        <v>91113.81</v>
      </c>
      <c r="H583" s="568">
        <f>VLOOKUP(A583,Ucto_HK_2021!$A$2:$D$929,4,FALSE)</f>
        <v>112737.33</v>
      </c>
      <c r="K583" s="568">
        <v>94125.13</v>
      </c>
    </row>
    <row r="584" spans="1:11" s="440" customFormat="1">
      <c r="A584" s="668" t="s">
        <v>2130</v>
      </c>
      <c r="B584" s="668" t="s">
        <v>2131</v>
      </c>
      <c r="C584" s="568">
        <v>0</v>
      </c>
      <c r="D584" s="568">
        <v>120955.66</v>
      </c>
      <c r="E584" s="568">
        <v>130513.72</v>
      </c>
      <c r="F584" s="568">
        <v>119345.03</v>
      </c>
      <c r="G584" s="568">
        <v>122872</v>
      </c>
      <c r="H584" s="568">
        <f>VLOOKUP(A584,Ucto_HK_2021!$A$2:$D$929,4,FALSE)</f>
        <v>121933.7</v>
      </c>
      <c r="K584" s="568">
        <v>102526.83</v>
      </c>
    </row>
    <row r="585" spans="1:11" s="440" customFormat="1">
      <c r="A585" s="668" t="s">
        <v>2132</v>
      </c>
      <c r="B585" s="668" t="s">
        <v>2133</v>
      </c>
      <c r="C585" s="568"/>
      <c r="D585" s="568"/>
      <c r="E585" s="568"/>
      <c r="F585" s="568">
        <v>19537.75</v>
      </c>
      <c r="G585" s="568">
        <v>23328.54</v>
      </c>
      <c r="H585" s="568">
        <f>VLOOKUP(A585,Ucto_HK_2021!$A$2:$D$929,4,FALSE)</f>
        <v>25703.91</v>
      </c>
      <c r="K585" s="568">
        <v>21632.82</v>
      </c>
    </row>
    <row r="586" spans="1:11" s="440" customFormat="1">
      <c r="A586" s="668" t="s">
        <v>2134</v>
      </c>
      <c r="B586" s="668" t="s">
        <v>2135</v>
      </c>
      <c r="C586" s="568">
        <v>0</v>
      </c>
      <c r="D586" s="568">
        <v>17735.740000000002</v>
      </c>
      <c r="E586" s="568">
        <v>8135.91</v>
      </c>
      <c r="F586" s="568">
        <v>16304.23</v>
      </c>
      <c r="G586" s="568">
        <v>6817.59</v>
      </c>
      <c r="H586" s="568">
        <f>VLOOKUP(A586,Ucto_HK_2021!$A$2:$D$929,4,FALSE)</f>
        <v>7052.76</v>
      </c>
      <c r="K586" s="568">
        <v>7052.76</v>
      </c>
    </row>
    <row r="587" spans="1:11" s="440" customFormat="1">
      <c r="A587" s="668" t="s">
        <v>2136</v>
      </c>
      <c r="B587" s="668" t="s">
        <v>2137</v>
      </c>
      <c r="C587" s="568">
        <v>0</v>
      </c>
      <c r="D587" s="568">
        <v>5998.69</v>
      </c>
      <c r="E587" s="568">
        <v>3794.84</v>
      </c>
      <c r="F587" s="568">
        <v>5458.09</v>
      </c>
      <c r="G587" s="568">
        <v>48500.08</v>
      </c>
      <c r="H587" s="568">
        <f>VLOOKUP(A587,Ucto_HK_2021!$A$2:$D$929,4,FALSE)</f>
        <v>12773.52</v>
      </c>
      <c r="K587" s="568">
        <v>12773.52</v>
      </c>
    </row>
    <row r="588" spans="1:11" s="440" customFormat="1">
      <c r="A588" s="668" t="s">
        <v>2138</v>
      </c>
      <c r="B588" s="668" t="s">
        <v>2139</v>
      </c>
      <c r="C588" s="568">
        <v>0</v>
      </c>
      <c r="D588" s="568">
        <v>8423.08</v>
      </c>
      <c r="E588" s="568">
        <v>4226.22</v>
      </c>
      <c r="F588" s="568"/>
      <c r="G588" s="568">
        <v>23553.119999999999</v>
      </c>
      <c r="H588" s="568"/>
      <c r="K588" s="568"/>
    </row>
    <row r="589" spans="1:11" s="440" customFormat="1">
      <c r="A589" s="668" t="s">
        <v>2140</v>
      </c>
      <c r="B589" s="668" t="s">
        <v>2141</v>
      </c>
      <c r="C589" s="568">
        <v>0</v>
      </c>
      <c r="D589" s="568">
        <v>25549.54</v>
      </c>
      <c r="E589" s="568">
        <v>34259.230000000003</v>
      </c>
      <c r="F589" s="568">
        <v>10194.459999999999</v>
      </c>
      <c r="G589" s="568">
        <v>24134.66</v>
      </c>
      <c r="H589" s="568">
        <f>VLOOKUP(A589,Ucto_HK_2021!$A$2:$D$929,4,FALSE)</f>
        <v>37778.660000000003</v>
      </c>
      <c r="K589" s="568">
        <v>31227.46</v>
      </c>
    </row>
    <row r="590" spans="1:11" s="440" customFormat="1">
      <c r="A590" s="668" t="s">
        <v>2142</v>
      </c>
      <c r="B590" s="668" t="s">
        <v>2143</v>
      </c>
      <c r="C590" s="568">
        <v>0</v>
      </c>
      <c r="D590" s="568">
        <v>21068.58</v>
      </c>
      <c r="E590" s="568">
        <v>19802.55</v>
      </c>
      <c r="F590" s="568">
        <v>17575.259999999998</v>
      </c>
      <c r="G590" s="568">
        <v>40701.730000000003</v>
      </c>
      <c r="H590" s="568">
        <f>VLOOKUP(A590,Ucto_HK_2021!$A$2:$D$929,4,FALSE)</f>
        <v>43647.44</v>
      </c>
      <c r="K590" s="568">
        <v>38623.24</v>
      </c>
    </row>
    <row r="591" spans="1:11" s="440" customFormat="1">
      <c r="A591" s="668" t="s">
        <v>2144</v>
      </c>
      <c r="B591" s="668" t="s">
        <v>2145</v>
      </c>
      <c r="C591" s="568">
        <v>0</v>
      </c>
      <c r="D591" s="568">
        <v>22546.46</v>
      </c>
      <c r="E591" s="568">
        <v>17658.46</v>
      </c>
      <c r="F591" s="568">
        <v>40373.4</v>
      </c>
      <c r="G591" s="568">
        <v>37489.14</v>
      </c>
      <c r="H591" s="568">
        <f>VLOOKUP(A591,Ucto_HK_2021!$A$2:$D$929,4,FALSE)</f>
        <v>60796.12</v>
      </c>
      <c r="K591" s="568">
        <v>52330.76</v>
      </c>
    </row>
    <row r="592" spans="1:11" s="440" customFormat="1">
      <c r="A592" s="668" t="s">
        <v>2146</v>
      </c>
      <c r="B592" s="668" t="s">
        <v>2147</v>
      </c>
      <c r="C592" s="568">
        <v>0</v>
      </c>
      <c r="D592" s="568">
        <v>27791.35</v>
      </c>
      <c r="E592" s="568">
        <v>17949.939999999999</v>
      </c>
      <c r="F592" s="568">
        <v>30554.52</v>
      </c>
      <c r="G592" s="568">
        <v>42911.19</v>
      </c>
      <c r="H592" s="568">
        <f>VLOOKUP(A592,Ucto_HK_2021!$A$2:$D$929,4,FALSE)</f>
        <v>61294.400000000001</v>
      </c>
      <c r="K592" s="568">
        <v>54820.04</v>
      </c>
    </row>
    <row r="593" spans="1:11" s="440" customFormat="1">
      <c r="A593" s="668" t="s">
        <v>2677</v>
      </c>
      <c r="B593" s="668" t="s">
        <v>2678</v>
      </c>
      <c r="C593" s="568"/>
      <c r="D593" s="568"/>
      <c r="E593" s="568"/>
      <c r="F593" s="568">
        <v>2142.48</v>
      </c>
      <c r="G593" s="568"/>
      <c r="H593" s="568">
        <f>VLOOKUP(A593,Ucto_HK_2021!$A$2:$D$929,4,FALSE)</f>
        <v>4777.3</v>
      </c>
      <c r="K593" s="568">
        <v>4777.3</v>
      </c>
    </row>
    <row r="594" spans="1:11" s="440" customFormat="1">
      <c r="A594" s="668" t="s">
        <v>2148</v>
      </c>
      <c r="B594" s="668" t="s">
        <v>2149</v>
      </c>
      <c r="C594" s="568">
        <v>0</v>
      </c>
      <c r="D594" s="568">
        <v>35849.71</v>
      </c>
      <c r="E594" s="568">
        <v>36740.800000000003</v>
      </c>
      <c r="F594" s="568">
        <v>38685</v>
      </c>
      <c r="G594" s="568">
        <v>59878.27</v>
      </c>
      <c r="H594" s="568">
        <f>VLOOKUP(A594,Ucto_HK_2021!$A$2:$D$929,4,FALSE)</f>
        <v>39784.46</v>
      </c>
      <c r="K594" s="568">
        <v>28352.2</v>
      </c>
    </row>
    <row r="595" spans="1:11" s="440" customFormat="1">
      <c r="A595" s="668" t="s">
        <v>2150</v>
      </c>
      <c r="B595" s="668" t="s">
        <v>2151</v>
      </c>
      <c r="C595" s="568">
        <v>0</v>
      </c>
      <c r="D595" s="568">
        <v>36801.97</v>
      </c>
      <c r="E595" s="568">
        <v>42438.03</v>
      </c>
      <c r="F595" s="568">
        <v>43352.35</v>
      </c>
      <c r="G595" s="568">
        <v>51245.82</v>
      </c>
      <c r="H595" s="568">
        <f>VLOOKUP(A595,Ucto_HK_2021!$A$2:$D$929,4,FALSE)</f>
        <v>47976.23</v>
      </c>
      <c r="K595" s="568">
        <v>37117.11</v>
      </c>
    </row>
    <row r="596" spans="1:11" s="440" customFormat="1">
      <c r="A596" s="668" t="s">
        <v>2152</v>
      </c>
      <c r="B596" s="668" t="s">
        <v>2153</v>
      </c>
      <c r="C596" s="568">
        <v>0</v>
      </c>
      <c r="D596" s="568">
        <v>20531.34</v>
      </c>
      <c r="E596" s="568">
        <v>21905.599999999999</v>
      </c>
      <c r="F596" s="568">
        <v>28375.26</v>
      </c>
      <c r="G596" s="568">
        <v>28423.61</v>
      </c>
      <c r="H596" s="568">
        <f>VLOOKUP(A596,Ucto_HK_2021!$A$2:$D$929,4,FALSE)</f>
        <v>34154.04</v>
      </c>
      <c r="K596" s="568">
        <v>24106.25</v>
      </c>
    </row>
    <row r="597" spans="1:11" s="440" customFormat="1">
      <c r="A597" s="668" t="s">
        <v>2154</v>
      </c>
      <c r="B597" s="668" t="s">
        <v>2155</v>
      </c>
      <c r="C597" s="568">
        <v>0</v>
      </c>
      <c r="D597" s="568">
        <v>69216.12</v>
      </c>
      <c r="E597" s="568">
        <v>80069.289999999994</v>
      </c>
      <c r="F597" s="568">
        <v>82455.520000000004</v>
      </c>
      <c r="G597" s="568">
        <v>89349.1</v>
      </c>
      <c r="H597" s="568">
        <f>VLOOKUP(A597,Ucto_HK_2021!$A$2:$D$929,4,FALSE)</f>
        <v>97096.48</v>
      </c>
      <c r="K597" s="568">
        <v>71865.61</v>
      </c>
    </row>
    <row r="598" spans="1:11" s="440" customFormat="1">
      <c r="A598" s="668" t="s">
        <v>2156</v>
      </c>
      <c r="B598" s="668" t="s">
        <v>2157</v>
      </c>
      <c r="C598" s="568"/>
      <c r="D598" s="568"/>
      <c r="E598" s="568"/>
      <c r="F598" s="568">
        <v>13435.88</v>
      </c>
      <c r="G598" s="568">
        <v>16403.189999999999</v>
      </c>
      <c r="H598" s="568">
        <f>VLOOKUP(A598,Ucto_HK_2021!$A$2:$D$929,4,FALSE)</f>
        <v>19359.12</v>
      </c>
      <c r="K598" s="568">
        <v>14210.03</v>
      </c>
    </row>
    <row r="599" spans="1:11" s="440" customFormat="1">
      <c r="A599" s="668" t="s">
        <v>2158</v>
      </c>
      <c r="B599" s="668" t="s">
        <v>2159</v>
      </c>
      <c r="C599" s="568">
        <v>0</v>
      </c>
      <c r="D599" s="568">
        <v>4208.96</v>
      </c>
      <c r="E599" s="568">
        <v>13219.29</v>
      </c>
      <c r="F599" s="568">
        <v>12983.47</v>
      </c>
      <c r="G599" s="568">
        <v>1373722.53</v>
      </c>
      <c r="H599" s="568">
        <f>VLOOKUP(A599,Ucto_HK_2021!$A$2:$D$929,4,FALSE)</f>
        <v>1323021.51</v>
      </c>
      <c r="K599" s="568">
        <v>3970.42</v>
      </c>
    </row>
    <row r="600" spans="1:11" s="440" customFormat="1">
      <c r="A600" s="668" t="s">
        <v>2160</v>
      </c>
      <c r="B600" s="668" t="s">
        <v>2161</v>
      </c>
      <c r="C600" s="568">
        <v>0</v>
      </c>
      <c r="D600" s="568">
        <v>5069.8100000000004</v>
      </c>
      <c r="E600" s="568">
        <v>11071.58</v>
      </c>
      <c r="F600" s="568">
        <v>7250.74</v>
      </c>
      <c r="G600" s="568">
        <v>11541.43</v>
      </c>
      <c r="H600" s="568">
        <f>VLOOKUP(A600,Ucto_HK_2021!$A$2:$D$929,4,FALSE)</f>
        <v>9047.23</v>
      </c>
      <c r="K600" s="568">
        <v>4329.38</v>
      </c>
    </row>
    <row r="601" spans="1:11" s="440" customFormat="1">
      <c r="A601" s="668" t="s">
        <v>2162</v>
      </c>
      <c r="B601" s="668" t="s">
        <v>2163</v>
      </c>
      <c r="C601" s="568">
        <v>0</v>
      </c>
      <c r="D601" s="568">
        <v>3322.42</v>
      </c>
      <c r="E601" s="568">
        <v>14489.23</v>
      </c>
      <c r="F601" s="568">
        <v>10959.63</v>
      </c>
      <c r="G601" s="568">
        <v>236971.01</v>
      </c>
      <c r="H601" s="568">
        <f>VLOOKUP(A601,Ucto_HK_2021!$A$2:$D$929,4,FALSE)</f>
        <v>239520.43</v>
      </c>
      <c r="K601" s="568">
        <v>20572.189999999999</v>
      </c>
    </row>
    <row r="602" spans="1:11" s="440" customFormat="1">
      <c r="A602" s="668" t="s">
        <v>2164</v>
      </c>
      <c r="B602" s="668" t="s">
        <v>2165</v>
      </c>
      <c r="C602" s="568">
        <v>0</v>
      </c>
      <c r="D602" s="568">
        <v>6647.19</v>
      </c>
      <c r="E602" s="568">
        <v>19855.53</v>
      </c>
      <c r="F602" s="568">
        <v>23994.67</v>
      </c>
      <c r="G602" s="568">
        <v>1389165.03</v>
      </c>
      <c r="H602" s="568">
        <f>VLOOKUP(A602,Ucto_HK_2021!$A$2:$D$929,4,FALSE)</f>
        <v>2644568.87</v>
      </c>
      <c r="K602" s="568">
        <v>7757.76</v>
      </c>
    </row>
    <row r="603" spans="1:11" s="440" customFormat="1">
      <c r="A603" s="669" t="s">
        <v>2795</v>
      </c>
      <c r="B603" s="669" t="s">
        <v>2796</v>
      </c>
      <c r="C603" s="568"/>
      <c r="D603" s="568"/>
      <c r="E603" s="568"/>
      <c r="F603" s="568"/>
      <c r="G603" s="568"/>
      <c r="H603" s="568">
        <f>VLOOKUP(A603,Ucto_HK_2021!$A$2:$D$929,4,FALSE)</f>
        <v>422.93</v>
      </c>
      <c r="K603" s="568">
        <v>225.33</v>
      </c>
    </row>
    <row r="604" spans="1:11" s="440" customFormat="1">
      <c r="A604" s="668" t="s">
        <v>2166</v>
      </c>
      <c r="B604" s="668" t="s">
        <v>2167</v>
      </c>
      <c r="C604" s="568"/>
      <c r="D604" s="568"/>
      <c r="E604" s="568"/>
      <c r="F604" s="568">
        <v>46506</v>
      </c>
      <c r="G604" s="568">
        <v>44515.9</v>
      </c>
      <c r="H604" s="568">
        <f>VLOOKUP(A604,Ucto_HK_2021!$A$2:$D$929,4,FALSE)</f>
        <v>38487</v>
      </c>
      <c r="K604" s="568">
        <v>35370.559999999998</v>
      </c>
    </row>
    <row r="605" spans="1:11" s="440" customFormat="1">
      <c r="A605" s="668" t="s">
        <v>2168</v>
      </c>
      <c r="B605" s="668" t="s">
        <v>2169</v>
      </c>
      <c r="C605" s="568"/>
      <c r="D605" s="568"/>
      <c r="E605" s="568"/>
      <c r="F605" s="568">
        <v>35922.92</v>
      </c>
      <c r="G605" s="568">
        <v>30925.61</v>
      </c>
      <c r="H605" s="568">
        <f>VLOOKUP(A605,Ucto_HK_2021!$A$2:$D$929,4,FALSE)</f>
        <v>30402.86</v>
      </c>
      <c r="K605" s="568">
        <v>28472.98</v>
      </c>
    </row>
    <row r="606" spans="1:11" s="440" customFormat="1">
      <c r="A606" s="668" t="s">
        <v>2170</v>
      </c>
      <c r="B606" s="668" t="s">
        <v>2171</v>
      </c>
      <c r="C606" s="568"/>
      <c r="D606" s="568"/>
      <c r="E606" s="568"/>
      <c r="F606" s="568">
        <v>32671.51</v>
      </c>
      <c r="G606" s="568">
        <v>22765.56</v>
      </c>
      <c r="H606" s="568">
        <f>VLOOKUP(A606,Ucto_HK_2021!$A$2:$D$929,4,FALSE)</f>
        <v>21509.96</v>
      </c>
      <c r="K606" s="568">
        <v>20469.52</v>
      </c>
    </row>
    <row r="607" spans="1:11" s="440" customFormat="1">
      <c r="A607" s="668" t="s">
        <v>2172</v>
      </c>
      <c r="B607" s="668" t="s">
        <v>2173</v>
      </c>
      <c r="C607" s="568"/>
      <c r="D607" s="568"/>
      <c r="E607" s="568"/>
      <c r="F607" s="568">
        <v>74699.520000000004</v>
      </c>
      <c r="G607" s="568">
        <v>69925.789999999994</v>
      </c>
      <c r="H607" s="568">
        <f>VLOOKUP(A607,Ucto_HK_2021!$A$2:$D$929,4,FALSE)</f>
        <v>68202.16</v>
      </c>
      <c r="K607" s="568">
        <v>65783.5</v>
      </c>
    </row>
    <row r="608" spans="1:11" s="440" customFormat="1">
      <c r="A608" s="668" t="s">
        <v>2174</v>
      </c>
      <c r="B608" s="668" t="s">
        <v>2175</v>
      </c>
      <c r="C608" s="568"/>
      <c r="D608" s="568"/>
      <c r="E608" s="568"/>
      <c r="F608" s="568">
        <v>7281.22</v>
      </c>
      <c r="G608" s="568">
        <v>8406.8799999999992</v>
      </c>
      <c r="H608" s="568">
        <f>VLOOKUP(A608,Ucto_HK_2021!$A$2:$D$929,4,FALSE)</f>
        <v>7592.17</v>
      </c>
      <c r="K608" s="568">
        <v>7512.42</v>
      </c>
    </row>
    <row r="609" spans="1:11" s="440" customFormat="1">
      <c r="A609" s="668" t="s">
        <v>2176</v>
      </c>
      <c r="B609" s="668" t="s">
        <v>2177</v>
      </c>
      <c r="C609" s="568">
        <v>0</v>
      </c>
      <c r="D609" s="568">
        <v>12843.86</v>
      </c>
      <c r="E609" s="568">
        <v>14675.75</v>
      </c>
      <c r="F609" s="568">
        <v>18964.3</v>
      </c>
      <c r="G609" s="568">
        <v>21185.77</v>
      </c>
      <c r="H609" s="568">
        <f>VLOOKUP(A609,Ucto_HK_2021!$A$2:$D$929,4,FALSE)</f>
        <v>30298.67</v>
      </c>
      <c r="K609" s="568">
        <v>25014.07</v>
      </c>
    </row>
    <row r="610" spans="1:11" s="440" customFormat="1">
      <c r="A610" s="668" t="s">
        <v>2178</v>
      </c>
      <c r="B610" s="668" t="s">
        <v>2179</v>
      </c>
      <c r="C610" s="568"/>
      <c r="D610" s="568"/>
      <c r="E610" s="568"/>
      <c r="F610" s="568">
        <v>292.89999999999998</v>
      </c>
      <c r="G610" s="568">
        <v>1204.23</v>
      </c>
      <c r="H610" s="568"/>
      <c r="K610" s="568"/>
    </row>
    <row r="611" spans="1:11" s="440" customFormat="1">
      <c r="A611" s="668" t="s">
        <v>2180</v>
      </c>
      <c r="B611" s="668" t="s">
        <v>2181</v>
      </c>
      <c r="C611" s="568">
        <v>0</v>
      </c>
      <c r="D611" s="568">
        <v>846</v>
      </c>
      <c r="E611" s="568">
        <v>1120</v>
      </c>
      <c r="F611" s="568"/>
      <c r="G611" s="568">
        <v>2912</v>
      </c>
      <c r="H611" s="568">
        <f>VLOOKUP(A611,Ucto_HK_2021!$A$2:$D$929,4,FALSE)</f>
        <v>1726</v>
      </c>
      <c r="K611" s="568">
        <v>1726</v>
      </c>
    </row>
    <row r="612" spans="1:11" s="440" customFormat="1">
      <c r="A612" s="668" t="s">
        <v>2182</v>
      </c>
      <c r="B612" s="668" t="s">
        <v>2183</v>
      </c>
      <c r="C612" s="568">
        <v>0</v>
      </c>
      <c r="D612" s="568">
        <v>4830</v>
      </c>
      <c r="E612" s="568">
        <v>4589</v>
      </c>
      <c r="F612" s="568">
        <v>5370</v>
      </c>
      <c r="G612" s="568">
        <v>4913</v>
      </c>
      <c r="H612" s="568">
        <f>VLOOKUP(A612,Ucto_HK_2021!$A$2:$D$929,4,FALSE)</f>
        <v>4420</v>
      </c>
      <c r="K612" s="568">
        <v>4136</v>
      </c>
    </row>
    <row r="613" spans="1:11" s="440" customFormat="1">
      <c r="A613" s="668" t="s">
        <v>2184</v>
      </c>
      <c r="B613" s="668" t="s">
        <v>2185</v>
      </c>
      <c r="C613" s="568">
        <v>0</v>
      </c>
      <c r="D613" s="568">
        <v>3379.4</v>
      </c>
      <c r="E613" s="568">
        <v>3257.88</v>
      </c>
      <c r="F613" s="568">
        <v>4546.1899999999996</v>
      </c>
      <c r="G613" s="568">
        <v>1321.54</v>
      </c>
      <c r="H613" s="568">
        <f>VLOOKUP(A613,Ucto_HK_2021!$A$2:$D$929,4,FALSE)</f>
        <v>2739</v>
      </c>
      <c r="K613" s="568">
        <v>1419</v>
      </c>
    </row>
    <row r="614" spans="1:11" s="440" customFormat="1">
      <c r="A614" s="668" t="s">
        <v>2186</v>
      </c>
      <c r="B614" s="668" t="s">
        <v>2187</v>
      </c>
      <c r="C614" s="568"/>
      <c r="D614" s="568"/>
      <c r="E614" s="568"/>
      <c r="F614" s="568">
        <v>148.19999999999999</v>
      </c>
      <c r="G614" s="568">
        <v>331.92</v>
      </c>
      <c r="H614" s="568">
        <f>VLOOKUP(A614,Ucto_HK_2021!$A$2:$D$929,4,FALSE)</f>
        <v>107.16</v>
      </c>
      <c r="K614" s="568">
        <v>107.16</v>
      </c>
    </row>
    <row r="615" spans="1:11" s="440" customFormat="1">
      <c r="A615" s="668" t="s">
        <v>822</v>
      </c>
      <c r="C615" s="568">
        <v>0</v>
      </c>
      <c r="D615" s="568">
        <v>1279813.69</v>
      </c>
      <c r="E615" s="568">
        <v>1350236.68</v>
      </c>
      <c r="F615" s="568">
        <v>1678198.02</v>
      </c>
      <c r="G615" s="568">
        <v>4939021.1100000003</v>
      </c>
      <c r="H615" s="568">
        <f>VLOOKUP(A615,Ucto_HK_2021!$A$2:$D$929,4,FALSE)</f>
        <v>6305212.79</v>
      </c>
      <c r="K615" s="568">
        <v>1747910.88</v>
      </c>
    </row>
    <row r="616" spans="1:11" s="440" customFormat="1">
      <c r="A616" s="670" t="s">
        <v>2188</v>
      </c>
      <c r="C616" s="671">
        <v>0</v>
      </c>
      <c r="D616" s="671">
        <v>66871972.25</v>
      </c>
      <c r="E616" s="568">
        <v>68338361.200000003</v>
      </c>
      <c r="F616" s="568">
        <v>75700835.230000004</v>
      </c>
      <c r="G616" s="568">
        <v>87082760.310000002</v>
      </c>
      <c r="H616" s="568">
        <f>VLOOKUP(A616,Ucto_HK_2021!$A$2:$D$929,4,FALSE)</f>
        <v>114071965.58</v>
      </c>
      <c r="K616" s="568">
        <v>87660430.150000006</v>
      </c>
    </row>
    <row r="617" spans="1:11" s="440" customFormat="1">
      <c r="A617" s="668" t="s">
        <v>2189</v>
      </c>
      <c r="B617" s="668" t="s">
        <v>235</v>
      </c>
      <c r="C617" s="568">
        <v>0</v>
      </c>
      <c r="D617" s="568">
        <v>3113.83</v>
      </c>
      <c r="E617" s="568">
        <v>3082.74</v>
      </c>
      <c r="F617" s="568">
        <v>3476.42</v>
      </c>
      <c r="G617" s="568">
        <v>3772.64</v>
      </c>
      <c r="H617" s="568">
        <f>VLOOKUP(A617,Ucto_HK_2021!$A$2:$D$929,4,FALSE)</f>
        <v>3169.72</v>
      </c>
      <c r="K617" s="568">
        <v>2347.5100000000002</v>
      </c>
    </row>
    <row r="618" spans="1:11" s="440" customFormat="1">
      <c r="A618" s="668" t="s">
        <v>825</v>
      </c>
      <c r="C618" s="568">
        <v>0</v>
      </c>
      <c r="D618" s="568">
        <v>3113.83</v>
      </c>
      <c r="E618" s="568">
        <v>3082.74</v>
      </c>
      <c r="F618" s="568">
        <v>3476.42</v>
      </c>
      <c r="G618" s="568">
        <v>3772.64</v>
      </c>
      <c r="H618" s="568">
        <f>VLOOKUP(A618,Ucto_HK_2021!$A$2:$D$929,4,FALSE)</f>
        <v>3169.72</v>
      </c>
      <c r="K618" s="568">
        <v>2347.5100000000002</v>
      </c>
    </row>
    <row r="619" spans="1:11" s="440" customFormat="1">
      <c r="A619" s="668" t="s">
        <v>2190</v>
      </c>
      <c r="B619" s="668" t="s">
        <v>827</v>
      </c>
      <c r="C619" s="568">
        <v>0</v>
      </c>
      <c r="D619" s="568">
        <v>182410.09</v>
      </c>
      <c r="E619" s="568">
        <v>181324.77</v>
      </c>
      <c r="F619" s="568">
        <v>181372.23</v>
      </c>
      <c r="G619" s="568">
        <v>181301.36</v>
      </c>
      <c r="H619" s="568">
        <f>VLOOKUP(A619,Ucto_HK_2021!$A$2:$D$929,4,FALSE)</f>
        <v>280963.53999999998</v>
      </c>
      <c r="K619" s="568">
        <v>280963.53999999998</v>
      </c>
    </row>
    <row r="620" spans="1:11" s="440" customFormat="1">
      <c r="A620" s="668" t="s">
        <v>2191</v>
      </c>
      <c r="B620" s="668" t="s">
        <v>2192</v>
      </c>
      <c r="C620" s="568"/>
      <c r="D620" s="568"/>
      <c r="E620" s="568"/>
      <c r="F620" s="568"/>
      <c r="G620" s="568">
        <v>87845.86</v>
      </c>
      <c r="H620" s="568"/>
      <c r="K620" s="568"/>
    </row>
    <row r="621" spans="1:11" s="440" customFormat="1">
      <c r="A621" s="668" t="s">
        <v>826</v>
      </c>
      <c r="C621" s="568">
        <v>0</v>
      </c>
      <c r="D621" s="568">
        <v>182410.09</v>
      </c>
      <c r="E621" s="568">
        <v>181324.77</v>
      </c>
      <c r="F621" s="568">
        <v>181372.23</v>
      </c>
      <c r="G621" s="568">
        <v>269147.21999999997</v>
      </c>
      <c r="H621" s="568">
        <f>VLOOKUP(A621,Ucto_HK_2021!$A$2:$D$929,4,FALSE)</f>
        <v>280963.53999999998</v>
      </c>
      <c r="K621" s="568">
        <v>280963.53999999998</v>
      </c>
    </row>
    <row r="622" spans="1:11" s="440" customFormat="1">
      <c r="A622" s="668" t="s">
        <v>2193</v>
      </c>
      <c r="B622" s="668" t="s">
        <v>2194</v>
      </c>
      <c r="C622" s="568">
        <v>0</v>
      </c>
      <c r="D622" s="568">
        <v>11786.3</v>
      </c>
      <c r="E622" s="568">
        <v>11630.79</v>
      </c>
      <c r="F622" s="568">
        <v>83874.509999999995</v>
      </c>
      <c r="G622" s="568">
        <v>77765.64</v>
      </c>
      <c r="H622" s="568">
        <f>VLOOKUP(A622,Ucto_HK_2021!$A$2:$D$929,4,FALSE)</f>
        <v>11511.37</v>
      </c>
      <c r="K622" s="568">
        <v>5151.57</v>
      </c>
    </row>
    <row r="623" spans="1:11" s="440" customFormat="1">
      <c r="A623" s="668" t="s">
        <v>828</v>
      </c>
      <c r="C623" s="568">
        <v>0</v>
      </c>
      <c r="D623" s="568">
        <v>11786.3</v>
      </c>
      <c r="E623" s="568">
        <v>11630.79</v>
      </c>
      <c r="F623" s="568">
        <v>83874.509999999995</v>
      </c>
      <c r="G623" s="568">
        <v>77765.64</v>
      </c>
      <c r="H623" s="568">
        <f>VLOOKUP(A623,Ucto_HK_2021!$A$2:$D$929,4,FALSE)</f>
        <v>11511.37</v>
      </c>
      <c r="K623" s="568">
        <v>5151.57</v>
      </c>
    </row>
    <row r="624" spans="1:11" s="440" customFormat="1">
      <c r="A624" s="670" t="s">
        <v>2195</v>
      </c>
      <c r="C624" s="671">
        <v>0</v>
      </c>
      <c r="D624" s="671">
        <v>197310.22</v>
      </c>
      <c r="E624" s="568">
        <v>196038.3</v>
      </c>
      <c r="F624" s="568">
        <v>268723.15999999997</v>
      </c>
      <c r="G624" s="568">
        <v>350685.5</v>
      </c>
      <c r="H624" s="568">
        <f>VLOOKUP(A624,Ucto_HK_2021!$A$2:$D$929,4,FALSE)</f>
        <v>295644.63</v>
      </c>
      <c r="K624" s="568">
        <v>288462.62</v>
      </c>
    </row>
    <row r="625" spans="1:11">
      <c r="A625" s="355" t="s">
        <v>2196</v>
      </c>
      <c r="B625" s="355" t="s">
        <v>2197</v>
      </c>
      <c r="C625" s="69"/>
      <c r="D625" s="69"/>
      <c r="E625" s="69"/>
      <c r="F625" s="69">
        <v>56147.78</v>
      </c>
      <c r="G625" s="69">
        <v>4625.8999999999996</v>
      </c>
      <c r="H625" s="69"/>
      <c r="K625" s="69"/>
    </row>
    <row r="626" spans="1:11">
      <c r="A626" s="355" t="s">
        <v>830</v>
      </c>
      <c r="C626" s="69"/>
      <c r="D626" s="69"/>
      <c r="E626" s="69"/>
      <c r="F626" s="69">
        <v>56147.78</v>
      </c>
      <c r="G626" s="69">
        <v>4625.8999999999996</v>
      </c>
      <c r="H626" s="69"/>
      <c r="K626" s="69"/>
    </row>
    <row r="627" spans="1:11">
      <c r="A627" s="355" t="s">
        <v>2198</v>
      </c>
      <c r="B627" s="355" t="s">
        <v>833</v>
      </c>
      <c r="C627" s="69">
        <v>0</v>
      </c>
      <c r="D627" s="69">
        <v>2021</v>
      </c>
      <c r="E627" s="69">
        <v>2138.1</v>
      </c>
      <c r="F627" s="69">
        <v>1507.85</v>
      </c>
      <c r="G627" s="69">
        <v>1599.7</v>
      </c>
      <c r="H627" s="69">
        <f>VLOOKUP(A627,Ucto_HK_2021!$A$2:$D$929,4,FALSE)</f>
        <v>1903.5</v>
      </c>
      <c r="K627" s="69">
        <v>1615.5</v>
      </c>
    </row>
    <row r="628" spans="1:11">
      <c r="A628" s="355" t="s">
        <v>832</v>
      </c>
      <c r="C628" s="69">
        <v>0</v>
      </c>
      <c r="D628" s="69">
        <v>2021</v>
      </c>
      <c r="E628" s="69">
        <v>2138.1</v>
      </c>
      <c r="F628" s="69">
        <v>1507.85</v>
      </c>
      <c r="G628" s="69">
        <v>1599.7</v>
      </c>
      <c r="H628" s="69">
        <f>VLOOKUP(A628,Ucto_HK_2021!$A$2:$D$929,4,FALSE)</f>
        <v>1903.5</v>
      </c>
      <c r="K628" s="69">
        <v>1615.5</v>
      </c>
    </row>
    <row r="629" spans="1:11" s="440" customFormat="1">
      <c r="A629" s="668" t="s">
        <v>2679</v>
      </c>
      <c r="B629" s="668" t="s">
        <v>2478</v>
      </c>
      <c r="C629" s="568">
        <v>0</v>
      </c>
      <c r="D629" s="568">
        <v>49122.1</v>
      </c>
      <c r="E629" s="568">
        <v>100396</v>
      </c>
      <c r="F629" s="568">
        <v>59322.31</v>
      </c>
      <c r="G629" s="568"/>
      <c r="H629" s="568">
        <f>VLOOKUP(A629,Ucto_HK_2021!$A$2:$D$929,4,FALSE)</f>
        <v>23.84</v>
      </c>
      <c r="K629" s="568">
        <v>23.84</v>
      </c>
    </row>
    <row r="630" spans="1:11" s="440" customFormat="1">
      <c r="A630" s="668" t="s">
        <v>2199</v>
      </c>
      <c r="B630" s="668" t="s">
        <v>2200</v>
      </c>
      <c r="C630" s="568">
        <v>0</v>
      </c>
      <c r="D630" s="568">
        <v>30</v>
      </c>
      <c r="E630" s="568">
        <v>240</v>
      </c>
      <c r="F630" s="568"/>
      <c r="G630" s="568">
        <v>16231.46</v>
      </c>
      <c r="H630" s="568">
        <f>VLOOKUP(A630,Ucto_HK_2021!$A$2:$D$929,4,FALSE)</f>
        <v>417.18</v>
      </c>
      <c r="K630" s="568">
        <v>417.18</v>
      </c>
    </row>
    <row r="631" spans="1:11" s="440" customFormat="1">
      <c r="A631" s="669" t="s">
        <v>2797</v>
      </c>
      <c r="B631" s="669" t="s">
        <v>2798</v>
      </c>
      <c r="C631" s="568"/>
      <c r="D631" s="568"/>
      <c r="E631" s="568"/>
      <c r="F631" s="568"/>
      <c r="G631" s="568"/>
      <c r="H631" s="568">
        <f>VLOOKUP(A631,Ucto_HK_2021!$A$2:$D$929,4,FALSE)</f>
        <v>1311.04</v>
      </c>
      <c r="K631" s="568">
        <v>1311.04</v>
      </c>
    </row>
    <row r="632" spans="1:11" s="440" customFormat="1">
      <c r="A632" s="668" t="s">
        <v>2201</v>
      </c>
      <c r="B632" s="668" t="s">
        <v>2202</v>
      </c>
      <c r="C632" s="568"/>
      <c r="D632" s="568"/>
      <c r="E632" s="568"/>
      <c r="F632" s="568"/>
      <c r="G632" s="568">
        <v>8581800.4299999997</v>
      </c>
      <c r="H632" s="568"/>
      <c r="K632" s="568"/>
    </row>
    <row r="633" spans="1:11" s="440" customFormat="1">
      <c r="A633" s="668" t="s">
        <v>834</v>
      </c>
      <c r="C633" s="568">
        <v>0</v>
      </c>
      <c r="D633" s="568">
        <v>49152.1</v>
      </c>
      <c r="E633" s="568">
        <v>100636</v>
      </c>
      <c r="F633" s="568">
        <v>59322.31</v>
      </c>
      <c r="G633" s="568">
        <v>8598031.8900000006</v>
      </c>
      <c r="H633" s="568">
        <f>VLOOKUP(A633,Ucto_HK_2021!$A$2:$D$929,4,FALSE)</f>
        <v>1752.06</v>
      </c>
      <c r="K633" s="568">
        <v>1752.06</v>
      </c>
    </row>
    <row r="634" spans="1:11" s="440" customFormat="1">
      <c r="A634" s="668" t="s">
        <v>2203</v>
      </c>
      <c r="B634" s="668" t="s">
        <v>2204</v>
      </c>
      <c r="C634" s="568">
        <v>0</v>
      </c>
      <c r="D634" s="568">
        <v>200000</v>
      </c>
      <c r="E634" s="568">
        <v>2434917.29</v>
      </c>
      <c r="F634" s="568">
        <v>818817.15</v>
      </c>
      <c r="G634" s="568">
        <v>258755.1</v>
      </c>
      <c r="H634" s="568">
        <f>VLOOKUP(A634,Ucto_HK_2021!$A$2:$D$929,4,FALSE)</f>
        <v>1198637.6200000001</v>
      </c>
      <c r="K634" s="568">
        <v>644800.31000000006</v>
      </c>
    </row>
    <row r="635" spans="1:11" s="440" customFormat="1">
      <c r="A635" s="668" t="s">
        <v>2205</v>
      </c>
      <c r="B635" s="668" t="s">
        <v>2206</v>
      </c>
      <c r="C635" s="568">
        <v>0</v>
      </c>
      <c r="D635" s="568">
        <v>12535.89</v>
      </c>
      <c r="E635" s="568">
        <v>108796.88</v>
      </c>
      <c r="F635" s="568">
        <v>20571.57</v>
      </c>
      <c r="G635" s="568">
        <v>321129.46000000002</v>
      </c>
      <c r="H635" s="568"/>
      <c r="K635" s="568"/>
    </row>
    <row r="636" spans="1:11" s="440" customFormat="1">
      <c r="A636" s="668" t="s">
        <v>2207</v>
      </c>
      <c r="B636" s="668" t="s">
        <v>2208</v>
      </c>
      <c r="C636" s="568">
        <v>0</v>
      </c>
      <c r="D636" s="568">
        <v>13154</v>
      </c>
      <c r="E636" s="568">
        <v>3524.4</v>
      </c>
      <c r="F636" s="568">
        <v>27063.200000000001</v>
      </c>
      <c r="G636" s="568">
        <v>21239.45</v>
      </c>
      <c r="H636" s="568">
        <f>VLOOKUP(A636,Ucto_HK_2021!$A$2:$D$929,4,FALSE)</f>
        <v>126144.2</v>
      </c>
      <c r="K636" s="568">
        <v>120591.6</v>
      </c>
    </row>
    <row r="637" spans="1:11" s="440" customFormat="1">
      <c r="A637" s="669" t="s">
        <v>2799</v>
      </c>
      <c r="B637" s="669" t="s">
        <v>2800</v>
      </c>
      <c r="C637" s="568"/>
      <c r="D637" s="568"/>
      <c r="E637" s="568"/>
      <c r="F637" s="568"/>
      <c r="G637" s="568"/>
      <c r="H637" s="568">
        <f>VLOOKUP(A637,Ucto_HK_2021!$A$2:$D$929,4,FALSE)</f>
        <v>345104.2</v>
      </c>
      <c r="K637" s="568">
        <v>345104.2</v>
      </c>
    </row>
    <row r="638" spans="1:11" s="440" customFormat="1">
      <c r="A638" s="668" t="s">
        <v>836</v>
      </c>
      <c r="C638" s="568">
        <v>0</v>
      </c>
      <c r="D638" s="568">
        <v>225689.89</v>
      </c>
      <c r="E638" s="568">
        <v>2547238.5699999998</v>
      </c>
      <c r="F638" s="568">
        <v>866451.92</v>
      </c>
      <c r="G638" s="568">
        <v>601124.01</v>
      </c>
      <c r="H638" s="568">
        <f>VLOOKUP(A638,Ucto_HK_2021!$A$2:$D$929,4,FALSE)</f>
        <v>1669886.02</v>
      </c>
      <c r="K638" s="568">
        <v>1110496.1100000001</v>
      </c>
    </row>
    <row r="639" spans="1:11">
      <c r="A639" s="355" t="s">
        <v>2209</v>
      </c>
      <c r="B639" s="355" t="s">
        <v>243</v>
      </c>
      <c r="C639" s="69">
        <v>0</v>
      </c>
      <c r="D639" s="69">
        <v>4212.8900000000003</v>
      </c>
      <c r="E639" s="69">
        <v>728.95</v>
      </c>
      <c r="F639" s="69">
        <v>344.8</v>
      </c>
      <c r="G639" s="69">
        <v>31421.119999999999</v>
      </c>
      <c r="H639" s="69"/>
      <c r="K639" s="69"/>
    </row>
    <row r="640" spans="1:11">
      <c r="A640" s="355" t="s">
        <v>838</v>
      </c>
      <c r="C640" s="69">
        <v>0</v>
      </c>
      <c r="D640" s="69">
        <v>4212.8900000000003</v>
      </c>
      <c r="E640" s="69">
        <v>728.95</v>
      </c>
      <c r="F640" s="69">
        <v>344.8</v>
      </c>
      <c r="G640" s="69">
        <v>31421.119999999999</v>
      </c>
      <c r="H640" s="69"/>
      <c r="K640" s="69"/>
    </row>
    <row r="641" spans="1:11" s="440" customFormat="1">
      <c r="A641" s="668" t="s">
        <v>2210</v>
      </c>
      <c r="B641" s="668" t="s">
        <v>2211</v>
      </c>
      <c r="C641" s="568">
        <v>0</v>
      </c>
      <c r="D641" s="568">
        <v>1591328.6</v>
      </c>
      <c r="E641" s="568">
        <v>1688873.43</v>
      </c>
      <c r="F641" s="568">
        <v>1806527.96</v>
      </c>
      <c r="G641" s="568">
        <v>1785685.05</v>
      </c>
      <c r="H641" s="568">
        <f>VLOOKUP(A641,Ucto_HK_2021!$A$2:$D$929,4,FALSE)</f>
        <v>1612698</v>
      </c>
      <c r="K641" s="568">
        <v>1329688.08</v>
      </c>
    </row>
    <row r="642" spans="1:11">
      <c r="A642" s="355" t="s">
        <v>2212</v>
      </c>
      <c r="B642" s="355" t="s">
        <v>2213</v>
      </c>
      <c r="C642" s="69">
        <v>0</v>
      </c>
      <c r="D642" s="69">
        <v>1000</v>
      </c>
      <c r="E642" s="69">
        <v>1000</v>
      </c>
      <c r="F642" s="69">
        <v>1000</v>
      </c>
      <c r="G642" s="69">
        <v>1000</v>
      </c>
      <c r="H642" s="69">
        <f>VLOOKUP(A642,Ucto_HK_2021!$A$2:$D$929,4,FALSE)</f>
        <v>2000</v>
      </c>
      <c r="K642" s="69">
        <v>1000</v>
      </c>
    </row>
    <row r="643" spans="1:11">
      <c r="A643" s="355" t="s">
        <v>2740</v>
      </c>
      <c r="B643" s="355" t="s">
        <v>2741</v>
      </c>
      <c r="C643" s="69">
        <v>0</v>
      </c>
      <c r="D643" s="69">
        <v>15930</v>
      </c>
      <c r="E643" s="69"/>
      <c r="F643" s="69"/>
      <c r="G643" s="69"/>
      <c r="H643" s="69"/>
      <c r="K643" s="69"/>
    </row>
    <row r="644" spans="1:11">
      <c r="A644" s="355" t="s">
        <v>2214</v>
      </c>
      <c r="B644" s="355" t="s">
        <v>2215</v>
      </c>
      <c r="C644" s="69">
        <v>0</v>
      </c>
      <c r="D644" s="69">
        <v>149.79</v>
      </c>
      <c r="E644" s="69">
        <v>194.34</v>
      </c>
      <c r="F644" s="69">
        <v>189.08</v>
      </c>
      <c r="G644" s="69">
        <v>167.78</v>
      </c>
      <c r="H644" s="69">
        <f>VLOOKUP(A644,Ucto_HK_2021!$A$2:$D$929,4,FALSE)</f>
        <v>171.83</v>
      </c>
      <c r="K644" s="69">
        <v>130.06</v>
      </c>
    </row>
    <row r="645" spans="1:11">
      <c r="A645" s="355" t="s">
        <v>2216</v>
      </c>
      <c r="B645" s="355" t="s">
        <v>2217</v>
      </c>
      <c r="C645" s="69">
        <v>0</v>
      </c>
      <c r="D645" s="69">
        <v>44233.45</v>
      </c>
      <c r="E645" s="69">
        <v>5509.14</v>
      </c>
      <c r="F645" s="69">
        <v>16361</v>
      </c>
      <c r="G645" s="69">
        <v>2720</v>
      </c>
      <c r="H645" s="69">
        <f>VLOOKUP(A645,Ucto_HK_2021!$A$2:$D$929,4,FALSE)</f>
        <v>709862.28</v>
      </c>
      <c r="K645" s="69">
        <v>709862.28</v>
      </c>
    </row>
    <row r="646" spans="1:11">
      <c r="A646" s="355" t="s">
        <v>2218</v>
      </c>
      <c r="B646" s="355" t="s">
        <v>244</v>
      </c>
      <c r="C646" s="69">
        <v>0</v>
      </c>
      <c r="D646" s="69">
        <v>196.85</v>
      </c>
      <c r="E646" s="69">
        <v>456.23</v>
      </c>
      <c r="F646" s="69">
        <v>5325.49</v>
      </c>
      <c r="G646" s="69">
        <v>35117.800000000003</v>
      </c>
      <c r="H646" s="69">
        <f>VLOOKUP(A646,Ucto_HK_2021!$A$2:$D$929,4,FALSE)</f>
        <v>1204.23</v>
      </c>
      <c r="K646" s="69">
        <v>1201.03</v>
      </c>
    </row>
    <row r="647" spans="1:11">
      <c r="A647" s="578" t="s">
        <v>2801</v>
      </c>
      <c r="B647" s="578" t="s">
        <v>2802</v>
      </c>
      <c r="C647" s="69"/>
      <c r="D647" s="69"/>
      <c r="E647" s="69"/>
      <c r="F647" s="69"/>
      <c r="G647" s="69"/>
      <c r="H647" s="69">
        <f>VLOOKUP(A647,Ucto_HK_2021!$A$2:$D$929,4,FALSE)</f>
        <v>840</v>
      </c>
      <c r="K647" s="69">
        <v>840</v>
      </c>
    </row>
    <row r="648" spans="1:11">
      <c r="A648" s="355" t="s">
        <v>2219</v>
      </c>
      <c r="B648" s="355" t="s">
        <v>2220</v>
      </c>
      <c r="C648" s="69">
        <v>0</v>
      </c>
      <c r="D648" s="69">
        <v>29635.93</v>
      </c>
      <c r="E648" s="69">
        <v>20595.02</v>
      </c>
      <c r="F648" s="69">
        <v>16493.89</v>
      </c>
      <c r="G648" s="69">
        <v>9944.57</v>
      </c>
      <c r="H648" s="69"/>
      <c r="K648" s="69"/>
    </row>
    <row r="649" spans="1:11">
      <c r="A649" s="355" t="s">
        <v>2221</v>
      </c>
      <c r="B649" s="355" t="s">
        <v>2222</v>
      </c>
      <c r="C649" s="69"/>
      <c r="D649" s="69"/>
      <c r="E649" s="69"/>
      <c r="F649" s="69"/>
      <c r="G649" s="69">
        <v>53.09</v>
      </c>
      <c r="H649" s="69">
        <f>VLOOKUP(A649,Ucto_HK_2021!$A$2:$D$929,4,FALSE)</f>
        <v>543.9</v>
      </c>
      <c r="K649" s="69">
        <v>421.22</v>
      </c>
    </row>
    <row r="650" spans="1:11">
      <c r="A650" s="355" t="s">
        <v>839</v>
      </c>
      <c r="C650" s="69">
        <v>0</v>
      </c>
      <c r="D650" s="69">
        <v>1682474.62</v>
      </c>
      <c r="E650" s="69">
        <v>1716628.16</v>
      </c>
      <c r="F650" s="69">
        <v>1845897.42</v>
      </c>
      <c r="G650" s="69">
        <v>1834688.29</v>
      </c>
      <c r="H650" s="69">
        <f>VLOOKUP(A650,Ucto_HK_2021!$A$2:$D$929,4,FALSE)</f>
        <v>2327320.2400000002</v>
      </c>
      <c r="K650" s="69">
        <v>2043142.67</v>
      </c>
    </row>
    <row r="651" spans="1:11" s="440" customFormat="1">
      <c r="A651" s="668" t="s">
        <v>2223</v>
      </c>
      <c r="B651" s="668" t="s">
        <v>842</v>
      </c>
      <c r="C651" s="568">
        <v>0</v>
      </c>
      <c r="D651" s="568">
        <v>19348.150000000001</v>
      </c>
      <c r="E651" s="568">
        <v>17269.97</v>
      </c>
      <c r="F651" s="568">
        <v>73531.210000000006</v>
      </c>
      <c r="G651" s="568">
        <v>42483.43</v>
      </c>
      <c r="H651" s="568">
        <f>VLOOKUP(A651,Ucto_HK_2021!$A$2:$D$929,4,FALSE)</f>
        <v>80673.279999999999</v>
      </c>
      <c r="K651" s="568">
        <v>59734.21</v>
      </c>
    </row>
    <row r="652" spans="1:11" s="440" customFormat="1">
      <c r="A652" s="668" t="s">
        <v>2224</v>
      </c>
      <c r="B652" s="668" t="s">
        <v>2225</v>
      </c>
      <c r="C652" s="568"/>
      <c r="D652" s="568"/>
      <c r="E652" s="568"/>
      <c r="F652" s="568"/>
      <c r="G652" s="568">
        <v>208.06</v>
      </c>
      <c r="H652" s="568">
        <f>VLOOKUP(A652,Ucto_HK_2021!$A$2:$D$929,4,FALSE)</f>
        <v>78.260000000000005</v>
      </c>
      <c r="K652" s="568"/>
    </row>
    <row r="653" spans="1:11" s="440" customFormat="1">
      <c r="A653" s="668" t="s">
        <v>841</v>
      </c>
      <c r="C653" s="568">
        <v>0</v>
      </c>
      <c r="D653" s="568">
        <v>19348.150000000001</v>
      </c>
      <c r="E653" s="568">
        <v>17269.97</v>
      </c>
      <c r="F653" s="568">
        <v>73531.210000000006</v>
      </c>
      <c r="G653" s="568">
        <v>42691.49</v>
      </c>
      <c r="H653" s="568">
        <f>VLOOKUP(A653,Ucto_HK_2021!$A$2:$D$929,4,FALSE)</f>
        <v>80751.539999999994</v>
      </c>
      <c r="K653" s="568">
        <v>59734.21</v>
      </c>
    </row>
    <row r="654" spans="1:11">
      <c r="A654" s="584" t="s">
        <v>2226</v>
      </c>
      <c r="C654" s="587">
        <v>0</v>
      </c>
      <c r="D654" s="587">
        <v>1982898.65</v>
      </c>
      <c r="E654" s="69">
        <v>4384639.75</v>
      </c>
      <c r="F654" s="69">
        <v>2903203.29</v>
      </c>
      <c r="G654" s="69">
        <v>11114182.4</v>
      </c>
      <c r="H654" s="69">
        <f>VLOOKUP(A654,Ucto_HK_2021!$A$2:$D$929,4,FALSE)</f>
        <v>4081613.36</v>
      </c>
      <c r="K654" s="69">
        <v>3216740.55</v>
      </c>
    </row>
    <row r="655" spans="1:11" s="440" customFormat="1">
      <c r="A655" s="668" t="s">
        <v>2227</v>
      </c>
      <c r="B655" s="668" t="s">
        <v>2228</v>
      </c>
      <c r="C655" s="568">
        <v>0</v>
      </c>
      <c r="D655" s="568">
        <v>20659.55</v>
      </c>
      <c r="E655" s="568">
        <v>26017.56</v>
      </c>
      <c r="F655" s="568">
        <v>33196.11</v>
      </c>
      <c r="G655" s="568">
        <v>51286.82</v>
      </c>
      <c r="H655" s="568">
        <f>VLOOKUP(A655,Ucto_HK_2021!$A$2:$D$929,4,FALSE)</f>
        <v>7144.8</v>
      </c>
      <c r="K655" s="568">
        <v>6734</v>
      </c>
    </row>
    <row r="656" spans="1:11" s="440" customFormat="1">
      <c r="A656" s="668" t="s">
        <v>2229</v>
      </c>
      <c r="B656" s="668" t="s">
        <v>2230</v>
      </c>
      <c r="C656" s="568">
        <v>0</v>
      </c>
      <c r="D656" s="568">
        <v>967.72</v>
      </c>
      <c r="E656" s="568">
        <v>2353.7399999999998</v>
      </c>
      <c r="F656" s="568">
        <v>2353.6999999999998</v>
      </c>
      <c r="G656" s="568">
        <v>1917.09</v>
      </c>
      <c r="H656" s="568">
        <f>VLOOKUP(A656,Ucto_HK_2021!$A$2:$D$929,4,FALSE)</f>
        <v>1574.25</v>
      </c>
      <c r="K656" s="568">
        <v>1233.75</v>
      </c>
    </row>
    <row r="657" spans="1:11" s="440" customFormat="1">
      <c r="A657" s="668" t="s">
        <v>2231</v>
      </c>
      <c r="B657" s="668" t="s">
        <v>2232</v>
      </c>
      <c r="C657" s="568">
        <v>0</v>
      </c>
      <c r="D657" s="568">
        <v>1437275.58</v>
      </c>
      <c r="E657" s="568">
        <v>1542724.15</v>
      </c>
      <c r="F657" s="568">
        <v>1734860.22</v>
      </c>
      <c r="G657" s="568">
        <v>2240143.0699999998</v>
      </c>
      <c r="H657" s="568">
        <f>VLOOKUP(A657,Ucto_HK_2021!$A$2:$D$929,4,FALSE)</f>
        <v>2798279.93</v>
      </c>
      <c r="K657" s="568">
        <v>2313304.7599999998</v>
      </c>
    </row>
    <row r="658" spans="1:11" s="440" customFormat="1">
      <c r="A658" s="668" t="s">
        <v>2233</v>
      </c>
      <c r="B658" s="668" t="s">
        <v>2234</v>
      </c>
      <c r="C658" s="568">
        <v>0</v>
      </c>
      <c r="D658" s="568">
        <v>72397.61</v>
      </c>
      <c r="E658" s="568">
        <v>71898.59</v>
      </c>
      <c r="F658" s="568">
        <v>83765.67</v>
      </c>
      <c r="G658" s="568">
        <v>87105.52</v>
      </c>
      <c r="H658" s="568">
        <f>VLOOKUP(A658,Ucto_HK_2021!$A$2:$D$929,4,FALSE)</f>
        <v>84888.09</v>
      </c>
      <c r="K658" s="568">
        <v>69531.460000000006</v>
      </c>
    </row>
    <row r="659" spans="1:11" s="440" customFormat="1">
      <c r="A659" s="668" t="s">
        <v>2235</v>
      </c>
      <c r="B659" s="668" t="s">
        <v>2236</v>
      </c>
      <c r="C659" s="568">
        <v>0</v>
      </c>
      <c r="D659" s="568">
        <v>1605611.52</v>
      </c>
      <c r="E659" s="568">
        <v>1587378.12</v>
      </c>
      <c r="F659" s="568">
        <v>1569228.42</v>
      </c>
      <c r="G659" s="568">
        <v>1590243.07</v>
      </c>
      <c r="H659" s="568">
        <f>VLOOKUP(A659,Ucto_HK_2021!$A$2:$D$929,4,FALSE)</f>
        <v>1553213.16</v>
      </c>
      <c r="K659" s="568">
        <v>1345757.71</v>
      </c>
    </row>
    <row r="660" spans="1:11" s="440" customFormat="1">
      <c r="A660" s="668" t="s">
        <v>2742</v>
      </c>
      <c r="B660" s="668" t="s">
        <v>2743</v>
      </c>
      <c r="C660" s="568">
        <v>0</v>
      </c>
      <c r="D660" s="568">
        <v>382.22</v>
      </c>
      <c r="E660" s="568"/>
      <c r="F660" s="568"/>
      <c r="G660" s="568"/>
      <c r="H660" s="568">
        <f>VLOOKUP(A660,Ucto_HK_2021!$A$2:$D$929,4,FALSE)</f>
        <v>28</v>
      </c>
      <c r="K660" s="568"/>
    </row>
    <row r="661" spans="1:11" s="440" customFormat="1">
      <c r="A661" s="668" t="s">
        <v>844</v>
      </c>
      <c r="C661" s="568">
        <v>0</v>
      </c>
      <c r="D661" s="568">
        <v>3137294.2</v>
      </c>
      <c r="E661" s="568">
        <v>3230372.16</v>
      </c>
      <c r="F661" s="568">
        <v>3423404.12</v>
      </c>
      <c r="G661" s="568">
        <v>3970695.57</v>
      </c>
      <c r="H661" s="568">
        <f>VLOOKUP(A661,Ucto_HK_2021!$A$2:$D$929,4,FALSE)</f>
        <v>4445128.2300000004</v>
      </c>
      <c r="K661" s="568">
        <v>3736561.68</v>
      </c>
    </row>
    <row r="662" spans="1:11" s="440" customFormat="1">
      <c r="A662" s="668" t="s">
        <v>2237</v>
      </c>
      <c r="B662" s="668" t="s">
        <v>2238</v>
      </c>
      <c r="C662" s="568">
        <v>0</v>
      </c>
      <c r="D662" s="568">
        <v>18014</v>
      </c>
      <c r="E662" s="568">
        <v>20631.599999999999</v>
      </c>
      <c r="F662" s="568">
        <v>25745.26</v>
      </c>
      <c r="G662" s="568">
        <v>286709.33</v>
      </c>
      <c r="H662" s="568">
        <f>VLOOKUP(A662,Ucto_HK_2021!$A$2:$D$929,4,FALSE)</f>
        <v>251595.33</v>
      </c>
      <c r="K662" s="568"/>
    </row>
    <row r="663" spans="1:11" s="440" customFormat="1">
      <c r="A663" s="668" t="s">
        <v>847</v>
      </c>
      <c r="C663" s="568">
        <v>0</v>
      </c>
      <c r="D663" s="568">
        <v>18014</v>
      </c>
      <c r="E663" s="568">
        <v>20631.599999999999</v>
      </c>
      <c r="F663" s="568">
        <v>25745.26</v>
      </c>
      <c r="G663" s="568">
        <v>286709.33</v>
      </c>
      <c r="H663" s="568">
        <f>VLOOKUP(A663,Ucto_HK_2021!$A$2:$D$929,4,FALSE)</f>
        <v>251595.33</v>
      </c>
      <c r="K663" s="568"/>
    </row>
    <row r="664" spans="1:11" s="440" customFormat="1">
      <c r="A664" s="668" t="s">
        <v>2239</v>
      </c>
      <c r="B664" s="668" t="s">
        <v>2240</v>
      </c>
      <c r="C664" s="568">
        <v>0</v>
      </c>
      <c r="D664" s="568">
        <v>1068922.94</v>
      </c>
      <c r="E664" s="568">
        <v>2705700</v>
      </c>
      <c r="F664" s="568">
        <v>3172286.97</v>
      </c>
      <c r="G664" s="568">
        <v>17417202.969999999</v>
      </c>
      <c r="H664" s="568">
        <f>VLOOKUP(A664,Ucto_HK_2021!$A$2:$D$929,4,FALSE)</f>
        <v>10333139</v>
      </c>
      <c r="K664" s="568"/>
    </row>
    <row r="665" spans="1:11" s="440" customFormat="1">
      <c r="A665" s="668" t="s">
        <v>849</v>
      </c>
      <c r="C665" s="568">
        <v>0</v>
      </c>
      <c r="D665" s="568">
        <v>1068922.94</v>
      </c>
      <c r="E665" s="568">
        <v>2705700</v>
      </c>
      <c r="F665" s="568">
        <v>3172286.97</v>
      </c>
      <c r="G665" s="568">
        <v>17417202.969999999</v>
      </c>
      <c r="H665" s="568">
        <f>VLOOKUP(A665,Ucto_HK_2021!$A$2:$D$929,4,FALSE)</f>
        <v>10333139</v>
      </c>
      <c r="K665" s="568"/>
    </row>
    <row r="666" spans="1:11" s="440" customFormat="1">
      <c r="A666" s="668" t="s">
        <v>2241</v>
      </c>
      <c r="B666" s="668" t="s">
        <v>2242</v>
      </c>
      <c r="C666" s="568">
        <v>0</v>
      </c>
      <c r="D666" s="568">
        <v>1266747.73</v>
      </c>
      <c r="E666" s="568">
        <v>116680.79</v>
      </c>
      <c r="F666" s="568">
        <v>193346.12</v>
      </c>
      <c r="G666" s="568">
        <v>114931.48</v>
      </c>
      <c r="H666" s="568">
        <f>VLOOKUP(A666,Ucto_HK_2021!$A$2:$D$929,4,FALSE)</f>
        <v>919608.98</v>
      </c>
      <c r="K666" s="568"/>
    </row>
    <row r="667" spans="1:11" s="440" customFormat="1">
      <c r="A667" s="668" t="s">
        <v>853</v>
      </c>
      <c r="C667" s="568">
        <v>0</v>
      </c>
      <c r="D667" s="568">
        <v>1266747.73</v>
      </c>
      <c r="E667" s="568">
        <v>116680.79</v>
      </c>
      <c r="F667" s="568">
        <v>193346.12</v>
      </c>
      <c r="G667" s="568">
        <v>114931.48</v>
      </c>
      <c r="H667" s="568">
        <f>VLOOKUP(A667,Ucto_HK_2021!$A$2:$D$929,4,FALSE)</f>
        <v>919608.98</v>
      </c>
      <c r="K667" s="568"/>
    </row>
    <row r="668" spans="1:11">
      <c r="A668" s="584" t="s">
        <v>2243</v>
      </c>
      <c r="C668" s="587">
        <v>0</v>
      </c>
      <c r="D668" s="587">
        <v>5490978.8700000001</v>
      </c>
      <c r="E668" s="69">
        <v>6073384.5499999998</v>
      </c>
      <c r="F668" s="69">
        <v>6814782.4699999997</v>
      </c>
      <c r="G668" s="69">
        <v>21789539.350000001</v>
      </c>
      <c r="H668" s="69">
        <f>VLOOKUP(A668,Ucto_HK_2021!$A$2:$D$929,4,FALSE)</f>
        <v>15949471.539999999</v>
      </c>
      <c r="K668" s="69">
        <v>3736561.68</v>
      </c>
    </row>
    <row r="669" spans="1:11">
      <c r="A669" s="355" t="s">
        <v>2244</v>
      </c>
      <c r="B669" s="355" t="s">
        <v>238</v>
      </c>
      <c r="C669" s="587"/>
      <c r="D669" s="587"/>
      <c r="E669" s="69"/>
      <c r="F669" s="69"/>
      <c r="G669" s="69">
        <v>26.22</v>
      </c>
      <c r="H669" s="69">
        <f>VLOOKUP(A669,Ucto_HK_2021!$A$2:$D$929,4,FALSE)</f>
        <v>6.55</v>
      </c>
      <c r="K669" s="69"/>
    </row>
    <row r="670" spans="1:11">
      <c r="A670" s="355" t="s">
        <v>865</v>
      </c>
      <c r="C670" s="587"/>
      <c r="D670" s="587"/>
      <c r="E670" s="69"/>
      <c r="F670" s="69"/>
      <c r="G670" s="69">
        <v>26.22</v>
      </c>
      <c r="H670" s="69">
        <f>VLOOKUP(A670,Ucto_HK_2021!$A$2:$D$929,4,FALSE)</f>
        <v>6.55</v>
      </c>
      <c r="K670" s="69"/>
    </row>
    <row r="671" spans="1:11">
      <c r="A671" s="355" t="s">
        <v>2245</v>
      </c>
      <c r="B671" s="355" t="s">
        <v>2246</v>
      </c>
      <c r="C671" s="69">
        <v>0</v>
      </c>
      <c r="D671" s="69">
        <v>63.95</v>
      </c>
      <c r="E671" s="69">
        <v>0.17</v>
      </c>
      <c r="F671" s="69">
        <v>47.13</v>
      </c>
      <c r="G671" s="69">
        <v>0.96</v>
      </c>
      <c r="H671" s="69">
        <f>VLOOKUP(A671,Ucto_HK_2021!$A$2:$D$929,4,FALSE)</f>
        <v>3</v>
      </c>
      <c r="K671" s="69">
        <v>3</v>
      </c>
    </row>
    <row r="672" spans="1:11">
      <c r="A672" s="355" t="s">
        <v>2680</v>
      </c>
      <c r="B672" s="355" t="s">
        <v>2526</v>
      </c>
      <c r="C672" s="69">
        <v>0</v>
      </c>
      <c r="D672" s="69">
        <v>45.73</v>
      </c>
      <c r="E672" s="69"/>
      <c r="F672" s="69">
        <v>3.7</v>
      </c>
      <c r="G672" s="69"/>
      <c r="H672" s="69">
        <f>VLOOKUP(A672,Ucto_HK_2021!$A$2:$D$929,4,FALSE)</f>
        <v>42.44</v>
      </c>
      <c r="K672" s="69"/>
    </row>
    <row r="673" spans="1:11">
      <c r="A673" s="355" t="s">
        <v>866</v>
      </c>
      <c r="C673" s="69">
        <v>0</v>
      </c>
      <c r="D673" s="69">
        <v>109.68</v>
      </c>
      <c r="E673" s="69">
        <v>0.17</v>
      </c>
      <c r="F673" s="69">
        <v>50.83</v>
      </c>
      <c r="G673" s="69">
        <v>0.96</v>
      </c>
      <c r="H673" s="69">
        <f>VLOOKUP(A673,Ucto_HK_2021!$A$2:$D$929,4,FALSE)</f>
        <v>45.44</v>
      </c>
      <c r="K673" s="69">
        <v>3</v>
      </c>
    </row>
    <row r="674" spans="1:11" s="440" customFormat="1">
      <c r="A674" s="668" t="s">
        <v>2247</v>
      </c>
      <c r="B674" s="668" t="s">
        <v>245</v>
      </c>
      <c r="C674" s="568">
        <v>0</v>
      </c>
      <c r="D674" s="568">
        <v>438.12</v>
      </c>
      <c r="E674" s="568">
        <v>974.73</v>
      </c>
      <c r="F674" s="568">
        <v>2184.4299999999998</v>
      </c>
      <c r="G674" s="568">
        <v>4526.66</v>
      </c>
      <c r="H674" s="568">
        <f>VLOOKUP(A674,Ucto_HK_2021!$A$2:$D$929,4,FALSE)</f>
        <v>563.51</v>
      </c>
      <c r="K674" s="568">
        <v>180.35</v>
      </c>
    </row>
    <row r="675" spans="1:11" s="440" customFormat="1">
      <c r="A675" s="668" t="s">
        <v>2248</v>
      </c>
      <c r="B675" s="668" t="s">
        <v>2249</v>
      </c>
      <c r="C675" s="568">
        <v>0</v>
      </c>
      <c r="D675" s="568">
        <v>3637.6</v>
      </c>
      <c r="E675" s="568">
        <v>3471.49</v>
      </c>
      <c r="F675" s="568">
        <v>3473.98</v>
      </c>
      <c r="G675" s="568">
        <v>3537.27</v>
      </c>
      <c r="H675" s="568">
        <f>VLOOKUP(A675,Ucto_HK_2021!$A$2:$D$929,4,FALSE)</f>
        <v>4048.88</v>
      </c>
      <c r="K675" s="568">
        <v>3239.9</v>
      </c>
    </row>
    <row r="676" spans="1:11" s="440" customFormat="1">
      <c r="A676" s="668" t="s">
        <v>2250</v>
      </c>
      <c r="B676" s="668" t="s">
        <v>2251</v>
      </c>
      <c r="C676" s="568">
        <v>0</v>
      </c>
      <c r="D676" s="568">
        <v>99934.02</v>
      </c>
      <c r="E676" s="568">
        <v>101469.85</v>
      </c>
      <c r="F676" s="568">
        <v>34412.160000000003</v>
      </c>
      <c r="G676" s="568">
        <v>8959.14</v>
      </c>
      <c r="H676" s="568">
        <f>VLOOKUP(A676,Ucto_HK_2021!$A$2:$D$929,4,FALSE)</f>
        <v>15671.4</v>
      </c>
      <c r="K676" s="568">
        <v>10738.61</v>
      </c>
    </row>
    <row r="677" spans="1:11" s="440" customFormat="1">
      <c r="A677" s="668" t="s">
        <v>2252</v>
      </c>
      <c r="B677" s="668" t="s">
        <v>2253</v>
      </c>
      <c r="C677" s="568"/>
      <c r="D677" s="568"/>
      <c r="E677" s="568"/>
      <c r="F677" s="568">
        <v>7354.19</v>
      </c>
      <c r="G677" s="568">
        <v>9340.7999999999993</v>
      </c>
      <c r="H677" s="568">
        <f>VLOOKUP(A677,Ucto_HK_2021!$A$2:$D$929,4,FALSE)</f>
        <v>10189.48</v>
      </c>
      <c r="K677" s="568">
        <v>9809.8799999999992</v>
      </c>
    </row>
    <row r="678" spans="1:11" s="440" customFormat="1">
      <c r="A678" s="668" t="s">
        <v>2254</v>
      </c>
      <c r="B678" s="668" t="s">
        <v>2255</v>
      </c>
      <c r="C678" s="568"/>
      <c r="D678" s="568"/>
      <c r="E678" s="568"/>
      <c r="F678" s="568">
        <v>62454.15</v>
      </c>
      <c r="G678" s="568">
        <v>88423.26</v>
      </c>
      <c r="H678" s="568">
        <f>VLOOKUP(A678,Ucto_HK_2021!$A$2:$D$929,4,FALSE)</f>
        <v>85492.5</v>
      </c>
      <c r="K678" s="568">
        <v>81473.02</v>
      </c>
    </row>
    <row r="679" spans="1:11" s="440" customFormat="1">
      <c r="A679" s="668" t="s">
        <v>2256</v>
      </c>
      <c r="B679" s="668" t="s">
        <v>2257</v>
      </c>
      <c r="C679" s="568"/>
      <c r="D679" s="568"/>
      <c r="E679" s="568"/>
      <c r="F679" s="568"/>
      <c r="G679" s="568"/>
      <c r="H679" s="568">
        <f>VLOOKUP(A679,Ucto_HK_2021!$A$2:$D$929,4,FALSE)</f>
        <v>2.9</v>
      </c>
      <c r="K679" s="568"/>
    </row>
    <row r="680" spans="1:11" s="440" customFormat="1">
      <c r="A680" s="668" t="s">
        <v>873</v>
      </c>
      <c r="C680" s="568">
        <v>0</v>
      </c>
      <c r="D680" s="568">
        <v>104009.74</v>
      </c>
      <c r="E680" s="568">
        <v>105916.07</v>
      </c>
      <c r="F680" s="568">
        <v>109878.91</v>
      </c>
      <c r="G680" s="568">
        <v>114787.38</v>
      </c>
      <c r="H680" s="568">
        <f>VLOOKUP(A680,Ucto_HK_2021!$A$2:$D$929,4,FALSE)</f>
        <v>115968.67</v>
      </c>
      <c r="K680" s="568">
        <v>105442.81</v>
      </c>
    </row>
    <row r="681" spans="1:11" s="440" customFormat="1">
      <c r="A681" s="670" t="s">
        <v>2258</v>
      </c>
      <c r="C681" s="671">
        <v>0</v>
      </c>
      <c r="D681" s="671">
        <v>104119.42</v>
      </c>
      <c r="E681" s="568">
        <v>105916.24</v>
      </c>
      <c r="F681" s="568">
        <v>109929.74</v>
      </c>
      <c r="G681" s="568">
        <v>114814.56</v>
      </c>
      <c r="H681" s="568">
        <f>VLOOKUP(A681,Ucto_HK_2021!$A$2:$D$929,4,FALSE)</f>
        <v>116020.66</v>
      </c>
      <c r="K681" s="568">
        <v>105445.81</v>
      </c>
    </row>
    <row r="682" spans="1:11" s="440" customFormat="1">
      <c r="A682" s="668" t="s">
        <v>2259</v>
      </c>
      <c r="B682" s="668" t="s">
        <v>2260</v>
      </c>
      <c r="C682" s="671"/>
      <c r="D682" s="671"/>
      <c r="E682" s="568"/>
      <c r="F682" s="568"/>
      <c r="G682" s="568">
        <v>371449.38</v>
      </c>
      <c r="H682" s="568">
        <f>VLOOKUP(A682,Ucto_HK_2021!$A$2:$D$929,4,FALSE)</f>
        <v>531205.93999999994</v>
      </c>
      <c r="K682" s="568">
        <v>326276.59999999998</v>
      </c>
    </row>
    <row r="683" spans="1:11" s="440" customFormat="1">
      <c r="A683" s="668" t="s">
        <v>898</v>
      </c>
      <c r="C683" s="671"/>
      <c r="D683" s="671"/>
      <c r="E683" s="568"/>
      <c r="F683" s="568"/>
      <c r="G683" s="568">
        <v>371449.38</v>
      </c>
      <c r="H683" s="568">
        <f>VLOOKUP(A683,Ucto_HK_2021!$A$2:$D$929,4,FALSE)</f>
        <v>531205.93999999994</v>
      </c>
      <c r="K683" s="568">
        <v>326276.59999999998</v>
      </c>
    </row>
    <row r="684" spans="1:11" s="440" customFormat="1">
      <c r="A684" s="670" t="s">
        <v>2261</v>
      </c>
      <c r="C684" s="671"/>
      <c r="D684" s="671"/>
      <c r="E684" s="568"/>
      <c r="F684" s="568"/>
      <c r="G684" s="568">
        <v>371449.38</v>
      </c>
      <c r="H684" s="568">
        <f>VLOOKUP(A684,Ucto_HK_2021!$A$2:$D$929,4,FALSE)</f>
        <v>531205.93999999994</v>
      </c>
      <c r="K684" s="568">
        <v>326276.59999999998</v>
      </c>
    </row>
    <row r="685" spans="1:11">
      <c r="A685" s="355" t="s">
        <v>2681</v>
      </c>
      <c r="B685" s="355" t="s">
        <v>224</v>
      </c>
      <c r="C685" s="69">
        <v>0</v>
      </c>
      <c r="D685" s="69">
        <v>5567.62</v>
      </c>
      <c r="E685" s="69">
        <v>1413.76</v>
      </c>
      <c r="F685" s="69">
        <v>64476.84</v>
      </c>
      <c r="G685" s="69"/>
      <c r="H685" s="69">
        <f>VLOOKUP(A685,Ucto_HK_2021!$A$2:$D$929,4,FALSE)</f>
        <v>53353.52</v>
      </c>
      <c r="K685" s="69">
        <v>10609.22</v>
      </c>
    </row>
    <row r="686" spans="1:11">
      <c r="A686" s="355" t="s">
        <v>2262</v>
      </c>
      <c r="B686" s="355" t="s">
        <v>1581</v>
      </c>
      <c r="C686" s="69">
        <v>0</v>
      </c>
      <c r="D686" s="69">
        <v>2349.3200000000002</v>
      </c>
      <c r="E686" s="69">
        <v>2849.03</v>
      </c>
      <c r="F686" s="69"/>
      <c r="G686" s="69">
        <v>100.34</v>
      </c>
      <c r="H686" s="69"/>
      <c r="K686" s="69"/>
    </row>
    <row r="687" spans="1:11">
      <c r="A687" s="355" t="s">
        <v>2263</v>
      </c>
      <c r="B687" s="355" t="s">
        <v>2264</v>
      </c>
      <c r="C687" s="69">
        <v>0</v>
      </c>
      <c r="D687" s="69">
        <v>304</v>
      </c>
      <c r="E687" s="69">
        <v>3879.92</v>
      </c>
      <c r="F687" s="69">
        <v>1307.51</v>
      </c>
      <c r="G687" s="69">
        <v>1476.99</v>
      </c>
      <c r="H687" s="69"/>
      <c r="K687" s="69"/>
    </row>
    <row r="688" spans="1:11">
      <c r="A688" s="355" t="s">
        <v>1028</v>
      </c>
      <c r="C688" s="69">
        <v>0</v>
      </c>
      <c r="D688" s="69">
        <v>8220.94</v>
      </c>
      <c r="E688" s="69">
        <v>8142.71</v>
      </c>
      <c r="F688" s="69">
        <v>65784.350000000006</v>
      </c>
      <c r="G688" s="69">
        <v>1577.33</v>
      </c>
      <c r="H688" s="69">
        <f>VLOOKUP(A688,Ucto_HK_2021!$A$2:$D$929,4,FALSE)</f>
        <v>53353.52</v>
      </c>
      <c r="K688" s="69">
        <v>10609.22</v>
      </c>
    </row>
    <row r="689" spans="1:11">
      <c r="A689" s="584" t="s">
        <v>2265</v>
      </c>
      <c r="C689" s="587">
        <v>0</v>
      </c>
      <c r="D689" s="587">
        <v>8220.94</v>
      </c>
      <c r="E689" s="69">
        <v>8142.71</v>
      </c>
      <c r="F689" s="69">
        <v>65784.350000000006</v>
      </c>
      <c r="G689" s="69">
        <v>1577.33</v>
      </c>
      <c r="H689" s="69">
        <f>VLOOKUP(A689,Ucto_HK_2021!$A$2:$D$929,4,FALSE)</f>
        <v>53353.52</v>
      </c>
      <c r="K689" s="69">
        <v>10609.22</v>
      </c>
    </row>
    <row r="690" spans="1:11">
      <c r="A690" s="584" t="s">
        <v>2266</v>
      </c>
      <c r="C690" s="587">
        <v>0</v>
      </c>
      <c r="D690" s="587">
        <v>116410339.17</v>
      </c>
      <c r="E690" s="69">
        <v>123785226.37</v>
      </c>
      <c r="F690" s="69">
        <v>138598538.31</v>
      </c>
      <c r="G690" s="69">
        <v>178686811.38</v>
      </c>
      <c r="H690" s="69">
        <f>VLOOKUP(A690,Ucto_HK_2021!$A$2:$D$929,4,FALSE)</f>
        <v>199980270.31</v>
      </c>
      <c r="K690" s="69">
        <v>150322079.63999999</v>
      </c>
    </row>
    <row r="691" spans="1:11">
      <c r="C691" s="69"/>
      <c r="D691" s="69"/>
      <c r="E691" s="69"/>
      <c r="F691" s="69"/>
      <c r="G691" s="69"/>
      <c r="H691" s="69"/>
      <c r="K691" s="69"/>
    </row>
    <row r="692" spans="1:11">
      <c r="A692" s="355" t="s">
        <v>2267</v>
      </c>
      <c r="B692" s="355" t="s">
        <v>2268</v>
      </c>
      <c r="C692" s="69">
        <v>0</v>
      </c>
      <c r="D692" s="69">
        <v>-30957629.879999999</v>
      </c>
      <c r="E692" s="69">
        <v>-33282353.68</v>
      </c>
      <c r="F692" s="69">
        <v>-33007954.559999999</v>
      </c>
      <c r="G692" s="69">
        <v>-35078443.82</v>
      </c>
      <c r="H692" s="69">
        <f>VLOOKUP(A692,Ucto_HK_2021!$A$2:$D$929,4,FALSE)</f>
        <v>-37579134.850000001</v>
      </c>
      <c r="K692" s="69">
        <v>-31438850.260000002</v>
      </c>
    </row>
    <row r="693" spans="1:11">
      <c r="A693" s="355" t="s">
        <v>2713</v>
      </c>
      <c r="B693" s="355" t="s">
        <v>2714</v>
      </c>
      <c r="C693" s="69">
        <v>0</v>
      </c>
      <c r="D693" s="69">
        <v>-437040</v>
      </c>
      <c r="E693" s="69">
        <v>-341199.01</v>
      </c>
      <c r="F693" s="69"/>
      <c r="G693" s="69"/>
      <c r="H693" s="69"/>
      <c r="K693" s="69"/>
    </row>
    <row r="694" spans="1:11">
      <c r="A694" s="355" t="s">
        <v>2715</v>
      </c>
      <c r="B694" s="355" t="s">
        <v>2716</v>
      </c>
      <c r="C694" s="69">
        <v>0</v>
      </c>
      <c r="D694" s="69">
        <v>-314863.21999999997</v>
      </c>
      <c r="E694" s="69">
        <v>-150163.14000000001</v>
      </c>
      <c r="F694" s="69"/>
      <c r="G694" s="69"/>
      <c r="H694" s="69"/>
      <c r="K694" s="69"/>
    </row>
    <row r="695" spans="1:11">
      <c r="A695" s="355" t="s">
        <v>2744</v>
      </c>
      <c r="B695" s="355" t="s">
        <v>2745</v>
      </c>
      <c r="C695" s="69">
        <v>0</v>
      </c>
      <c r="D695" s="69">
        <v>-129488.62</v>
      </c>
      <c r="E695" s="69"/>
      <c r="F695" s="69"/>
      <c r="G695" s="69"/>
      <c r="H695" s="69"/>
      <c r="K695" s="69"/>
    </row>
    <row r="696" spans="1:11">
      <c r="A696" s="355" t="s">
        <v>2269</v>
      </c>
      <c r="B696" s="355" t="s">
        <v>2270</v>
      </c>
      <c r="C696" s="69">
        <v>0</v>
      </c>
      <c r="D696" s="69">
        <v>-1828014.88</v>
      </c>
      <c r="E696" s="69">
        <v>-1864028.69</v>
      </c>
      <c r="F696" s="69">
        <v>-2090181.01</v>
      </c>
      <c r="G696" s="69">
        <v>-1693936.02</v>
      </c>
      <c r="H696" s="69">
        <f>VLOOKUP(A696,Ucto_HK_2021!$A$2:$D$929,4,FALSE)</f>
        <v>-1455835.12</v>
      </c>
      <c r="K696" s="69">
        <v>-1236195.93</v>
      </c>
    </row>
    <row r="697" spans="1:11">
      <c r="A697" s="355" t="s">
        <v>2271</v>
      </c>
      <c r="B697" s="355" t="s">
        <v>2272</v>
      </c>
      <c r="C697" s="69">
        <v>0</v>
      </c>
      <c r="D697" s="69">
        <v>-2964782.17</v>
      </c>
      <c r="E697" s="69">
        <v>-3094735.47</v>
      </c>
      <c r="F697" s="69">
        <v>-3542258.41</v>
      </c>
      <c r="G697" s="69">
        <v>-4273756.32</v>
      </c>
      <c r="H697" s="69">
        <f>VLOOKUP(A697,Ucto_HK_2021!$A$2:$D$929,4,FALSE)</f>
        <v>-4650413.47</v>
      </c>
      <c r="K697" s="69">
        <v>-4031534.4</v>
      </c>
    </row>
    <row r="698" spans="1:11">
      <c r="A698" s="355" t="s">
        <v>2273</v>
      </c>
      <c r="B698" s="355" t="s">
        <v>2274</v>
      </c>
      <c r="C698" s="69">
        <v>0</v>
      </c>
      <c r="D698" s="69">
        <v>-116383.77</v>
      </c>
      <c r="E698" s="69">
        <v>-150740.42000000001</v>
      </c>
      <c r="F698" s="69">
        <v>-154400.95000000001</v>
      </c>
      <c r="G698" s="69">
        <v>-956506.15</v>
      </c>
      <c r="H698" s="69">
        <f>VLOOKUP(A698,Ucto_HK_2021!$A$2:$D$929,4,FALSE)</f>
        <v>-958160.67</v>
      </c>
      <c r="K698" s="69">
        <v>-782811.04</v>
      </c>
    </row>
    <row r="699" spans="1:11">
      <c r="A699" s="355" t="s">
        <v>2275</v>
      </c>
      <c r="B699" s="355" t="s">
        <v>2276</v>
      </c>
      <c r="C699" s="69">
        <v>0</v>
      </c>
      <c r="D699" s="69">
        <v>-189052.26</v>
      </c>
      <c r="E699" s="69">
        <v>-139472.49</v>
      </c>
      <c r="F699" s="69">
        <v>-110184.17</v>
      </c>
      <c r="G699" s="69">
        <v>-98816.75</v>
      </c>
      <c r="H699" s="69">
        <f>VLOOKUP(A699,Ucto_HK_2021!$A$2:$D$929,4,FALSE)</f>
        <v>-100777.06</v>
      </c>
      <c r="K699" s="69">
        <v>-82912.83</v>
      </c>
    </row>
    <row r="700" spans="1:11">
      <c r="A700" s="355" t="s">
        <v>2277</v>
      </c>
      <c r="B700" s="355" t="s">
        <v>2278</v>
      </c>
      <c r="C700" s="69">
        <v>0</v>
      </c>
      <c r="D700" s="69">
        <v>-432958.02</v>
      </c>
      <c r="E700" s="69">
        <v>-430084.23</v>
      </c>
      <c r="F700" s="69">
        <v>-447016.88</v>
      </c>
      <c r="G700" s="69">
        <v>-389228.9</v>
      </c>
      <c r="H700" s="69">
        <f>VLOOKUP(A700,Ucto_HK_2021!$A$2:$D$929,4,FALSE)</f>
        <v>-387872.7</v>
      </c>
      <c r="K700" s="69">
        <v>-321999.05</v>
      </c>
    </row>
    <row r="701" spans="1:11">
      <c r="A701" s="355" t="s">
        <v>2717</v>
      </c>
      <c r="B701" s="355" t="s">
        <v>2718</v>
      </c>
      <c r="C701" s="69">
        <v>0</v>
      </c>
      <c r="D701" s="69">
        <v>-30347.56</v>
      </c>
      <c r="E701" s="69">
        <v>-5916.91</v>
      </c>
      <c r="F701" s="69"/>
      <c r="G701" s="69"/>
      <c r="H701" s="69"/>
      <c r="K701" s="69"/>
    </row>
    <row r="702" spans="1:11">
      <c r="A702" s="355" t="s">
        <v>2719</v>
      </c>
      <c r="B702" s="355" t="s">
        <v>2720</v>
      </c>
      <c r="C702" s="69">
        <v>0</v>
      </c>
      <c r="D702" s="69">
        <v>-101688.13</v>
      </c>
      <c r="E702" s="69">
        <v>-33663.24</v>
      </c>
      <c r="F702" s="69"/>
      <c r="G702" s="69"/>
      <c r="H702" s="69"/>
      <c r="K702" s="69"/>
    </row>
    <row r="703" spans="1:11">
      <c r="A703" s="355" t="s">
        <v>2279</v>
      </c>
      <c r="B703" s="355" t="s">
        <v>2280</v>
      </c>
      <c r="C703" s="69">
        <v>0</v>
      </c>
      <c r="D703" s="69">
        <v>-6680628.5099999998</v>
      </c>
      <c r="E703" s="69">
        <v>-8152495.1799999997</v>
      </c>
      <c r="F703" s="69">
        <v>-7604162.0899999999</v>
      </c>
      <c r="G703" s="69">
        <v>-6899048.0899999999</v>
      </c>
      <c r="H703" s="69">
        <f>VLOOKUP(A703,Ucto_HK_2021!$A$2:$D$929,4,FALSE)</f>
        <v>-7388813.4800000004</v>
      </c>
      <c r="K703" s="69">
        <v>-6316820.4100000001</v>
      </c>
    </row>
    <row r="704" spans="1:11">
      <c r="A704" s="355" t="s">
        <v>2281</v>
      </c>
      <c r="B704" s="355" t="s">
        <v>2282</v>
      </c>
      <c r="C704" s="69">
        <v>0</v>
      </c>
      <c r="D704" s="69">
        <v>-184816.21</v>
      </c>
      <c r="E704" s="69">
        <v>-310279.93</v>
      </c>
      <c r="F704" s="69">
        <v>-264260.74</v>
      </c>
      <c r="G704" s="69">
        <v>-473566.54</v>
      </c>
      <c r="H704" s="69">
        <f>VLOOKUP(A704,Ucto_HK_2021!$A$2:$D$929,4,FALSE)</f>
        <v>-1595573.39</v>
      </c>
      <c r="K704" s="69">
        <v>-1107416.8</v>
      </c>
    </row>
    <row r="705" spans="1:11">
      <c r="A705" s="355" t="s">
        <v>2283</v>
      </c>
      <c r="B705" s="355" t="s">
        <v>2284</v>
      </c>
      <c r="C705" s="69">
        <v>0</v>
      </c>
      <c r="D705" s="69">
        <v>-1028005.82</v>
      </c>
      <c r="E705" s="69">
        <v>-1121538.1200000001</v>
      </c>
      <c r="F705" s="69">
        <v>-1312748.6599999999</v>
      </c>
      <c r="G705" s="69">
        <v>-1041433.84</v>
      </c>
      <c r="H705" s="69">
        <f>VLOOKUP(A705,Ucto_HK_2021!$A$2:$D$929,4,FALSE)</f>
        <v>-950942.33</v>
      </c>
      <c r="K705" s="69">
        <v>-817029.33</v>
      </c>
    </row>
    <row r="706" spans="1:11">
      <c r="A706" s="355" t="s">
        <v>2746</v>
      </c>
      <c r="B706" s="355" t="s">
        <v>2747</v>
      </c>
      <c r="C706" s="69">
        <v>0</v>
      </c>
      <c r="D706" s="69">
        <v>-302.08</v>
      </c>
      <c r="E706" s="69"/>
      <c r="F706" s="69"/>
      <c r="G706" s="69"/>
      <c r="H706" s="69"/>
      <c r="K706" s="69"/>
    </row>
    <row r="707" spans="1:11">
      <c r="A707" s="355" t="s">
        <v>2285</v>
      </c>
      <c r="B707" s="355" t="s">
        <v>2286</v>
      </c>
      <c r="C707" s="69">
        <v>0</v>
      </c>
      <c r="D707" s="69">
        <v>-248712.17</v>
      </c>
      <c r="E707" s="69">
        <v>-277624.78000000003</v>
      </c>
      <c r="F707" s="69">
        <v>-231171.59</v>
      </c>
      <c r="G707" s="69">
        <v>-191891.43</v>
      </c>
      <c r="H707" s="69">
        <f>VLOOKUP(A707,Ucto_HK_2021!$A$2:$D$929,4,FALSE)</f>
        <v>-175459.52</v>
      </c>
      <c r="K707" s="69">
        <v>-151666.04999999999</v>
      </c>
    </row>
    <row r="708" spans="1:11">
      <c r="A708" s="355" t="s">
        <v>2287</v>
      </c>
      <c r="B708" s="355" t="s">
        <v>2288</v>
      </c>
      <c r="C708" s="69">
        <v>0</v>
      </c>
      <c r="D708" s="69">
        <v>-38454.129999999997</v>
      </c>
      <c r="E708" s="69">
        <v>-73840.240000000005</v>
      </c>
      <c r="F708" s="69">
        <v>-148004.07</v>
      </c>
      <c r="G708" s="69">
        <v>-53702.37</v>
      </c>
      <c r="H708" s="69">
        <f>VLOOKUP(A708,Ucto_HK_2021!$A$2:$D$929,4,FALSE)</f>
        <v>-51858.43</v>
      </c>
      <c r="K708" s="69">
        <v>-36366.19</v>
      </c>
    </row>
    <row r="709" spans="1:11">
      <c r="A709" s="355" t="s">
        <v>2289</v>
      </c>
      <c r="B709" s="355" t="s">
        <v>2290</v>
      </c>
      <c r="C709" s="69">
        <v>0</v>
      </c>
      <c r="D709" s="69">
        <v>-444460.11</v>
      </c>
      <c r="E709" s="69">
        <v>-724805.74</v>
      </c>
      <c r="F709" s="69">
        <v>-1533064.14</v>
      </c>
      <c r="G709" s="69">
        <v>-471107.03</v>
      </c>
      <c r="H709" s="69">
        <f>VLOOKUP(A709,Ucto_HK_2021!$A$2:$D$929,4,FALSE)</f>
        <v>-16921.32</v>
      </c>
      <c r="K709" s="69">
        <v>-16769.16</v>
      </c>
    </row>
    <row r="710" spans="1:11">
      <c r="A710" s="355" t="s">
        <v>2291</v>
      </c>
      <c r="B710" s="355" t="s">
        <v>2292</v>
      </c>
      <c r="C710" s="69">
        <v>0</v>
      </c>
      <c r="D710" s="69">
        <v>-1748356.27</v>
      </c>
      <c r="E710" s="69">
        <v>-2099946.6800000002</v>
      </c>
      <c r="F710" s="69">
        <v>-2591201.69</v>
      </c>
      <c r="G710" s="69">
        <v>-2360553.42</v>
      </c>
      <c r="H710" s="69">
        <f>VLOOKUP(A710,Ucto_HK_2021!$A$2:$D$929,4,FALSE)</f>
        <v>-3708652.01</v>
      </c>
      <c r="K710" s="69">
        <v>-3136391.9</v>
      </c>
    </row>
    <row r="711" spans="1:11">
      <c r="A711" s="355" t="s">
        <v>2293</v>
      </c>
      <c r="B711" s="355" t="s">
        <v>2294</v>
      </c>
      <c r="C711" s="69">
        <v>0</v>
      </c>
      <c r="D711" s="69">
        <v>-271476.53999999998</v>
      </c>
      <c r="E711" s="69">
        <v>-680348.8</v>
      </c>
      <c r="F711" s="69">
        <v>-1369776.29</v>
      </c>
      <c r="G711" s="69">
        <v>-895825.64</v>
      </c>
      <c r="H711" s="69">
        <f>VLOOKUP(A711,Ucto_HK_2021!$A$2:$D$929,4,FALSE)</f>
        <v>-179589.64</v>
      </c>
      <c r="K711" s="69">
        <v>-152529.54999999999</v>
      </c>
    </row>
    <row r="712" spans="1:11">
      <c r="A712" s="355" t="s">
        <v>2295</v>
      </c>
      <c r="B712" s="355" t="s">
        <v>2296</v>
      </c>
      <c r="C712" s="69">
        <v>0</v>
      </c>
      <c r="D712" s="69">
        <v>-4485348.45</v>
      </c>
      <c r="E712" s="69">
        <v>-4244861.59</v>
      </c>
      <c r="F712" s="69">
        <v>-3493822.64</v>
      </c>
      <c r="G712" s="69">
        <v>-2902017.64</v>
      </c>
      <c r="H712" s="69">
        <f>VLOOKUP(A712,Ucto_HK_2021!$A$2:$D$929,4,FALSE)</f>
        <v>-2925039.67</v>
      </c>
      <c r="K712" s="69">
        <v>-2479781.2400000002</v>
      </c>
    </row>
    <row r="713" spans="1:11">
      <c r="A713" s="355" t="s">
        <v>2748</v>
      </c>
      <c r="B713" s="355" t="s">
        <v>2749</v>
      </c>
      <c r="C713" s="69">
        <v>0</v>
      </c>
      <c r="D713" s="69">
        <v>-8346.07</v>
      </c>
      <c r="E713" s="69"/>
      <c r="F713" s="69"/>
      <c r="G713" s="69"/>
      <c r="H713" s="69"/>
      <c r="K713" s="69"/>
    </row>
    <row r="714" spans="1:11">
      <c r="A714" s="355" t="s">
        <v>2297</v>
      </c>
      <c r="B714" s="355" t="s">
        <v>2298</v>
      </c>
      <c r="C714" s="69">
        <v>0</v>
      </c>
      <c r="D714" s="69">
        <v>-130682.83</v>
      </c>
      <c r="E714" s="69">
        <v>-137632.01</v>
      </c>
      <c r="F714" s="69">
        <v>-147845.79999999999</v>
      </c>
      <c r="G714" s="69">
        <v>-61468.28</v>
      </c>
      <c r="H714" s="69">
        <f>VLOOKUP(A714,Ucto_HK_2021!$A$2:$D$929,4,FALSE)</f>
        <v>-52417.24</v>
      </c>
      <c r="K714" s="69">
        <v>-40956.239999999998</v>
      </c>
    </row>
    <row r="715" spans="1:11">
      <c r="A715" s="355" t="s">
        <v>2299</v>
      </c>
      <c r="B715" s="355" t="s">
        <v>2300</v>
      </c>
      <c r="C715" s="69">
        <v>0</v>
      </c>
      <c r="D715" s="69">
        <v>-99372.25</v>
      </c>
      <c r="E715" s="69">
        <v>-132031.66</v>
      </c>
      <c r="F715" s="69">
        <v>-292578.24</v>
      </c>
      <c r="G715" s="69">
        <v>-336412.28</v>
      </c>
      <c r="H715" s="69">
        <f>VLOOKUP(A715,Ucto_HK_2021!$A$2:$D$929,4,FALSE)</f>
        <v>-260454.28</v>
      </c>
      <c r="K715" s="69">
        <v>-223818.11</v>
      </c>
    </row>
    <row r="716" spans="1:11">
      <c r="A716" s="355" t="s">
        <v>2301</v>
      </c>
      <c r="B716" s="355" t="s">
        <v>2302</v>
      </c>
      <c r="C716" s="69">
        <v>0</v>
      </c>
      <c r="D716" s="69">
        <v>-1110286.52</v>
      </c>
      <c r="E716" s="69">
        <v>-927675.82</v>
      </c>
      <c r="F716" s="69">
        <v>-5472247.8799999999</v>
      </c>
      <c r="G716" s="69">
        <v>-7538848.4199999999</v>
      </c>
      <c r="H716" s="69">
        <f>VLOOKUP(A716,Ucto_HK_2021!$A$2:$D$929,4,FALSE)</f>
        <v>-7681188.6100000003</v>
      </c>
      <c r="K716" s="69">
        <v>-6567966.9000000004</v>
      </c>
    </row>
    <row r="717" spans="1:11">
      <c r="A717" s="355" t="s">
        <v>2303</v>
      </c>
      <c r="B717" s="355" t="s">
        <v>2304</v>
      </c>
      <c r="C717" s="69">
        <v>0</v>
      </c>
      <c r="D717" s="69">
        <v>-15097.93</v>
      </c>
      <c r="E717" s="69">
        <v>-17846.7</v>
      </c>
      <c r="F717" s="69">
        <v>-22790.3</v>
      </c>
      <c r="G717" s="69">
        <v>-16847.830000000002</v>
      </c>
      <c r="H717" s="69">
        <f>VLOOKUP(A717,Ucto_HK_2021!$A$2:$D$929,4,FALSE)</f>
        <v>-22231.05</v>
      </c>
      <c r="K717" s="69">
        <v>-18780.07</v>
      </c>
    </row>
    <row r="718" spans="1:11">
      <c r="A718" s="355" t="s">
        <v>2305</v>
      </c>
      <c r="B718" s="355" t="s">
        <v>2306</v>
      </c>
      <c r="C718" s="69">
        <v>0</v>
      </c>
      <c r="D718" s="69">
        <v>-14942325.49</v>
      </c>
      <c r="E718" s="69">
        <v>-16695751.029999999</v>
      </c>
      <c r="F718" s="69">
        <v>-17985458.199999999</v>
      </c>
      <c r="G718" s="69">
        <v>-21520636.210000001</v>
      </c>
      <c r="H718" s="69">
        <f>VLOOKUP(A718,Ucto_HK_2021!$A$2:$D$929,4,FALSE)</f>
        <v>-26974577.510000002</v>
      </c>
      <c r="K718" s="69">
        <v>-21578941.73</v>
      </c>
    </row>
    <row r="719" spans="1:11">
      <c r="A719" s="355" t="s">
        <v>2721</v>
      </c>
      <c r="B719" s="355" t="s">
        <v>2722</v>
      </c>
      <c r="C719" s="69">
        <v>0</v>
      </c>
      <c r="D719" s="69">
        <v>-421820.62</v>
      </c>
      <c r="E719" s="69">
        <v>-1148.5</v>
      </c>
      <c r="F719" s="69"/>
      <c r="G719" s="69"/>
      <c r="H719" s="69"/>
      <c r="K719" s="69"/>
    </row>
    <row r="720" spans="1:11">
      <c r="A720" s="355" t="s">
        <v>2307</v>
      </c>
      <c r="B720" s="355" t="s">
        <v>2308</v>
      </c>
      <c r="C720" s="69"/>
      <c r="D720" s="69"/>
      <c r="E720" s="69">
        <v>-4259.58</v>
      </c>
      <c r="F720" s="69">
        <v>-4580.91</v>
      </c>
      <c r="G720" s="69">
        <v>-4580.91</v>
      </c>
      <c r="H720" s="69">
        <f>VLOOKUP(A720,Ucto_HK_2021!$A$2:$D$929,4,FALSE)</f>
        <v>-1659.75</v>
      </c>
      <c r="K720" s="69">
        <v>-1593.36</v>
      </c>
    </row>
    <row r="721" spans="1:11">
      <c r="A721" s="578" t="s">
        <v>2803</v>
      </c>
      <c r="B721" s="578" t="s">
        <v>2804</v>
      </c>
      <c r="C721" s="69"/>
      <c r="D721" s="69"/>
      <c r="E721" s="69"/>
      <c r="F721" s="69"/>
      <c r="G721" s="69"/>
      <c r="H721" s="69">
        <f>VLOOKUP(A721,Ucto_HK_2021!$A$2:$D$929,4,FALSE)</f>
        <v>-5.2</v>
      </c>
      <c r="K721" s="69">
        <v>-5.2</v>
      </c>
    </row>
    <row r="722" spans="1:11">
      <c r="A722" s="355" t="s">
        <v>2750</v>
      </c>
      <c r="B722" s="355" t="s">
        <v>2751</v>
      </c>
      <c r="C722" s="69">
        <v>0</v>
      </c>
      <c r="D722" s="69">
        <v>-4622.03</v>
      </c>
      <c r="E722" s="69"/>
      <c r="F722" s="69"/>
      <c r="G722" s="69"/>
      <c r="H722" s="69"/>
      <c r="K722" s="69"/>
    </row>
    <row r="723" spans="1:11">
      <c r="A723" s="355" t="s">
        <v>2309</v>
      </c>
      <c r="B723" s="355" t="s">
        <v>2310</v>
      </c>
      <c r="C723" s="69">
        <v>0</v>
      </c>
      <c r="D723" s="69">
        <v>-1518066.62</v>
      </c>
      <c r="E723" s="69">
        <v>-1608200.97</v>
      </c>
      <c r="F723" s="69">
        <v>-1927386.9</v>
      </c>
      <c r="G723" s="69">
        <v>-1668502.17</v>
      </c>
      <c r="H723" s="69">
        <f>VLOOKUP(A723,Ucto_HK_2021!$A$2:$D$929,4,FALSE)</f>
        <v>-1854467.07</v>
      </c>
      <c r="K723" s="69">
        <v>-1599096.09</v>
      </c>
    </row>
    <row r="724" spans="1:11">
      <c r="A724" s="355" t="s">
        <v>2311</v>
      </c>
      <c r="B724" s="355" t="s">
        <v>2312</v>
      </c>
      <c r="C724" s="69"/>
      <c r="D724" s="69"/>
      <c r="E724" s="69">
        <v>-4274.34</v>
      </c>
      <c r="F724" s="69">
        <v>-5815.32</v>
      </c>
      <c r="G724" s="69">
        <v>-655550.79</v>
      </c>
      <c r="H724" s="69">
        <f>VLOOKUP(A724,Ucto_HK_2021!$A$2:$D$929,4,FALSE)</f>
        <v>-404391.63</v>
      </c>
      <c r="K724" s="69">
        <v>-301019.14</v>
      </c>
    </row>
    <row r="725" spans="1:11">
      <c r="A725" s="355" t="s">
        <v>2313</v>
      </c>
      <c r="B725" s="355" t="s">
        <v>2314</v>
      </c>
      <c r="C725" s="69">
        <v>0</v>
      </c>
      <c r="D725" s="69">
        <v>-72799.59</v>
      </c>
      <c r="E725" s="69">
        <v>-48498.39</v>
      </c>
      <c r="F725" s="69">
        <v>-33004.620000000003</v>
      </c>
      <c r="G725" s="69">
        <v>-31862.5</v>
      </c>
      <c r="H725" s="69">
        <f>VLOOKUP(A725,Ucto_HK_2021!$A$2:$D$929,4,FALSE)</f>
        <v>-31444.23</v>
      </c>
      <c r="K725" s="69">
        <v>-26039.05</v>
      </c>
    </row>
    <row r="726" spans="1:11">
      <c r="A726" s="355" t="s">
        <v>2315</v>
      </c>
      <c r="B726" s="355" t="s">
        <v>2316</v>
      </c>
      <c r="C726" s="69">
        <v>0</v>
      </c>
      <c r="D726" s="69">
        <v>-193368.84</v>
      </c>
      <c r="E726" s="69">
        <v>-223618.49</v>
      </c>
      <c r="F726" s="69">
        <v>-198784.85</v>
      </c>
      <c r="G726" s="69">
        <v>-164294.39000000001</v>
      </c>
      <c r="H726" s="69">
        <f>VLOOKUP(A726,Ucto_HK_2021!$A$2:$D$929,4,FALSE)</f>
        <v>-165049.95000000001</v>
      </c>
      <c r="K726" s="69">
        <v>-133504.26</v>
      </c>
    </row>
    <row r="727" spans="1:11">
      <c r="A727" s="355" t="s">
        <v>2723</v>
      </c>
      <c r="B727" s="355" t="s">
        <v>2724</v>
      </c>
      <c r="C727" s="69">
        <v>0</v>
      </c>
      <c r="D727" s="69">
        <v>-30372.74</v>
      </c>
      <c r="E727" s="69">
        <v>-11038.53</v>
      </c>
      <c r="F727" s="69"/>
      <c r="G727" s="69"/>
      <c r="H727" s="69"/>
      <c r="K727" s="69"/>
    </row>
    <row r="728" spans="1:11">
      <c r="A728" s="355" t="s">
        <v>2725</v>
      </c>
      <c r="B728" s="355" t="s">
        <v>2726</v>
      </c>
      <c r="C728" s="69">
        <v>0</v>
      </c>
      <c r="D728" s="69">
        <v>-8902.6200000000008</v>
      </c>
      <c r="E728" s="69">
        <v>-3668.29</v>
      </c>
      <c r="F728" s="69"/>
      <c r="G728" s="69"/>
      <c r="H728" s="69"/>
      <c r="K728" s="69"/>
    </row>
    <row r="729" spans="1:11">
      <c r="A729" s="355" t="s">
        <v>2317</v>
      </c>
      <c r="B729" s="355" t="s">
        <v>2318</v>
      </c>
      <c r="C729" s="69">
        <v>0</v>
      </c>
      <c r="D729" s="69">
        <v>-3250376.18</v>
      </c>
      <c r="E729" s="69">
        <v>-2933945.47</v>
      </c>
      <c r="F729" s="69">
        <v>-2749014.89</v>
      </c>
      <c r="G729" s="69">
        <v>-2321779.33</v>
      </c>
      <c r="H729" s="69">
        <f>VLOOKUP(A729,Ucto_HK_2021!$A$2:$D$929,4,FALSE)</f>
        <v>-2700620.23</v>
      </c>
      <c r="K729" s="69">
        <v>-2298195.4300000002</v>
      </c>
    </row>
    <row r="730" spans="1:11">
      <c r="A730" s="355" t="s">
        <v>2319</v>
      </c>
      <c r="B730" s="355" t="s">
        <v>2320</v>
      </c>
      <c r="C730" s="69">
        <v>0</v>
      </c>
      <c r="D730" s="69">
        <v>-75003.19</v>
      </c>
      <c r="E730" s="69">
        <v>-55578.07</v>
      </c>
      <c r="F730" s="69">
        <v>-54780.97</v>
      </c>
      <c r="G730" s="69">
        <v>-257501.59</v>
      </c>
      <c r="H730" s="69">
        <f>VLOOKUP(A730,Ucto_HK_2021!$A$2:$D$929,4,FALSE)</f>
        <v>-544378.31000000006</v>
      </c>
      <c r="K730" s="69">
        <v>-433538.99</v>
      </c>
    </row>
    <row r="731" spans="1:11">
      <c r="A731" s="355" t="s">
        <v>2321</v>
      </c>
      <c r="B731" s="355" t="s">
        <v>2322</v>
      </c>
      <c r="C731" s="69">
        <v>0</v>
      </c>
      <c r="D731" s="69">
        <v>-505908.43</v>
      </c>
      <c r="E731" s="69">
        <v>-537294.48</v>
      </c>
      <c r="F731" s="69">
        <v>-526526.69999999995</v>
      </c>
      <c r="G731" s="69">
        <v>-385725.33</v>
      </c>
      <c r="H731" s="69">
        <f>VLOOKUP(A731,Ucto_HK_2021!$A$2:$D$929,4,FALSE)</f>
        <v>-562571.59</v>
      </c>
      <c r="K731" s="69">
        <v>-476470.53</v>
      </c>
    </row>
    <row r="732" spans="1:11">
      <c r="A732" s="355" t="s">
        <v>2752</v>
      </c>
      <c r="B732" s="355" t="s">
        <v>2753</v>
      </c>
      <c r="C732" s="69">
        <v>0</v>
      </c>
      <c r="D732" s="69">
        <v>-615.33000000000004</v>
      </c>
      <c r="E732" s="69"/>
      <c r="F732" s="69"/>
      <c r="G732" s="69"/>
      <c r="H732" s="69"/>
      <c r="K732" s="69"/>
    </row>
    <row r="733" spans="1:11">
      <c r="A733" s="355" t="s">
        <v>2323</v>
      </c>
      <c r="B733" s="355" t="s">
        <v>2324</v>
      </c>
      <c r="C733" s="69">
        <v>0</v>
      </c>
      <c r="D733" s="69">
        <v>-82409.58</v>
      </c>
      <c r="E733" s="69">
        <v>-62280.3</v>
      </c>
      <c r="F733" s="69">
        <v>-45850.79</v>
      </c>
      <c r="G733" s="69">
        <v>-41358.06</v>
      </c>
      <c r="H733" s="69">
        <f>VLOOKUP(A733,Ucto_HK_2021!$A$2:$D$929,4,FALSE)</f>
        <v>-32885.46</v>
      </c>
      <c r="K733" s="69">
        <v>-21976.04</v>
      </c>
    </row>
    <row r="734" spans="1:11">
      <c r="A734" s="355" t="s">
        <v>2325</v>
      </c>
      <c r="B734" s="355" t="s">
        <v>2326</v>
      </c>
      <c r="C734" s="69">
        <v>0</v>
      </c>
      <c r="D734" s="69">
        <v>-19001.79</v>
      </c>
      <c r="E734" s="69">
        <v>-38444.339999999997</v>
      </c>
      <c r="F734" s="69">
        <v>-27537.85</v>
      </c>
      <c r="G734" s="69">
        <v>-39294.36</v>
      </c>
      <c r="H734" s="69">
        <f>VLOOKUP(A734,Ucto_HK_2021!$A$2:$D$929,4,FALSE)</f>
        <v>-16169.28</v>
      </c>
      <c r="K734" s="69">
        <v>-15740.25</v>
      </c>
    </row>
    <row r="735" spans="1:11">
      <c r="A735" s="355" t="s">
        <v>2327</v>
      </c>
      <c r="B735" s="355" t="s">
        <v>2328</v>
      </c>
      <c r="C735" s="69">
        <v>0</v>
      </c>
      <c r="D735" s="69">
        <v>-865906.87</v>
      </c>
      <c r="E735" s="69">
        <v>-973518.03</v>
      </c>
      <c r="F735" s="69">
        <v>-1852664.92</v>
      </c>
      <c r="G735" s="69">
        <v>-1725322.85</v>
      </c>
      <c r="H735" s="69">
        <f>VLOOKUP(A735,Ucto_HK_2021!$A$2:$D$929,4,FALSE)</f>
        <v>-1847966.74</v>
      </c>
      <c r="K735" s="69">
        <v>-1467109.04</v>
      </c>
    </row>
    <row r="736" spans="1:11">
      <c r="A736" s="355" t="s">
        <v>2329</v>
      </c>
      <c r="B736" s="355" t="s">
        <v>2330</v>
      </c>
      <c r="C736" s="69">
        <v>0</v>
      </c>
      <c r="D736" s="69">
        <v>-263545.52</v>
      </c>
      <c r="E736" s="69">
        <v>-288693.40999999997</v>
      </c>
      <c r="F736" s="69">
        <v>-63837.84</v>
      </c>
      <c r="G736" s="69">
        <v>-56900.49</v>
      </c>
      <c r="H736" s="69">
        <f>VLOOKUP(A736,Ucto_HK_2021!$A$2:$D$929,4,FALSE)</f>
        <v>-50889.24</v>
      </c>
      <c r="K736" s="69">
        <v>-42693.85</v>
      </c>
    </row>
    <row r="737" spans="1:11">
      <c r="A737" s="355" t="s">
        <v>2331</v>
      </c>
      <c r="B737" s="355" t="s">
        <v>2332</v>
      </c>
      <c r="C737" s="69">
        <v>0</v>
      </c>
      <c r="D737" s="69">
        <v>-1483810.97</v>
      </c>
      <c r="E737" s="69">
        <v>-1514135.06</v>
      </c>
      <c r="F737" s="69">
        <v>-1993581.03</v>
      </c>
      <c r="G737" s="69">
        <v>-1473873.22</v>
      </c>
      <c r="H737" s="69">
        <f>VLOOKUP(A737,Ucto_HK_2021!$A$2:$D$929,4,FALSE)</f>
        <v>-1350606.7</v>
      </c>
      <c r="K737" s="69">
        <v>-1870845.57</v>
      </c>
    </row>
    <row r="738" spans="1:11">
      <c r="A738" s="578" t="s">
        <v>2805</v>
      </c>
      <c r="B738" s="578" t="s">
        <v>2806</v>
      </c>
      <c r="C738" s="69"/>
      <c r="D738" s="69"/>
      <c r="E738" s="69"/>
      <c r="F738" s="69"/>
      <c r="G738" s="69"/>
      <c r="H738" s="69">
        <f>VLOOKUP(A738,Ucto_HK_2021!$A$2:$D$929,4,FALSE)</f>
        <v>-4.8</v>
      </c>
      <c r="K738" s="69">
        <v>-4.8</v>
      </c>
    </row>
    <row r="739" spans="1:11">
      <c r="A739" s="355" t="s">
        <v>2754</v>
      </c>
      <c r="B739" s="355" t="s">
        <v>2755</v>
      </c>
      <c r="C739" s="69">
        <v>0</v>
      </c>
      <c r="D739" s="69">
        <v>-22060.89</v>
      </c>
      <c r="E739" s="69"/>
      <c r="F739" s="69"/>
      <c r="G739" s="69"/>
      <c r="H739" s="69"/>
      <c r="K739" s="69"/>
    </row>
    <row r="740" spans="1:11">
      <c r="A740" s="355" t="s">
        <v>2333</v>
      </c>
      <c r="B740" s="355" t="s">
        <v>2334</v>
      </c>
      <c r="C740" s="69">
        <v>0</v>
      </c>
      <c r="D740" s="69">
        <v>-1748.54</v>
      </c>
      <c r="E740" s="69">
        <v>-7086.87</v>
      </c>
      <c r="F740" s="69">
        <v>-32183.21</v>
      </c>
      <c r="G740" s="69">
        <v>-49424.69</v>
      </c>
      <c r="H740" s="69">
        <f>VLOOKUP(A740,Ucto_HK_2021!$A$2:$D$929,4,FALSE)</f>
        <v>-92164.36</v>
      </c>
      <c r="K740" s="69">
        <v>-81330.3</v>
      </c>
    </row>
    <row r="741" spans="1:11">
      <c r="A741" s="355" t="s">
        <v>2335</v>
      </c>
      <c r="B741" s="355" t="s">
        <v>2336</v>
      </c>
      <c r="C741" s="69">
        <v>0</v>
      </c>
      <c r="D741" s="69">
        <v>-660672.89</v>
      </c>
      <c r="E741" s="69">
        <v>-381609.54</v>
      </c>
      <c r="F741" s="69">
        <v>-1607272.24</v>
      </c>
      <c r="G741" s="69">
        <v>-1655907.96</v>
      </c>
      <c r="H741" s="69">
        <f>VLOOKUP(A741,Ucto_HK_2021!$A$2:$D$929,4,FALSE)</f>
        <v>-2060566.28</v>
      </c>
      <c r="K741" s="69">
        <v>-1754668.32</v>
      </c>
    </row>
    <row r="742" spans="1:11">
      <c r="A742" s="355" t="s">
        <v>2337</v>
      </c>
      <c r="B742" s="355" t="s">
        <v>2338</v>
      </c>
      <c r="C742" s="69">
        <v>0</v>
      </c>
      <c r="D742" s="69">
        <v>-10080</v>
      </c>
      <c r="E742" s="69">
        <v>-11970</v>
      </c>
      <c r="F742" s="69">
        <v>-15162</v>
      </c>
      <c r="G742" s="69">
        <v>-8946</v>
      </c>
      <c r="H742" s="69">
        <f>VLOOKUP(A742,Ucto_HK_2021!$A$2:$D$929,4,FALSE)</f>
        <v>-9337</v>
      </c>
      <c r="K742" s="69">
        <v>-7852</v>
      </c>
    </row>
    <row r="743" spans="1:11">
      <c r="A743" s="355" t="s">
        <v>2339</v>
      </c>
      <c r="B743" s="355" t="s">
        <v>2340</v>
      </c>
      <c r="C743" s="69">
        <v>0</v>
      </c>
      <c r="D743" s="69">
        <v>-4649898.46</v>
      </c>
      <c r="E743" s="69">
        <v>-4138801.74</v>
      </c>
      <c r="F743" s="69">
        <v>-4099965.53</v>
      </c>
      <c r="G743" s="69">
        <v>-5154263.1399999997</v>
      </c>
      <c r="H743" s="69">
        <f>VLOOKUP(A743,Ucto_HK_2021!$A$2:$D$929,4,FALSE)</f>
        <v>-7763296.3899999997</v>
      </c>
      <c r="K743" s="69">
        <v>-6475825.0499999998</v>
      </c>
    </row>
    <row r="744" spans="1:11">
      <c r="A744" s="355" t="s">
        <v>2727</v>
      </c>
      <c r="B744" s="355" t="s">
        <v>2728</v>
      </c>
      <c r="C744" s="69">
        <v>0</v>
      </c>
      <c r="D744" s="69">
        <v>-52785.98</v>
      </c>
      <c r="E744" s="69">
        <v>-31742.58</v>
      </c>
      <c r="F744" s="69"/>
      <c r="G744" s="69"/>
      <c r="H744" s="69"/>
      <c r="K744" s="69"/>
    </row>
    <row r="745" spans="1:11">
      <c r="A745" s="355" t="s">
        <v>2341</v>
      </c>
      <c r="B745" s="355" t="s">
        <v>2342</v>
      </c>
      <c r="C745" s="69"/>
      <c r="D745" s="69"/>
      <c r="E745" s="69">
        <v>-79.67</v>
      </c>
      <c r="F745" s="69">
        <v>-39.840000000000003</v>
      </c>
      <c r="G745" s="69">
        <v>-39.840000000000003</v>
      </c>
      <c r="H745" s="69"/>
      <c r="K745" s="69"/>
    </row>
    <row r="746" spans="1:11">
      <c r="A746" s="355" t="s">
        <v>2756</v>
      </c>
      <c r="B746" s="355" t="s">
        <v>2757</v>
      </c>
      <c r="C746" s="69">
        <v>0</v>
      </c>
      <c r="D746" s="69">
        <v>-24112.07</v>
      </c>
      <c r="E746" s="69"/>
      <c r="F746" s="69"/>
      <c r="G746" s="69"/>
      <c r="H746" s="69"/>
      <c r="K746" s="69"/>
    </row>
    <row r="747" spans="1:11">
      <c r="A747" s="355" t="s">
        <v>2758</v>
      </c>
      <c r="B747" s="355" t="s">
        <v>2759</v>
      </c>
      <c r="C747" s="69">
        <v>0</v>
      </c>
      <c r="D747" s="69">
        <v>-2006.13</v>
      </c>
      <c r="E747" s="69"/>
      <c r="F747" s="69"/>
      <c r="G747" s="69"/>
      <c r="H747" s="69"/>
      <c r="K747" s="69"/>
    </row>
    <row r="748" spans="1:11">
      <c r="A748" s="355" t="s">
        <v>2343</v>
      </c>
      <c r="B748" s="355" t="s">
        <v>2344</v>
      </c>
      <c r="C748" s="69">
        <v>0</v>
      </c>
      <c r="D748" s="69">
        <v>-113272.6</v>
      </c>
      <c r="E748" s="69">
        <v>-135717.56</v>
      </c>
      <c r="F748" s="69">
        <v>-180580.66</v>
      </c>
      <c r="G748" s="69">
        <v>-156573.62</v>
      </c>
      <c r="H748" s="69">
        <f>VLOOKUP(A748,Ucto_HK_2021!$A$2:$D$929,4,FALSE)</f>
        <v>-87007.62</v>
      </c>
      <c r="K748" s="69">
        <v>-87007.62</v>
      </c>
    </row>
    <row r="749" spans="1:11">
      <c r="A749" s="355" t="s">
        <v>2345</v>
      </c>
      <c r="B749" s="355" t="s">
        <v>2346</v>
      </c>
      <c r="C749" s="69">
        <v>0</v>
      </c>
      <c r="D749" s="69">
        <v>-377470.14</v>
      </c>
      <c r="E749" s="69">
        <v>-469843.96</v>
      </c>
      <c r="F749" s="69">
        <v>-610198.01</v>
      </c>
      <c r="G749" s="69">
        <v>-633094.04</v>
      </c>
      <c r="H749" s="69">
        <f>VLOOKUP(A749,Ucto_HK_2021!$A$2:$D$929,4,FALSE)</f>
        <v>-848926.52</v>
      </c>
      <c r="K749" s="69">
        <v>-735239.76</v>
      </c>
    </row>
    <row r="750" spans="1:11">
      <c r="A750" s="355" t="s">
        <v>2347</v>
      </c>
      <c r="B750" s="355" t="s">
        <v>2348</v>
      </c>
      <c r="C750" s="69"/>
      <c r="D750" s="69"/>
      <c r="E750" s="69">
        <v>-1333.34</v>
      </c>
      <c r="F750" s="69">
        <v>-880.35</v>
      </c>
      <c r="G750" s="69">
        <v>-127280.83</v>
      </c>
      <c r="H750" s="69">
        <f>VLOOKUP(A750,Ucto_HK_2021!$A$2:$D$929,4,FALSE)</f>
        <v>-126798.87</v>
      </c>
      <c r="K750" s="69">
        <v>-98446.53</v>
      </c>
    </row>
    <row r="751" spans="1:11">
      <c r="A751" s="355" t="s">
        <v>2349</v>
      </c>
      <c r="B751" s="355" t="s">
        <v>2350</v>
      </c>
      <c r="C751" s="69">
        <v>0</v>
      </c>
      <c r="D751" s="69">
        <v>-27022.46</v>
      </c>
      <c r="E751" s="69">
        <v>-22255.03</v>
      </c>
      <c r="F751" s="69">
        <v>-10545.6</v>
      </c>
      <c r="G751" s="69">
        <v>-12132.67</v>
      </c>
      <c r="H751" s="69">
        <f>VLOOKUP(A751,Ucto_HK_2021!$A$2:$D$929,4,FALSE)</f>
        <v>-12942.64</v>
      </c>
      <c r="K751" s="69">
        <v>-10737.06</v>
      </c>
    </row>
    <row r="752" spans="1:11">
      <c r="A752" s="355" t="s">
        <v>2351</v>
      </c>
      <c r="B752" s="355" t="s">
        <v>2352</v>
      </c>
      <c r="C752" s="69">
        <v>0</v>
      </c>
      <c r="D752" s="69">
        <v>-59804.800000000003</v>
      </c>
      <c r="E752" s="69">
        <v>-76635.5</v>
      </c>
      <c r="F752" s="69">
        <v>-86448.49</v>
      </c>
      <c r="G752" s="69">
        <v>-81270.37</v>
      </c>
      <c r="H752" s="69">
        <f>VLOOKUP(A752,Ucto_HK_2021!$A$2:$D$929,4,FALSE)</f>
        <v>-112442.36</v>
      </c>
      <c r="K752" s="69">
        <v>-92458.21</v>
      </c>
    </row>
    <row r="753" spans="1:11">
      <c r="A753" s="355" t="s">
        <v>2729</v>
      </c>
      <c r="B753" s="355" t="s">
        <v>2730</v>
      </c>
      <c r="C753" s="69">
        <v>0</v>
      </c>
      <c r="D753" s="69">
        <v>-10820.69</v>
      </c>
      <c r="E753" s="69">
        <v>-6977.43</v>
      </c>
      <c r="F753" s="69"/>
      <c r="G753" s="69"/>
      <c r="H753" s="69"/>
      <c r="K753" s="69"/>
    </row>
    <row r="754" spans="1:11">
      <c r="A754" s="355" t="s">
        <v>2731</v>
      </c>
      <c r="B754" s="355" t="s">
        <v>2732</v>
      </c>
      <c r="C754" s="69">
        <v>0</v>
      </c>
      <c r="D754" s="69">
        <v>-2350.1799999999998</v>
      </c>
      <c r="E754" s="69">
        <v>-1053.3900000000001</v>
      </c>
      <c r="F754" s="69"/>
      <c r="G754" s="69"/>
      <c r="H754" s="69"/>
      <c r="K754" s="69"/>
    </row>
    <row r="755" spans="1:11">
      <c r="A755" s="355" t="s">
        <v>2353</v>
      </c>
      <c r="B755" s="355" t="s">
        <v>2354</v>
      </c>
      <c r="C755" s="69">
        <v>0</v>
      </c>
      <c r="D755" s="69">
        <v>-767508.15</v>
      </c>
      <c r="E755" s="69">
        <v>-983656.66</v>
      </c>
      <c r="F755" s="69">
        <v>-990974.53</v>
      </c>
      <c r="G755" s="69">
        <v>-1028493.66</v>
      </c>
      <c r="H755" s="69">
        <f>VLOOKUP(A755,Ucto_HK_2021!$A$2:$D$929,4,FALSE)</f>
        <v>-1443410.89</v>
      </c>
      <c r="K755" s="69">
        <v>-1200488.76</v>
      </c>
    </row>
    <row r="756" spans="1:11">
      <c r="A756" s="355" t="s">
        <v>2355</v>
      </c>
      <c r="B756" s="355" t="s">
        <v>2356</v>
      </c>
      <c r="C756" s="69">
        <v>0</v>
      </c>
      <c r="D756" s="69">
        <v>-28202.53</v>
      </c>
      <c r="E756" s="69">
        <v>-23496.44</v>
      </c>
      <c r="F756" s="69">
        <v>-40383.769999999997</v>
      </c>
      <c r="G756" s="69">
        <v>-135952.98000000001</v>
      </c>
      <c r="H756" s="69">
        <f>VLOOKUP(A756,Ucto_HK_2021!$A$2:$D$929,4,FALSE)</f>
        <v>-423957.27</v>
      </c>
      <c r="K756" s="69">
        <v>-305504.67</v>
      </c>
    </row>
    <row r="757" spans="1:11">
      <c r="A757" s="355" t="s">
        <v>2357</v>
      </c>
      <c r="B757" s="355" t="s">
        <v>2358</v>
      </c>
      <c r="C757" s="69">
        <v>0</v>
      </c>
      <c r="D757" s="69">
        <v>-142859.35999999999</v>
      </c>
      <c r="E757" s="69">
        <v>-101599.95</v>
      </c>
      <c r="F757" s="69">
        <v>-106014.25</v>
      </c>
      <c r="G757" s="69">
        <v>-119062.68</v>
      </c>
      <c r="H757" s="69">
        <f>VLOOKUP(A757,Ucto_HK_2021!$A$2:$D$929,4,FALSE)</f>
        <v>-210815.01</v>
      </c>
      <c r="K757" s="69">
        <v>-134740.54999999999</v>
      </c>
    </row>
    <row r="758" spans="1:11">
      <c r="A758" s="355" t="s">
        <v>2760</v>
      </c>
      <c r="B758" s="355" t="s">
        <v>2761</v>
      </c>
      <c r="C758" s="69">
        <v>0</v>
      </c>
      <c r="D758" s="69">
        <v>-316.98</v>
      </c>
      <c r="E758" s="69"/>
      <c r="F758" s="69"/>
      <c r="G758" s="69"/>
      <c r="H758" s="69"/>
      <c r="K758" s="69"/>
    </row>
    <row r="759" spans="1:11">
      <c r="A759" s="355" t="s">
        <v>2359</v>
      </c>
      <c r="B759" s="355" t="s">
        <v>2360</v>
      </c>
      <c r="C759" s="69">
        <v>0</v>
      </c>
      <c r="D759" s="69">
        <v>-12047.19</v>
      </c>
      <c r="E759" s="69">
        <v>-2848.01</v>
      </c>
      <c r="F759" s="69">
        <v>-26324.1</v>
      </c>
      <c r="G759" s="69">
        <v>-3049.59</v>
      </c>
      <c r="H759" s="69">
        <f>VLOOKUP(A759,Ucto_HK_2021!$A$2:$D$929,4,FALSE)</f>
        <v>-8073.39</v>
      </c>
      <c r="K759" s="69">
        <v>-4132.95</v>
      </c>
    </row>
    <row r="760" spans="1:11">
      <c r="A760" s="355" t="s">
        <v>2361</v>
      </c>
      <c r="B760" s="355" t="s">
        <v>2362</v>
      </c>
      <c r="C760" s="69"/>
      <c r="D760" s="69"/>
      <c r="E760" s="69">
        <v>-779.85</v>
      </c>
      <c r="F760" s="69">
        <v>-5741.56</v>
      </c>
      <c r="G760" s="69">
        <v>-16855.77</v>
      </c>
      <c r="H760" s="69">
        <f>VLOOKUP(A760,Ucto_HK_2021!$A$2:$D$929,4,FALSE)</f>
        <v>-15280.14</v>
      </c>
      <c r="K760" s="69">
        <v>-25907.119999999999</v>
      </c>
    </row>
    <row r="761" spans="1:11">
      <c r="A761" s="355" t="s">
        <v>2762</v>
      </c>
      <c r="B761" s="355" t="s">
        <v>2763</v>
      </c>
      <c r="C761" s="69">
        <v>0</v>
      </c>
      <c r="D761" s="69">
        <v>-5.44</v>
      </c>
      <c r="E761" s="69"/>
      <c r="F761" s="69"/>
      <c r="G761" s="69"/>
      <c r="H761" s="69"/>
      <c r="K761" s="69"/>
    </row>
    <row r="762" spans="1:11">
      <c r="A762" s="355" t="s">
        <v>2363</v>
      </c>
      <c r="B762" s="355" t="s">
        <v>2364</v>
      </c>
      <c r="C762" s="69">
        <v>0</v>
      </c>
      <c r="D762" s="69">
        <v>-59849.45</v>
      </c>
      <c r="E762" s="69">
        <v>-222270.18</v>
      </c>
      <c r="F762" s="69">
        <v>-175941.88</v>
      </c>
      <c r="G762" s="69">
        <v>-262022.93</v>
      </c>
      <c r="H762" s="69">
        <f>VLOOKUP(A762,Ucto_HK_2021!$A$2:$D$929,4,FALSE)</f>
        <v>-440820.9</v>
      </c>
      <c r="K762" s="69">
        <v>-368554.63</v>
      </c>
    </row>
    <row r="763" spans="1:11">
      <c r="A763" s="355" t="s">
        <v>2365</v>
      </c>
      <c r="B763" s="355" t="s">
        <v>2366</v>
      </c>
      <c r="C763" s="69">
        <v>0</v>
      </c>
      <c r="D763" s="69">
        <v>-67030.179999999993</v>
      </c>
      <c r="E763" s="69">
        <v>-196896.25</v>
      </c>
      <c r="F763" s="69">
        <v>-16809.73</v>
      </c>
      <c r="G763" s="69">
        <v>-19214.310000000001</v>
      </c>
      <c r="H763" s="69">
        <f>VLOOKUP(A763,Ucto_HK_2021!$A$2:$D$929,4,FALSE)</f>
        <v>-18141.900000000001</v>
      </c>
      <c r="K763" s="69">
        <v>-16049.44</v>
      </c>
    </row>
    <row r="764" spans="1:11">
      <c r="A764" s="355" t="s">
        <v>2367</v>
      </c>
      <c r="B764" s="355" t="s">
        <v>2368</v>
      </c>
      <c r="C764" s="69">
        <v>0</v>
      </c>
      <c r="D764" s="69">
        <v>-453941.73</v>
      </c>
      <c r="E764" s="69">
        <v>-465853.51</v>
      </c>
      <c r="F764" s="69">
        <v>-593025.71</v>
      </c>
      <c r="G764" s="69">
        <v>-494887.76</v>
      </c>
      <c r="H764" s="69">
        <f>VLOOKUP(A764,Ucto_HK_2021!$A$2:$D$929,4,FALSE)</f>
        <v>-623544.86</v>
      </c>
      <c r="K764" s="69">
        <v>-456214.43</v>
      </c>
    </row>
    <row r="765" spans="1:11">
      <c r="A765" s="355" t="s">
        <v>2764</v>
      </c>
      <c r="B765" s="355" t="s">
        <v>2765</v>
      </c>
      <c r="C765" s="69">
        <v>0</v>
      </c>
      <c r="D765" s="69">
        <v>-728</v>
      </c>
      <c r="E765" s="69"/>
      <c r="F765" s="69"/>
      <c r="G765" s="69"/>
      <c r="H765" s="69"/>
      <c r="K765" s="69"/>
    </row>
    <row r="766" spans="1:11">
      <c r="A766" s="355" t="s">
        <v>2369</v>
      </c>
      <c r="B766" s="355" t="s">
        <v>2370</v>
      </c>
      <c r="C766" s="69">
        <v>0</v>
      </c>
      <c r="D766" s="69">
        <v>-7287.34</v>
      </c>
      <c r="E766" s="69">
        <v>-12252.29</v>
      </c>
      <c r="F766" s="69">
        <v>-10180.290000000001</v>
      </c>
      <c r="G766" s="69">
        <v>-6901.34</v>
      </c>
      <c r="H766" s="69">
        <f>VLOOKUP(A766,Ucto_HK_2021!$A$2:$D$929,4,FALSE)</f>
        <v>-3596.73</v>
      </c>
      <c r="K766" s="69">
        <v>-3596.73</v>
      </c>
    </row>
    <row r="767" spans="1:11">
      <c r="A767" s="355" t="s">
        <v>2371</v>
      </c>
      <c r="B767" s="355" t="s">
        <v>2372</v>
      </c>
      <c r="C767" s="69"/>
      <c r="D767" s="69"/>
      <c r="E767" s="69">
        <v>-238.76</v>
      </c>
      <c r="F767" s="69">
        <v>-13279.61</v>
      </c>
      <c r="G767" s="69">
        <v>-7822.68</v>
      </c>
      <c r="H767" s="69">
        <f>VLOOKUP(A767,Ucto_HK_2021!$A$2:$D$929,4,FALSE)</f>
        <v>-59202.84</v>
      </c>
      <c r="K767" s="69">
        <v>-56035.96</v>
      </c>
    </row>
    <row r="768" spans="1:11">
      <c r="A768" s="355" t="s">
        <v>2373</v>
      </c>
      <c r="B768" s="355" t="s">
        <v>2374</v>
      </c>
      <c r="C768" s="69">
        <v>0</v>
      </c>
      <c r="D768" s="69">
        <v>-110680.6</v>
      </c>
      <c r="E768" s="69">
        <v>-166506.72</v>
      </c>
      <c r="F768" s="69">
        <v>-590078.47</v>
      </c>
      <c r="G768" s="69">
        <v>-642980.92000000004</v>
      </c>
      <c r="H768" s="69">
        <f>VLOOKUP(A768,Ucto_HK_2021!$A$2:$D$929,4,FALSE)</f>
        <v>-715007.39</v>
      </c>
      <c r="K768" s="69">
        <v>-633787.29</v>
      </c>
    </row>
    <row r="769" spans="1:11">
      <c r="A769" s="355" t="s">
        <v>2375</v>
      </c>
      <c r="B769" s="355" t="s">
        <v>2376</v>
      </c>
      <c r="C769" s="69">
        <v>0</v>
      </c>
      <c r="D769" s="69">
        <v>-4691.6899999999996</v>
      </c>
      <c r="E769" s="69">
        <v>-3043.13</v>
      </c>
      <c r="F769" s="69">
        <v>-3546.44</v>
      </c>
      <c r="G769" s="69">
        <v>-5687.94</v>
      </c>
      <c r="H769" s="69">
        <f>VLOOKUP(A769,Ucto_HK_2021!$A$2:$D$929,4,FALSE)</f>
        <v>-4605.6000000000004</v>
      </c>
      <c r="K769" s="69">
        <v>-4390.3999999999996</v>
      </c>
    </row>
    <row r="770" spans="1:11">
      <c r="A770" s="355" t="s">
        <v>2377</v>
      </c>
      <c r="B770" s="355" t="s">
        <v>2378</v>
      </c>
      <c r="C770" s="69"/>
      <c r="D770" s="69"/>
      <c r="E770" s="69"/>
      <c r="F770" s="69"/>
      <c r="G770" s="69">
        <v>-394010.3</v>
      </c>
      <c r="H770" s="69">
        <f>VLOOKUP(A770,Ucto_HK_2021!$A$2:$D$929,4,FALSE)</f>
        <v>-357465.24</v>
      </c>
      <c r="K770" s="69">
        <v>-283976.51</v>
      </c>
    </row>
    <row r="771" spans="1:11">
      <c r="A771" s="355" t="s">
        <v>2379</v>
      </c>
      <c r="B771" s="355" t="s">
        <v>2380</v>
      </c>
      <c r="C771" s="69"/>
      <c r="D771" s="69"/>
      <c r="E771" s="69"/>
      <c r="F771" s="69"/>
      <c r="G771" s="69">
        <v>-5576</v>
      </c>
      <c r="H771" s="69">
        <f>VLOOKUP(A771,Ucto_HK_2021!$A$2:$D$929,4,FALSE)</f>
        <v>-6035</v>
      </c>
      <c r="K771" s="69">
        <v>-4441</v>
      </c>
    </row>
    <row r="772" spans="1:11">
      <c r="A772" s="355" t="s">
        <v>2381</v>
      </c>
      <c r="B772" s="355" t="s">
        <v>2382</v>
      </c>
      <c r="C772" s="69"/>
      <c r="D772" s="69"/>
      <c r="E772" s="69"/>
      <c r="F772" s="69"/>
      <c r="G772" s="69">
        <v>-52413.59</v>
      </c>
      <c r="H772" s="69">
        <f>VLOOKUP(A772,Ucto_HK_2021!$A$2:$D$929,4,FALSE)</f>
        <v>-75433.13</v>
      </c>
      <c r="K772" s="69">
        <v>-66589.48</v>
      </c>
    </row>
    <row r="773" spans="1:11">
      <c r="A773" s="355" t="s">
        <v>2383</v>
      </c>
      <c r="B773" s="355" t="s">
        <v>2384</v>
      </c>
      <c r="C773" s="69"/>
      <c r="D773" s="69"/>
      <c r="E773" s="69"/>
      <c r="F773" s="69"/>
      <c r="G773" s="69">
        <v>-207478.81</v>
      </c>
      <c r="H773" s="69">
        <f>VLOOKUP(A773,Ucto_HK_2021!$A$2:$D$929,4,FALSE)</f>
        <v>-348154.29</v>
      </c>
      <c r="K773" s="69">
        <v>-271718.57</v>
      </c>
    </row>
    <row r="774" spans="1:11">
      <c r="A774" s="355" t="s">
        <v>2385</v>
      </c>
      <c r="B774" s="355" t="s">
        <v>2386</v>
      </c>
      <c r="C774" s="69"/>
      <c r="D774" s="69"/>
      <c r="E774" s="69"/>
      <c r="F774" s="69"/>
      <c r="G774" s="69">
        <v>-98135.27</v>
      </c>
      <c r="H774" s="69">
        <f>VLOOKUP(A774,Ucto_HK_2021!$A$2:$D$929,4,FALSE)</f>
        <v>-83312.350000000006</v>
      </c>
      <c r="K774" s="69">
        <v>-72414.16</v>
      </c>
    </row>
    <row r="775" spans="1:11">
      <c r="A775" s="355" t="s">
        <v>2387</v>
      </c>
      <c r="B775" s="355" t="s">
        <v>2388</v>
      </c>
      <c r="C775" s="69"/>
      <c r="D775" s="69"/>
      <c r="E775" s="69"/>
      <c r="F775" s="69"/>
      <c r="G775" s="69">
        <v>-15385.22</v>
      </c>
      <c r="H775" s="69">
        <f>VLOOKUP(A775,Ucto_HK_2021!$A$2:$D$929,4,FALSE)</f>
        <v>-20887.900000000001</v>
      </c>
      <c r="K775" s="69">
        <v>-16088.15</v>
      </c>
    </row>
    <row r="776" spans="1:11">
      <c r="A776" s="355" t="s">
        <v>2389</v>
      </c>
      <c r="B776" s="355" t="s">
        <v>2390</v>
      </c>
      <c r="C776" s="69"/>
      <c r="D776" s="69"/>
      <c r="E776" s="69"/>
      <c r="F776" s="69"/>
      <c r="G776" s="69">
        <v>-14692.19</v>
      </c>
      <c r="H776" s="69">
        <f>VLOOKUP(A776,Ucto_HK_2021!$A$2:$D$929,4,FALSE)</f>
        <v>-18474.509999999998</v>
      </c>
      <c r="K776" s="69">
        <v>-15940.62</v>
      </c>
    </row>
    <row r="777" spans="1:11">
      <c r="A777" s="355" t="s">
        <v>2391</v>
      </c>
      <c r="B777" s="355" t="s">
        <v>2392</v>
      </c>
      <c r="C777" s="69"/>
      <c r="D777" s="69"/>
      <c r="E777" s="69"/>
      <c r="F777" s="69"/>
      <c r="G777" s="69">
        <v>-39097.18</v>
      </c>
      <c r="H777" s="69">
        <f>VLOOKUP(A777,Ucto_HK_2021!$A$2:$D$929,4,FALSE)</f>
        <v>-40995.22</v>
      </c>
      <c r="K777" s="69">
        <v>-37012.69</v>
      </c>
    </row>
    <row r="778" spans="1:11">
      <c r="A778" s="355" t="s">
        <v>2393</v>
      </c>
      <c r="B778" s="355" t="s">
        <v>2394</v>
      </c>
      <c r="C778" s="69"/>
      <c r="D778" s="69"/>
      <c r="E778" s="69"/>
      <c r="F778" s="69"/>
      <c r="G778" s="69">
        <v>-1494</v>
      </c>
      <c r="H778" s="69">
        <f>VLOOKUP(A778,Ucto_HK_2021!$A$2:$D$929,4,FALSE)</f>
        <v>-140</v>
      </c>
      <c r="K778" s="69">
        <v>-140</v>
      </c>
    </row>
    <row r="779" spans="1:11">
      <c r="A779" s="355" t="s">
        <v>2395</v>
      </c>
      <c r="B779" s="355" t="s">
        <v>2396</v>
      </c>
      <c r="C779" s="69"/>
      <c r="D779" s="69"/>
      <c r="E779" s="69"/>
      <c r="F779" s="69"/>
      <c r="G779" s="69">
        <v>-3624.23</v>
      </c>
      <c r="H779" s="69">
        <f>VLOOKUP(A779,Ucto_HK_2021!$A$2:$D$929,4,FALSE)</f>
        <v>-11537.75</v>
      </c>
      <c r="K779" s="69">
        <v>-10037.75</v>
      </c>
    </row>
    <row r="780" spans="1:11">
      <c r="A780" s="355" t="s">
        <v>2397</v>
      </c>
      <c r="B780" s="355" t="s">
        <v>2398</v>
      </c>
      <c r="C780" s="69"/>
      <c r="D780" s="69"/>
      <c r="E780" s="69"/>
      <c r="F780" s="69"/>
      <c r="G780" s="69">
        <v>-14114.7</v>
      </c>
      <c r="H780" s="69">
        <f>VLOOKUP(A780,Ucto_HK_2021!$A$2:$D$929,4,FALSE)</f>
        <v>-8076.34</v>
      </c>
      <c r="K780" s="69">
        <v>-6863.94</v>
      </c>
    </row>
    <row r="781" spans="1:11">
      <c r="A781" s="355" t="s">
        <v>2682</v>
      </c>
      <c r="B781" s="355" t="s">
        <v>2683</v>
      </c>
      <c r="C781" s="69">
        <v>0</v>
      </c>
      <c r="D781" s="69">
        <v>-649427.09</v>
      </c>
      <c r="E781" s="69">
        <v>-676669.51</v>
      </c>
      <c r="F781" s="69">
        <v>-734393.32</v>
      </c>
      <c r="G781" s="69"/>
      <c r="H781" s="69"/>
      <c r="K781" s="69"/>
    </row>
    <row r="782" spans="1:11">
      <c r="A782" s="355" t="s">
        <v>2684</v>
      </c>
      <c r="B782" s="355" t="s">
        <v>2685</v>
      </c>
      <c r="C782" s="69">
        <v>0</v>
      </c>
      <c r="D782" s="69">
        <v>-148292.43</v>
      </c>
      <c r="E782" s="69">
        <v>-138866.73000000001</v>
      </c>
      <c r="F782" s="69">
        <v>-137398.32</v>
      </c>
      <c r="G782" s="69"/>
      <c r="H782" s="69"/>
      <c r="K782" s="69"/>
    </row>
    <row r="783" spans="1:11">
      <c r="A783" s="355" t="s">
        <v>2686</v>
      </c>
      <c r="B783" s="355" t="s">
        <v>2687</v>
      </c>
      <c r="C783" s="69">
        <v>0</v>
      </c>
      <c r="D783" s="69">
        <v>-58906.3</v>
      </c>
      <c r="E783" s="69">
        <v>-57133.74</v>
      </c>
      <c r="F783" s="69">
        <v>-31425.08</v>
      </c>
      <c r="G783" s="69"/>
      <c r="H783" s="69"/>
      <c r="K783" s="69"/>
    </row>
    <row r="784" spans="1:11">
      <c r="A784" s="355" t="s">
        <v>2399</v>
      </c>
      <c r="B784" s="355" t="s">
        <v>2400</v>
      </c>
      <c r="C784" s="69">
        <v>0</v>
      </c>
      <c r="D784" s="69">
        <v>-6613.02</v>
      </c>
      <c r="E784" s="69">
        <v>-6721.98</v>
      </c>
      <c r="F784" s="69">
        <v>-5838.72</v>
      </c>
      <c r="G784" s="69">
        <v>-4757.8599999999997</v>
      </c>
      <c r="H784" s="69">
        <f>VLOOKUP(A784,Ucto_HK_2021!$A$2:$D$929,4,FALSE)</f>
        <v>-4135.91</v>
      </c>
      <c r="K784" s="69">
        <v>-3422.91</v>
      </c>
    </row>
    <row r="785" spans="1:11">
      <c r="A785" s="355" t="s">
        <v>2401</v>
      </c>
      <c r="B785" s="355" t="s">
        <v>2402</v>
      </c>
      <c r="C785" s="69">
        <v>0</v>
      </c>
      <c r="D785" s="69">
        <v>-5897.02</v>
      </c>
      <c r="E785" s="69">
        <v>-6708.3</v>
      </c>
      <c r="F785" s="69">
        <v>-6380.49</v>
      </c>
      <c r="G785" s="69">
        <v>-5719.04</v>
      </c>
      <c r="H785" s="69">
        <f>VLOOKUP(A785,Ucto_HK_2021!$A$2:$D$929,4,FALSE)</f>
        <v>-7291.88</v>
      </c>
      <c r="K785" s="69">
        <v>-5723.18</v>
      </c>
    </row>
    <row r="786" spans="1:11">
      <c r="A786" s="355" t="s">
        <v>2403</v>
      </c>
      <c r="B786" s="355" t="s">
        <v>2404</v>
      </c>
      <c r="C786" s="69">
        <v>0</v>
      </c>
      <c r="D786" s="69">
        <v>-361.33</v>
      </c>
      <c r="E786" s="69">
        <v>-205.56</v>
      </c>
      <c r="F786" s="69">
        <v>-67.25</v>
      </c>
      <c r="G786" s="69">
        <v>-30.12</v>
      </c>
      <c r="H786" s="69">
        <f>VLOOKUP(A786,Ucto_HK_2021!$A$2:$D$929,4,FALSE)</f>
        <v>-1123.56</v>
      </c>
      <c r="K786" s="69">
        <v>-686.77</v>
      </c>
    </row>
    <row r="787" spans="1:11">
      <c r="A787" s="355" t="s">
        <v>2405</v>
      </c>
      <c r="B787" s="355" t="s">
        <v>2406</v>
      </c>
      <c r="C787" s="69">
        <v>0</v>
      </c>
      <c r="D787" s="69">
        <v>-48726.83</v>
      </c>
      <c r="E787" s="69">
        <v>-19070.64</v>
      </c>
      <c r="F787" s="69">
        <v>-27046.98</v>
      </c>
      <c r="G787" s="69">
        <v>-17787.419999999998</v>
      </c>
      <c r="H787" s="69">
        <f>VLOOKUP(A787,Ucto_HK_2021!$A$2:$D$929,4,FALSE)</f>
        <v>-41883.919999999998</v>
      </c>
      <c r="K787" s="69">
        <v>-40463.06</v>
      </c>
    </row>
    <row r="788" spans="1:11">
      <c r="A788" s="355" t="s">
        <v>2407</v>
      </c>
      <c r="B788" s="355" t="s">
        <v>2408</v>
      </c>
      <c r="C788" s="69">
        <v>0</v>
      </c>
      <c r="D788" s="69">
        <v>-312853.64</v>
      </c>
      <c r="E788" s="69">
        <v>-292051.96000000002</v>
      </c>
      <c r="F788" s="69">
        <v>-293484.86</v>
      </c>
      <c r="G788" s="69">
        <v>-210219.75</v>
      </c>
      <c r="H788" s="69">
        <f>VLOOKUP(A788,Ucto_HK_2021!$A$2:$D$929,4,FALSE)</f>
        <v>-427739.67</v>
      </c>
      <c r="K788" s="69">
        <v>-288472.83</v>
      </c>
    </row>
    <row r="789" spans="1:11">
      <c r="A789" s="355" t="s">
        <v>2409</v>
      </c>
      <c r="B789" s="355" t="s">
        <v>2410</v>
      </c>
      <c r="C789" s="69">
        <v>0</v>
      </c>
      <c r="D789" s="69">
        <v>-283983.15999999997</v>
      </c>
      <c r="E789" s="69">
        <v>-333248.56</v>
      </c>
      <c r="F789" s="69">
        <v>-364816.73</v>
      </c>
      <c r="G789" s="69">
        <v>-174006.93</v>
      </c>
      <c r="H789" s="69">
        <f>VLOOKUP(A789,Ucto_HK_2021!$A$2:$D$929,4,FALSE)</f>
        <v>-198946.87</v>
      </c>
      <c r="K789" s="69">
        <v>-173853.53</v>
      </c>
    </row>
    <row r="790" spans="1:11">
      <c r="A790" s="355" t="s">
        <v>2411</v>
      </c>
      <c r="B790" s="355" t="s">
        <v>2412</v>
      </c>
      <c r="C790" s="69">
        <v>0</v>
      </c>
      <c r="D790" s="69">
        <v>-16350</v>
      </c>
      <c r="E790" s="69">
        <v>-10780</v>
      </c>
      <c r="F790" s="69">
        <v>-14580</v>
      </c>
      <c r="G790" s="69">
        <v>-19150</v>
      </c>
      <c r="H790" s="69">
        <f>VLOOKUP(A790,Ucto_HK_2021!$A$2:$D$929,4,FALSE)</f>
        <v>-10600</v>
      </c>
      <c r="K790" s="69">
        <v>-8210</v>
      </c>
    </row>
    <row r="791" spans="1:11">
      <c r="A791" s="355" t="s">
        <v>2413</v>
      </c>
      <c r="B791" s="355" t="s">
        <v>2414</v>
      </c>
      <c r="C791" s="69">
        <v>0</v>
      </c>
      <c r="D791" s="69">
        <v>-118918.19</v>
      </c>
      <c r="E791" s="69">
        <v>-147482.4</v>
      </c>
      <c r="F791" s="69">
        <v>-124361.77</v>
      </c>
      <c r="G791" s="69">
        <v>-88883.64</v>
      </c>
      <c r="H791" s="69">
        <f>VLOOKUP(A791,Ucto_HK_2021!$A$2:$D$929,4,FALSE)</f>
        <v>-80989.59</v>
      </c>
      <c r="K791" s="69">
        <v>-68196.789999999994</v>
      </c>
    </row>
    <row r="792" spans="1:11">
      <c r="A792" s="355" t="s">
        <v>2415</v>
      </c>
      <c r="B792" s="355" t="s">
        <v>2416</v>
      </c>
      <c r="C792" s="69">
        <v>0</v>
      </c>
      <c r="D792" s="69">
        <v>-171389.36</v>
      </c>
      <c r="E792" s="69">
        <v>-199661.5</v>
      </c>
      <c r="F792" s="69">
        <v>-197923.5</v>
      </c>
      <c r="G792" s="69">
        <v>-161523.6</v>
      </c>
      <c r="H792" s="69">
        <f>VLOOKUP(A792,Ucto_HK_2021!$A$2:$D$929,4,FALSE)</f>
        <v>-130392.42</v>
      </c>
      <c r="K792" s="69">
        <v>-103710.92</v>
      </c>
    </row>
    <row r="793" spans="1:11">
      <c r="A793" s="355" t="s">
        <v>2417</v>
      </c>
      <c r="B793" s="355" t="s">
        <v>2418</v>
      </c>
      <c r="C793" s="69">
        <v>0</v>
      </c>
      <c r="D793" s="69">
        <v>-556658.69999999995</v>
      </c>
      <c r="E793" s="69">
        <v>-588149.43999999994</v>
      </c>
      <c r="F793" s="69">
        <v>-489606.40000000002</v>
      </c>
      <c r="G793" s="69">
        <v>-723828.63</v>
      </c>
      <c r="H793" s="69">
        <f>VLOOKUP(A793,Ucto_HK_2021!$A$2:$D$929,4,FALSE)</f>
        <v>-1279283.21</v>
      </c>
      <c r="K793" s="69">
        <v>-944844.68</v>
      </c>
    </row>
    <row r="794" spans="1:11">
      <c r="A794" s="355" t="s">
        <v>2419</v>
      </c>
      <c r="B794" s="355" t="s">
        <v>2420</v>
      </c>
      <c r="C794" s="69">
        <v>0</v>
      </c>
      <c r="D794" s="69">
        <v>-9600</v>
      </c>
      <c r="E794" s="69">
        <v>-6662.5</v>
      </c>
      <c r="F794" s="69">
        <v>-6662.5</v>
      </c>
      <c r="G794" s="69">
        <v>-16325</v>
      </c>
      <c r="H794" s="69">
        <f>VLOOKUP(A794,Ucto_HK_2021!$A$2:$D$929,4,FALSE)</f>
        <v>-23000</v>
      </c>
      <c r="K794" s="69">
        <v>-19400</v>
      </c>
    </row>
    <row r="795" spans="1:11">
      <c r="A795" s="355" t="s">
        <v>2421</v>
      </c>
      <c r="B795" s="355" t="s">
        <v>2422</v>
      </c>
      <c r="C795" s="69">
        <v>0</v>
      </c>
      <c r="D795" s="69">
        <v>-53398.400000000001</v>
      </c>
      <c r="E795" s="69">
        <v>-49040.45</v>
      </c>
      <c r="F795" s="69">
        <v>-26096.3</v>
      </c>
      <c r="G795" s="69">
        <v>-35090</v>
      </c>
      <c r="H795" s="69">
        <f>VLOOKUP(A795,Ucto_HK_2021!$A$2:$D$929,4,FALSE)</f>
        <v>-34995</v>
      </c>
      <c r="K795" s="69">
        <v>-21370</v>
      </c>
    </row>
    <row r="796" spans="1:11">
      <c r="A796" s="355" t="s">
        <v>2423</v>
      </c>
      <c r="B796" s="355" t="s">
        <v>2424</v>
      </c>
      <c r="C796" s="69">
        <v>0</v>
      </c>
      <c r="D796" s="69">
        <v>-1355395.77</v>
      </c>
      <c r="E796" s="69">
        <v>-1231986.95</v>
      </c>
      <c r="F796" s="69">
        <v>-1177628.31</v>
      </c>
      <c r="G796" s="69">
        <v>-783351.82</v>
      </c>
      <c r="H796" s="69">
        <f>VLOOKUP(A796,Ucto_HK_2021!$A$2:$D$929,4,FALSE)</f>
        <v>-765242.48</v>
      </c>
      <c r="K796" s="69">
        <v>-275358.32</v>
      </c>
    </row>
    <row r="797" spans="1:11">
      <c r="A797" s="355" t="s">
        <v>2425</v>
      </c>
      <c r="B797" s="355" t="s">
        <v>2426</v>
      </c>
      <c r="C797" s="69">
        <v>0</v>
      </c>
      <c r="D797" s="69">
        <v>-3099.68</v>
      </c>
      <c r="E797" s="69">
        <v>-3488.9</v>
      </c>
      <c r="F797" s="69">
        <v>-4245.71</v>
      </c>
      <c r="G797" s="69">
        <v>-3515.28</v>
      </c>
      <c r="H797" s="69">
        <f>VLOOKUP(A797,Ucto_HK_2021!$A$2:$D$929,4,FALSE)</f>
        <v>-3036.41</v>
      </c>
      <c r="K797" s="69">
        <v>-2498.0100000000002</v>
      </c>
    </row>
    <row r="798" spans="1:11">
      <c r="A798" s="355" t="s">
        <v>2427</v>
      </c>
      <c r="B798" s="355" t="s">
        <v>1652</v>
      </c>
      <c r="C798" s="69">
        <v>0</v>
      </c>
      <c r="D798" s="69">
        <v>-60574.69</v>
      </c>
      <c r="E798" s="69">
        <v>-49159.45</v>
      </c>
      <c r="F798" s="69">
        <v>-69262.98</v>
      </c>
      <c r="G798" s="69">
        <v>-50192.01</v>
      </c>
      <c r="H798" s="69">
        <f>VLOOKUP(A798,Ucto_HK_2021!$A$2:$D$929,4,FALSE)</f>
        <v>-46788</v>
      </c>
      <c r="K798" s="69">
        <v>-48670.5</v>
      </c>
    </row>
    <row r="799" spans="1:11">
      <c r="A799" s="355" t="s">
        <v>2428</v>
      </c>
      <c r="B799" s="355" t="s">
        <v>2429</v>
      </c>
      <c r="C799" s="69"/>
      <c r="D799" s="69"/>
      <c r="E799" s="69">
        <v>-302.77999999999997</v>
      </c>
      <c r="F799" s="69">
        <v>-5023.2700000000004</v>
      </c>
      <c r="G799" s="69">
        <v>-82.8</v>
      </c>
      <c r="H799" s="69">
        <f>VLOOKUP(A799,Ucto_HK_2021!$A$2:$D$929,4,FALSE)</f>
        <v>-15.76</v>
      </c>
      <c r="K799" s="69">
        <v>-15.76</v>
      </c>
    </row>
    <row r="800" spans="1:11">
      <c r="A800" s="355" t="s">
        <v>2430</v>
      </c>
      <c r="B800" s="355" t="s">
        <v>2431</v>
      </c>
      <c r="C800" s="69">
        <v>0</v>
      </c>
      <c r="D800" s="69">
        <v>-490717.27</v>
      </c>
      <c r="E800" s="69">
        <v>-494393.17</v>
      </c>
      <c r="F800" s="69">
        <v>-512111.62</v>
      </c>
      <c r="G800" s="69">
        <v>-376364</v>
      </c>
      <c r="H800" s="69">
        <f>VLOOKUP(A800,Ucto_HK_2021!$A$2:$D$929,4,FALSE)</f>
        <v>-572405.43999999994</v>
      </c>
      <c r="K800" s="69">
        <v>-473002.84</v>
      </c>
    </row>
    <row r="801" spans="1:11">
      <c r="A801" s="355" t="s">
        <v>2432</v>
      </c>
      <c r="B801" s="355" t="s">
        <v>2433</v>
      </c>
      <c r="C801" s="69">
        <v>0</v>
      </c>
      <c r="D801" s="69">
        <v>-657248.16</v>
      </c>
      <c r="E801" s="69">
        <v>-695359.39</v>
      </c>
      <c r="F801" s="69">
        <v>-732697.94</v>
      </c>
      <c r="G801" s="69">
        <v>-676554.18</v>
      </c>
      <c r="H801" s="69">
        <f>VLOOKUP(A801,Ucto_HK_2021!$A$2:$D$929,4,FALSE)</f>
        <v>-570972.16000000003</v>
      </c>
      <c r="K801" s="69">
        <v>-486084.03</v>
      </c>
    </row>
    <row r="802" spans="1:11">
      <c r="A802" s="355" t="s">
        <v>2434</v>
      </c>
      <c r="B802" s="355" t="s">
        <v>2435</v>
      </c>
      <c r="C802" s="69">
        <v>0</v>
      </c>
      <c r="D802" s="69">
        <v>-20668.09</v>
      </c>
      <c r="E802" s="69">
        <v>-20508.240000000002</v>
      </c>
      <c r="F802" s="69">
        <v>-20508.240000000002</v>
      </c>
      <c r="G802" s="69">
        <v>-20508.240000000002</v>
      </c>
      <c r="H802" s="69">
        <f>VLOOKUP(A802,Ucto_HK_2021!$A$2:$D$929,4,FALSE)</f>
        <v>-7844.28</v>
      </c>
      <c r="K802" s="69">
        <v>-6536.9</v>
      </c>
    </row>
    <row r="803" spans="1:11">
      <c r="A803" s="355" t="s">
        <v>2436</v>
      </c>
      <c r="B803" s="355" t="s">
        <v>2437</v>
      </c>
      <c r="C803" s="69">
        <v>0</v>
      </c>
      <c r="D803" s="69">
        <v>-14226.38</v>
      </c>
      <c r="E803" s="69">
        <v>-574.91999999999996</v>
      </c>
      <c r="F803" s="69">
        <v>-574.91999999999996</v>
      </c>
      <c r="G803" s="69">
        <v>-574.91999999999996</v>
      </c>
      <c r="H803" s="69">
        <f>VLOOKUP(A803,Ucto_HK_2021!$A$2:$D$929,4,FALSE)</f>
        <v>-195.82</v>
      </c>
      <c r="K803" s="69">
        <v>-175.82</v>
      </c>
    </row>
    <row r="804" spans="1:11">
      <c r="A804" s="355" t="s">
        <v>2438</v>
      </c>
      <c r="B804" s="355" t="s">
        <v>2439</v>
      </c>
      <c r="C804" s="69">
        <v>0</v>
      </c>
      <c r="D804" s="69">
        <v>-14471.56</v>
      </c>
      <c r="E804" s="69">
        <v>-14471.56</v>
      </c>
      <c r="F804" s="69">
        <v>-14471.56</v>
      </c>
      <c r="G804" s="69">
        <v>-15193.05</v>
      </c>
      <c r="H804" s="69">
        <f>VLOOKUP(A804,Ucto_HK_2021!$A$2:$D$929,4,FALSE)</f>
        <v>-66685.34</v>
      </c>
      <c r="K804" s="69">
        <v>-33789.18</v>
      </c>
    </row>
    <row r="805" spans="1:11">
      <c r="A805" s="355" t="s">
        <v>2440</v>
      </c>
      <c r="B805" s="355" t="s">
        <v>2441</v>
      </c>
      <c r="C805" s="69">
        <v>0</v>
      </c>
      <c r="D805" s="69">
        <v>-584774.05000000005</v>
      </c>
      <c r="E805" s="69">
        <v>-593929.55000000005</v>
      </c>
      <c r="F805" s="69">
        <v>-637381.15</v>
      </c>
      <c r="G805" s="69">
        <v>-218769.42</v>
      </c>
      <c r="H805" s="69">
        <f>VLOOKUP(A805,Ucto_HK_2021!$A$2:$D$929,4,FALSE)</f>
        <v>-274541.78999999998</v>
      </c>
      <c r="K805" s="69">
        <v>-234966.33</v>
      </c>
    </row>
    <row r="806" spans="1:11">
      <c r="A806" s="355" t="s">
        <v>2442</v>
      </c>
      <c r="B806" s="355" t="s">
        <v>2443</v>
      </c>
      <c r="C806" s="69">
        <v>0</v>
      </c>
      <c r="D806" s="69">
        <v>-10003.26</v>
      </c>
      <c r="E806" s="69">
        <v>-8959.81</v>
      </c>
      <c r="F806" s="69">
        <v>-8711.68</v>
      </c>
      <c r="G806" s="69">
        <v>-8121.45</v>
      </c>
      <c r="H806" s="69">
        <f>VLOOKUP(A806,Ucto_HK_2021!$A$2:$D$929,4,FALSE)</f>
        <v>-7524.23</v>
      </c>
      <c r="K806" s="69">
        <v>-6374.08</v>
      </c>
    </row>
    <row r="807" spans="1:11">
      <c r="A807" s="355" t="s">
        <v>2444</v>
      </c>
      <c r="B807" s="355" t="s">
        <v>2445</v>
      </c>
      <c r="C807" s="69">
        <v>0</v>
      </c>
      <c r="D807" s="69">
        <v>-303471.8</v>
      </c>
      <c r="E807" s="69">
        <v>-73625.539999999994</v>
      </c>
      <c r="F807" s="69">
        <v>-78965.13</v>
      </c>
      <c r="G807" s="69">
        <v>-67088.89</v>
      </c>
      <c r="H807" s="69">
        <f>VLOOKUP(A807,Ucto_HK_2021!$A$2:$D$929,4,FALSE)</f>
        <v>-93507.77</v>
      </c>
      <c r="K807" s="69">
        <v>-90801.01</v>
      </c>
    </row>
    <row r="808" spans="1:11">
      <c r="A808" s="355" t="s">
        <v>2446</v>
      </c>
      <c r="B808" s="355" t="s">
        <v>2447</v>
      </c>
      <c r="C808" s="69">
        <v>0</v>
      </c>
      <c r="D808" s="69">
        <v>-4241.8500000000004</v>
      </c>
      <c r="E808" s="69">
        <v>-7081.9</v>
      </c>
      <c r="F808" s="69">
        <v>-7220</v>
      </c>
      <c r="G808" s="69">
        <v>-7560</v>
      </c>
      <c r="H808" s="69">
        <f>VLOOKUP(A808,Ucto_HK_2021!$A$2:$D$929,4,FALSE)</f>
        <v>-3820</v>
      </c>
      <c r="K808" s="69">
        <v>-3240</v>
      </c>
    </row>
    <row r="809" spans="1:11">
      <c r="A809" s="355" t="s">
        <v>2448</v>
      </c>
      <c r="B809" s="355" t="s">
        <v>2449</v>
      </c>
      <c r="C809" s="69">
        <v>0</v>
      </c>
      <c r="D809" s="69">
        <v>-86827.27</v>
      </c>
      <c r="E809" s="69">
        <v>-89199.25</v>
      </c>
      <c r="F809" s="69">
        <v>-60677.86</v>
      </c>
      <c r="G809" s="69">
        <v>-58561.32</v>
      </c>
      <c r="H809" s="69">
        <f>VLOOKUP(A809,Ucto_HK_2021!$A$2:$D$929,4,FALSE)</f>
        <v>-66071.399999999994</v>
      </c>
      <c r="K809" s="69">
        <v>-44214.16</v>
      </c>
    </row>
    <row r="810" spans="1:11">
      <c r="A810" s="355" t="s">
        <v>2450</v>
      </c>
      <c r="B810" s="355" t="s">
        <v>2451</v>
      </c>
      <c r="C810" s="69">
        <v>0</v>
      </c>
      <c r="D810" s="69">
        <v>-85665.74</v>
      </c>
      <c r="E810" s="69">
        <v>-80752.52</v>
      </c>
      <c r="F810" s="69">
        <v>-74680.22</v>
      </c>
      <c r="G810" s="69">
        <v>-53077.77</v>
      </c>
      <c r="H810" s="69">
        <f>VLOOKUP(A810,Ucto_HK_2021!$A$2:$D$929,4,FALSE)</f>
        <v>-43593.02</v>
      </c>
      <c r="K810" s="69">
        <v>-29751.88</v>
      </c>
    </row>
    <row r="811" spans="1:11">
      <c r="A811" s="355" t="s">
        <v>909</v>
      </c>
      <c r="C811" s="69">
        <v>0</v>
      </c>
      <c r="D811" s="69">
        <v>-91537466.319999993</v>
      </c>
      <c r="E811" s="69">
        <v>-96758427.370000005</v>
      </c>
      <c r="F811" s="69">
        <v>-106384314.98</v>
      </c>
      <c r="G811" s="69">
        <v>-111345317.31999999</v>
      </c>
      <c r="H811" s="69">
        <f>VLOOKUP(A811,Ucto_HK_2021!$A$2:$D$929,4,FALSE)</f>
        <v>-127492099.15000001</v>
      </c>
      <c r="K811" s="69">
        <v>-105979392.93000001</v>
      </c>
    </row>
    <row r="812" spans="1:11">
      <c r="A812" s="578" t="s">
        <v>2452</v>
      </c>
      <c r="B812" s="578" t="s">
        <v>2453</v>
      </c>
      <c r="C812" s="69"/>
      <c r="D812" s="69"/>
      <c r="E812" s="69"/>
      <c r="F812" s="69"/>
      <c r="G812" s="69">
        <v>-358457.12</v>
      </c>
      <c r="H812" s="69">
        <f>VLOOKUP(A812,Ucto_HK_2021!$A$2:$D$929,4,FALSE)</f>
        <v>-307701.36</v>
      </c>
      <c r="K812" s="69">
        <v>-255745.07</v>
      </c>
    </row>
    <row r="813" spans="1:11">
      <c r="A813" s="578" t="s">
        <v>2454</v>
      </c>
      <c r="B813" s="578" t="s">
        <v>2455</v>
      </c>
      <c r="C813" s="69"/>
      <c r="D813" s="69"/>
      <c r="E813" s="69"/>
      <c r="F813" s="69"/>
      <c r="G813" s="69">
        <v>-46217.35</v>
      </c>
      <c r="H813" s="69">
        <f>VLOOKUP(A813,Ucto_HK_2021!$A$2:$D$929,4,FALSE)</f>
        <v>-42017.04</v>
      </c>
      <c r="K813" s="69">
        <v>-32285.73</v>
      </c>
    </row>
    <row r="814" spans="1:11">
      <c r="A814" s="578" t="s">
        <v>2456</v>
      </c>
      <c r="B814" s="578" t="s">
        <v>2457</v>
      </c>
      <c r="C814" s="69"/>
      <c r="D814" s="69"/>
      <c r="E814" s="69"/>
      <c r="F814" s="69"/>
      <c r="G814" s="69">
        <v>-99634.02</v>
      </c>
      <c r="H814" s="69">
        <f>VLOOKUP(A814,Ucto_HK_2021!$A$2:$D$929,4,FALSE)</f>
        <v>-129174.31</v>
      </c>
      <c r="K814" s="69">
        <v>-100440.27</v>
      </c>
    </row>
    <row r="815" spans="1:11">
      <c r="A815" s="355" t="s">
        <v>2688</v>
      </c>
      <c r="B815" s="355" t="s">
        <v>2689</v>
      </c>
      <c r="F815" s="69">
        <v>-57047.82</v>
      </c>
      <c r="G815" s="69"/>
      <c r="H815" s="69"/>
      <c r="K815" s="69"/>
    </row>
    <row r="816" spans="1:11">
      <c r="A816" s="578" t="s">
        <v>2807</v>
      </c>
      <c r="B816" s="578" t="s">
        <v>2808</v>
      </c>
      <c r="F816" s="69"/>
      <c r="G816" s="69"/>
      <c r="H816" s="69">
        <f>VLOOKUP(A816,Ucto_HK_2021!$A$2:$D$929,4,FALSE)</f>
        <v>-668.18</v>
      </c>
      <c r="K816" s="69">
        <v>-570.26</v>
      </c>
    </row>
    <row r="817" spans="1:11">
      <c r="A817" s="355" t="s">
        <v>2458</v>
      </c>
      <c r="B817" s="355" t="s">
        <v>2459</v>
      </c>
      <c r="C817" s="587"/>
      <c r="D817" s="587"/>
      <c r="E817" s="69"/>
      <c r="F817" s="69">
        <v>-81537.08</v>
      </c>
      <c r="G817" s="69">
        <v>-1292291.3400000001</v>
      </c>
      <c r="H817" s="69">
        <f>VLOOKUP(A817,Ucto_HK_2021!$A$2:$D$929,4,FALSE)</f>
        <v>-1748230.82</v>
      </c>
      <c r="K817" s="69">
        <v>-1369807.42</v>
      </c>
    </row>
    <row r="818" spans="1:11">
      <c r="A818" s="355" t="s">
        <v>2460</v>
      </c>
      <c r="B818" s="355" t="s">
        <v>2461</v>
      </c>
      <c r="C818" s="587"/>
      <c r="D818" s="587"/>
      <c r="E818" s="69"/>
      <c r="F818" s="69">
        <v>-396.85</v>
      </c>
      <c r="G818" s="69">
        <v>-5083.1000000000004</v>
      </c>
      <c r="H818" s="69">
        <f>VLOOKUP(A818,Ucto_HK_2021!$A$2:$D$929,4,FALSE)</f>
        <v>-12469.94</v>
      </c>
      <c r="K818" s="69">
        <v>-10015.799999999999</v>
      </c>
    </row>
    <row r="819" spans="1:11">
      <c r="A819" s="355" t="s">
        <v>2462</v>
      </c>
      <c r="B819" s="355" t="s">
        <v>2463</v>
      </c>
      <c r="C819" s="587"/>
      <c r="D819" s="587"/>
      <c r="E819" s="69"/>
      <c r="F819" s="69">
        <v>-39090.26</v>
      </c>
      <c r="G819" s="69">
        <v>-472299.4</v>
      </c>
      <c r="H819" s="69">
        <f>VLOOKUP(A819,Ucto_HK_2021!$A$2:$D$929,4,FALSE)</f>
        <v>-702658.4</v>
      </c>
      <c r="K819" s="69">
        <v>-522509.19</v>
      </c>
    </row>
    <row r="820" spans="1:11">
      <c r="A820" s="355" t="s">
        <v>2464</v>
      </c>
      <c r="B820" s="355" t="s">
        <v>2465</v>
      </c>
      <c r="C820" s="587"/>
      <c r="D820" s="587"/>
      <c r="E820" s="69"/>
      <c r="F820" s="69">
        <v>-10.96</v>
      </c>
      <c r="G820" s="69">
        <v>-833.49</v>
      </c>
      <c r="H820" s="69">
        <f>VLOOKUP(A820,Ucto_HK_2021!$A$2:$D$929,4,FALSE)</f>
        <v>-9982.56</v>
      </c>
      <c r="K820" s="69">
        <v>-8440.17</v>
      </c>
    </row>
    <row r="821" spans="1:11">
      <c r="A821" s="355" t="s">
        <v>2466</v>
      </c>
      <c r="B821" s="355" t="s">
        <v>2467</v>
      </c>
      <c r="C821" s="587"/>
      <c r="D821" s="587"/>
      <c r="E821" s="69"/>
      <c r="F821" s="69">
        <v>-9496.6299999999992</v>
      </c>
      <c r="G821" s="69">
        <v>-133466.99</v>
      </c>
      <c r="H821" s="69">
        <f>VLOOKUP(A821,Ucto_HK_2021!$A$2:$D$929,4,FALSE)</f>
        <v>-207152.27</v>
      </c>
      <c r="K821" s="69">
        <v>-145762.01</v>
      </c>
    </row>
    <row r="822" spans="1:11">
      <c r="A822" s="355" t="s">
        <v>2468</v>
      </c>
      <c r="B822" s="355" t="s">
        <v>2469</v>
      </c>
      <c r="C822" s="587"/>
      <c r="D822" s="587"/>
      <c r="E822" s="69"/>
      <c r="F822" s="69">
        <v>-137.5</v>
      </c>
      <c r="G822" s="69">
        <v>-841.78</v>
      </c>
      <c r="H822" s="69">
        <f>VLOOKUP(A822,Ucto_HK_2021!$A$2:$D$929,4,FALSE)</f>
        <v>-2064.04</v>
      </c>
      <c r="K822" s="69">
        <v>-1719.74</v>
      </c>
    </row>
    <row r="823" spans="1:11">
      <c r="A823" s="355" t="s">
        <v>2470</v>
      </c>
      <c r="C823" s="587"/>
      <c r="D823" s="587"/>
      <c r="E823" s="69"/>
      <c r="F823" s="69">
        <v>-187717.1</v>
      </c>
      <c r="G823" s="69">
        <v>-2409124.59</v>
      </c>
      <c r="H823" s="69">
        <f>VLOOKUP(A823,Ucto_HK_2021!$A$2:$D$929,4,FALSE)</f>
        <v>-3162118.92</v>
      </c>
      <c r="K823" s="69">
        <v>-2447295.66</v>
      </c>
    </row>
    <row r="824" spans="1:11">
      <c r="A824" s="584" t="s">
        <v>2471</v>
      </c>
      <c r="C824" s="587">
        <v>0</v>
      </c>
      <c r="D824" s="587">
        <v>-91537466.319999993</v>
      </c>
      <c r="E824" s="69">
        <v>-96758427.370000005</v>
      </c>
      <c r="F824" s="69">
        <v>-106572032.08</v>
      </c>
      <c r="G824" s="69">
        <v>-113754441.91</v>
      </c>
      <c r="H824" s="69">
        <f>VLOOKUP(A824,Ucto_HK_2021!$A$2:$D$929,4,FALSE)</f>
        <v>-130654218.06999999</v>
      </c>
      <c r="K824" s="69">
        <v>-108426688.59</v>
      </c>
    </row>
    <row r="825" spans="1:11">
      <c r="A825" s="578" t="s">
        <v>2809</v>
      </c>
      <c r="B825" s="578" t="s">
        <v>2810</v>
      </c>
      <c r="C825" s="587"/>
      <c r="D825" s="587"/>
      <c r="E825" s="69"/>
      <c r="F825" s="69"/>
      <c r="G825" s="69"/>
      <c r="H825" s="69">
        <f>VLOOKUP(A825,Ucto_HK_2021!$A$2:$D$929,4,FALSE)</f>
        <v>-39.64</v>
      </c>
      <c r="K825" s="69">
        <v>-31.64</v>
      </c>
    </row>
    <row r="826" spans="1:11">
      <c r="A826" s="578" t="s">
        <v>922</v>
      </c>
      <c r="B826"/>
      <c r="C826" s="587"/>
      <c r="D826" s="587"/>
      <c r="E826" s="69"/>
      <c r="F826" s="69"/>
      <c r="G826" s="69"/>
      <c r="H826" s="69">
        <f>VLOOKUP(A826,Ucto_HK_2021!$A$2:$D$929,4,FALSE)</f>
        <v>-39.64</v>
      </c>
      <c r="K826" s="69">
        <v>-31.64</v>
      </c>
    </row>
    <row r="827" spans="1:11">
      <c r="A827" s="355" t="s">
        <v>2472</v>
      </c>
      <c r="B827" s="355" t="s">
        <v>2473</v>
      </c>
      <c r="C827" s="69">
        <v>0</v>
      </c>
      <c r="D827" s="69">
        <v>-43508.2</v>
      </c>
      <c r="E827" s="69">
        <v>-43839.8</v>
      </c>
      <c r="F827" s="69">
        <v>-43709.8</v>
      </c>
      <c r="G827" s="69">
        <v>-32349.200000000001</v>
      </c>
      <c r="H827" s="69">
        <f>VLOOKUP(A827,Ucto_HK_2021!$A$2:$D$929,4,FALSE)</f>
        <v>-45970.400000000001</v>
      </c>
      <c r="K827" s="69">
        <v>-38052.800000000003</v>
      </c>
    </row>
    <row r="828" spans="1:11">
      <c r="A828" s="355" t="s">
        <v>924</v>
      </c>
      <c r="C828" s="69">
        <v>0</v>
      </c>
      <c r="D828" s="69">
        <v>-43508.2</v>
      </c>
      <c r="E828" s="69">
        <v>-43839.8</v>
      </c>
      <c r="F828" s="69">
        <v>-43709.8</v>
      </c>
      <c r="G828" s="69">
        <v>-32349.200000000001</v>
      </c>
      <c r="H828" s="69">
        <f>VLOOKUP(A828,Ucto_HK_2021!$A$2:$D$929,4,FALSE)</f>
        <v>-45970.400000000001</v>
      </c>
      <c r="K828" s="69">
        <v>-38052.800000000003</v>
      </c>
    </row>
    <row r="829" spans="1:11">
      <c r="A829" s="584" t="s">
        <v>2474</v>
      </c>
      <c r="C829" s="587">
        <v>0</v>
      </c>
      <c r="D829" s="587">
        <v>-43508.2</v>
      </c>
      <c r="E829" s="69">
        <v>-43839.8</v>
      </c>
      <c r="F829" s="69">
        <v>-43709.8</v>
      </c>
      <c r="G829" s="69">
        <v>-32349.200000000001</v>
      </c>
      <c r="H829" s="69">
        <f>VLOOKUP(A829,Ucto_HK_2021!$A$2:$D$929,4,FALSE)</f>
        <v>-46010.04</v>
      </c>
      <c r="K829" s="69">
        <v>-38084.44</v>
      </c>
    </row>
    <row r="830" spans="1:11">
      <c r="A830" s="355" t="s">
        <v>2475</v>
      </c>
      <c r="B830" s="355" t="s">
        <v>2476</v>
      </c>
      <c r="C830" s="69">
        <v>0</v>
      </c>
      <c r="D830" s="69">
        <v>-2993.8</v>
      </c>
      <c r="E830" s="69"/>
      <c r="F830" s="69">
        <v>-289400</v>
      </c>
      <c r="G830" s="69">
        <v>-4621.63</v>
      </c>
      <c r="H830" s="69">
        <f>VLOOKUP(A830,Ucto_HK_2021!$A$2:$D$929,4,FALSE)</f>
        <v>0</v>
      </c>
      <c r="K830" s="69"/>
    </row>
    <row r="831" spans="1:11">
      <c r="A831" s="355" t="s">
        <v>938</v>
      </c>
      <c r="C831" s="69">
        <v>0</v>
      </c>
      <c r="D831" s="69">
        <v>-2993.8</v>
      </c>
      <c r="E831" s="69"/>
      <c r="F831" s="69">
        <v>-289400</v>
      </c>
      <c r="G831" s="69">
        <v>-4621.63</v>
      </c>
      <c r="H831" s="69">
        <f>VLOOKUP(A831,Ucto_HK_2021!$A$2:$D$929,4,FALSE)</f>
        <v>0</v>
      </c>
      <c r="K831" s="69"/>
    </row>
    <row r="832" spans="1:11">
      <c r="A832" s="355" t="s">
        <v>2477</v>
      </c>
      <c r="B832" s="355" t="s">
        <v>2478</v>
      </c>
      <c r="C832" s="69"/>
      <c r="D832" s="69"/>
      <c r="E832" s="69"/>
      <c r="F832" s="69">
        <v>-5000</v>
      </c>
      <c r="G832" s="69">
        <v>-1164.8</v>
      </c>
      <c r="H832" s="69">
        <f>VLOOKUP(A832,Ucto_HK_2021!$A$2:$D$929,4,FALSE)</f>
        <v>-6974.9</v>
      </c>
      <c r="K832" s="69"/>
    </row>
    <row r="833" spans="1:11">
      <c r="A833" s="355" t="s">
        <v>2479</v>
      </c>
      <c r="B833" s="355" t="s">
        <v>2480</v>
      </c>
      <c r="C833" s="69"/>
      <c r="D833" s="69"/>
      <c r="E833" s="69">
        <v>-833.81</v>
      </c>
      <c r="F833" s="69">
        <v>-842.39</v>
      </c>
      <c r="G833" s="69">
        <v>-39242.85</v>
      </c>
      <c r="H833" s="69">
        <f>VLOOKUP(A833,Ucto_HK_2021!$A$2:$D$929,4,FALSE)</f>
        <v>-5142.5200000000004</v>
      </c>
      <c r="K833" s="69"/>
    </row>
    <row r="834" spans="1:11">
      <c r="A834" s="355" t="s">
        <v>942</v>
      </c>
      <c r="B834" s="355"/>
      <c r="C834" s="69"/>
      <c r="D834" s="69"/>
      <c r="E834" s="69"/>
      <c r="F834" s="69">
        <v>-5842.39</v>
      </c>
      <c r="G834" s="69">
        <v>-40407.65</v>
      </c>
      <c r="H834" s="69">
        <f>VLOOKUP(A834,Ucto_HK_2021!$A$2:$D$929,4,FALSE)</f>
        <v>-12117.42</v>
      </c>
      <c r="K834" s="69"/>
    </row>
    <row r="835" spans="1:11">
      <c r="A835" s="355" t="s">
        <v>2690</v>
      </c>
      <c r="B835" s="355" t="s">
        <v>2691</v>
      </c>
      <c r="C835" s="69">
        <v>0</v>
      </c>
      <c r="D835" s="69">
        <v>-56969.09</v>
      </c>
      <c r="E835" s="69">
        <v>-168.3</v>
      </c>
      <c r="F835" s="69">
        <v>-219.5</v>
      </c>
      <c r="G835" s="69"/>
      <c r="H835" s="69"/>
      <c r="K835" s="69"/>
    </row>
    <row r="836" spans="1:11">
      <c r="A836" s="355" t="s">
        <v>943</v>
      </c>
      <c r="C836" s="69">
        <v>0</v>
      </c>
      <c r="D836" s="69">
        <v>-56969.09</v>
      </c>
      <c r="E836" s="69">
        <v>-168.3</v>
      </c>
      <c r="F836" s="69">
        <v>-219.5</v>
      </c>
      <c r="G836" s="69"/>
      <c r="H836" s="69"/>
      <c r="K836" s="69"/>
    </row>
    <row r="837" spans="1:11">
      <c r="A837" s="355" t="s">
        <v>2481</v>
      </c>
      <c r="B837" s="355" t="s">
        <v>2482</v>
      </c>
      <c r="C837" s="69">
        <v>0</v>
      </c>
      <c r="D837" s="69">
        <v>-25774.25</v>
      </c>
      <c r="E837" s="69">
        <v>-3148.59</v>
      </c>
      <c r="F837" s="69">
        <v>-11736.75</v>
      </c>
      <c r="G837" s="69">
        <v>-92483.94</v>
      </c>
      <c r="H837" s="69">
        <f>VLOOKUP(A837,Ucto_HK_2021!$A$2:$D$929,4,FALSE)</f>
        <v>-84905.78</v>
      </c>
      <c r="K837" s="69">
        <v>-82121.929999999993</v>
      </c>
    </row>
    <row r="838" spans="1:11">
      <c r="A838" s="355" t="s">
        <v>2483</v>
      </c>
      <c r="B838" s="355" t="s">
        <v>2484</v>
      </c>
      <c r="C838" s="69">
        <v>0</v>
      </c>
      <c r="D838" s="69">
        <v>-13170.87</v>
      </c>
      <c r="E838" s="69">
        <v>-5331.69</v>
      </c>
      <c r="F838" s="69">
        <v>-4100.8599999999997</v>
      </c>
      <c r="G838" s="69">
        <v>-46886.21</v>
      </c>
      <c r="H838" s="69"/>
      <c r="K838" s="69"/>
    </row>
    <row r="839" spans="1:11">
      <c r="A839" s="355" t="s">
        <v>2485</v>
      </c>
      <c r="B839" s="355" t="s">
        <v>2486</v>
      </c>
      <c r="C839" s="69"/>
      <c r="D839" s="69"/>
      <c r="E839" s="69">
        <v>-112.53</v>
      </c>
      <c r="F839" s="69">
        <v>-20.76</v>
      </c>
      <c r="G839" s="69">
        <v>-49.95</v>
      </c>
      <c r="H839" s="69">
        <f>VLOOKUP(A839,Ucto_HK_2021!$A$2:$D$929,4,FALSE)</f>
        <v>-815.28</v>
      </c>
      <c r="K839" s="69">
        <v>-659.28</v>
      </c>
    </row>
    <row r="840" spans="1:11">
      <c r="A840" s="355" t="s">
        <v>2487</v>
      </c>
      <c r="B840" s="355" t="s">
        <v>2488</v>
      </c>
      <c r="C840" s="69">
        <v>0</v>
      </c>
      <c r="D840" s="69">
        <v>-21428.560000000001</v>
      </c>
      <c r="E840" s="69">
        <v>-16333.64</v>
      </c>
      <c r="F840" s="69">
        <v>-11176.46</v>
      </c>
      <c r="G840" s="69">
        <v>-13395.14</v>
      </c>
      <c r="H840" s="69">
        <f>VLOOKUP(A840,Ucto_HK_2021!$A$2:$D$929,4,FALSE)</f>
        <v>-167269.15</v>
      </c>
      <c r="K840" s="69">
        <v>-145206.41</v>
      </c>
    </row>
    <row r="841" spans="1:11">
      <c r="A841" s="578" t="s">
        <v>2871</v>
      </c>
      <c r="B841" s="578" t="s">
        <v>2872</v>
      </c>
      <c r="C841" s="69"/>
      <c r="D841" s="69"/>
      <c r="E841" s="69"/>
      <c r="F841" s="69"/>
      <c r="G841" s="69"/>
      <c r="H841" s="69">
        <f>VLOOKUP(A841,Ucto_HK_2021!$A$2:$D$929,4,FALSE)</f>
        <v>-1274914.56</v>
      </c>
      <c r="K841" s="69"/>
    </row>
    <row r="842" spans="1:11">
      <c r="A842" s="578" t="s">
        <v>2489</v>
      </c>
      <c r="B842" s="578" t="s">
        <v>2490</v>
      </c>
      <c r="C842" s="69"/>
      <c r="D842" s="69"/>
      <c r="E842" s="69"/>
      <c r="F842" s="69"/>
      <c r="G842" s="69">
        <v>-3217.89</v>
      </c>
      <c r="H842" s="69">
        <f>VLOOKUP(A842,Ucto_HK_2021!$A$2:$D$929,4,FALSE)</f>
        <v>-8142.23</v>
      </c>
      <c r="K842" s="69">
        <v>-7240.49</v>
      </c>
    </row>
    <row r="843" spans="1:11">
      <c r="A843" s="355" t="s">
        <v>2491</v>
      </c>
      <c r="B843" s="355" t="s">
        <v>2492</v>
      </c>
      <c r="C843" s="69">
        <v>0</v>
      </c>
      <c r="D843" s="69">
        <v>-54.64</v>
      </c>
      <c r="E843" s="69">
        <v>-16.739999999999998</v>
      </c>
      <c r="F843" s="69">
        <v>-28.04</v>
      </c>
      <c r="G843" s="69">
        <v>-36.58</v>
      </c>
      <c r="H843" s="69">
        <f>VLOOKUP(A843,Ucto_HK_2021!$A$2:$D$929,4,FALSE)</f>
        <v>-17.399999999999999</v>
      </c>
      <c r="K843" s="69">
        <v>-12.23</v>
      </c>
    </row>
    <row r="844" spans="1:11">
      <c r="A844" s="355" t="s">
        <v>2493</v>
      </c>
      <c r="B844" s="355" t="s">
        <v>2494</v>
      </c>
      <c r="C844" s="69">
        <v>0</v>
      </c>
      <c r="D844" s="69">
        <v>-10165.870000000001</v>
      </c>
      <c r="E844" s="69">
        <v>-4271.01</v>
      </c>
      <c r="F844" s="69">
        <v>-10202.450000000001</v>
      </c>
      <c r="G844" s="69">
        <v>-6667.45</v>
      </c>
      <c r="H844" s="69">
        <f>VLOOKUP(A844,Ucto_HK_2021!$A$2:$D$929,4,FALSE)</f>
        <v>-15675.5</v>
      </c>
      <c r="K844" s="69">
        <v>-13388.9</v>
      </c>
    </row>
    <row r="845" spans="1:11">
      <c r="A845" s="355" t="s">
        <v>2495</v>
      </c>
      <c r="B845" s="355" t="s">
        <v>2496</v>
      </c>
      <c r="C845" s="69">
        <v>0</v>
      </c>
      <c r="D845" s="69">
        <v>-325.72000000000003</v>
      </c>
      <c r="E845" s="69">
        <v>-331.11</v>
      </c>
      <c r="F845" s="69">
        <v>-297.56</v>
      </c>
      <c r="G845" s="69">
        <v>-245.58</v>
      </c>
      <c r="H845" s="69">
        <f>VLOOKUP(A845,Ucto_HK_2021!$A$2:$D$929,4,FALSE)</f>
        <v>-456</v>
      </c>
      <c r="K845" s="69">
        <v>-266.24</v>
      </c>
    </row>
    <row r="846" spans="1:11">
      <c r="A846" s="578" t="s">
        <v>2811</v>
      </c>
      <c r="B846" s="578" t="s">
        <v>2812</v>
      </c>
      <c r="C846" s="69"/>
      <c r="D846" s="69"/>
      <c r="E846" s="69"/>
      <c r="F846" s="69"/>
      <c r="G846" s="69"/>
      <c r="H846" s="69">
        <f>VLOOKUP(A846,Ucto_HK_2021!$A$2:$D$929,4,FALSE)</f>
        <v>-335236.21999999997</v>
      </c>
      <c r="K846" s="69">
        <v>-9500</v>
      </c>
    </row>
    <row r="847" spans="1:11">
      <c r="A847" s="355" t="s">
        <v>2497</v>
      </c>
      <c r="B847" s="355" t="s">
        <v>2498</v>
      </c>
      <c r="C847" s="69">
        <v>0</v>
      </c>
      <c r="D847" s="69">
        <v>-2133259.69</v>
      </c>
      <c r="E847" s="69">
        <v>-979809.59</v>
      </c>
      <c r="F847" s="69">
        <v>-41646.92</v>
      </c>
      <c r="G847" s="69">
        <v>-68633.710000000006</v>
      </c>
      <c r="H847" s="69">
        <f>VLOOKUP(A847,Ucto_HK_2021!$A$2:$D$929,4,FALSE)</f>
        <v>-176574.12</v>
      </c>
      <c r="K847" s="69">
        <v>-157204.81</v>
      </c>
    </row>
    <row r="848" spans="1:11">
      <c r="A848" s="355" t="s">
        <v>2692</v>
      </c>
      <c r="B848" s="355" t="s">
        <v>2693</v>
      </c>
      <c r="C848" s="69"/>
      <c r="D848" s="69"/>
      <c r="E848" s="69">
        <v>-624370.39</v>
      </c>
      <c r="F848" s="69">
        <v>-556904.17000000004</v>
      </c>
      <c r="G848" s="69"/>
      <c r="H848" s="69"/>
      <c r="K848" s="69"/>
    </row>
    <row r="849" spans="1:11">
      <c r="A849" s="355" t="s">
        <v>2499</v>
      </c>
      <c r="B849" s="355" t="s">
        <v>2500</v>
      </c>
      <c r="C849" s="69"/>
      <c r="D849" s="69"/>
      <c r="E849" s="69">
        <v>-2179141.7599999998</v>
      </c>
      <c r="F849" s="69">
        <v>-4808.57</v>
      </c>
      <c r="G849" s="69">
        <v>-8581800.4299999997</v>
      </c>
      <c r="H849" s="69"/>
      <c r="K849" s="69"/>
    </row>
    <row r="850" spans="1:11">
      <c r="A850" s="355" t="s">
        <v>2694</v>
      </c>
      <c r="B850" s="355" t="s">
        <v>2695</v>
      </c>
      <c r="C850" s="69"/>
      <c r="D850" s="69"/>
      <c r="E850" s="69">
        <v>-22186066.23</v>
      </c>
      <c r="F850" s="69">
        <v>-20932629.25</v>
      </c>
      <c r="G850" s="69"/>
      <c r="H850" s="69"/>
      <c r="K850" s="69"/>
    </row>
    <row r="851" spans="1:11">
      <c r="A851" s="355" t="s">
        <v>2501</v>
      </c>
      <c r="B851" s="355" t="s">
        <v>2502</v>
      </c>
      <c r="C851" s="69"/>
      <c r="D851" s="69"/>
      <c r="E851" s="69"/>
      <c r="F851" s="69">
        <v>-3541797.59</v>
      </c>
      <c r="G851" s="69">
        <v>-22092950.789999999</v>
      </c>
      <c r="H851" s="69"/>
      <c r="K851" s="69"/>
    </row>
    <row r="852" spans="1:11">
      <c r="A852" s="355" t="s">
        <v>2503</v>
      </c>
      <c r="B852" s="355" t="s">
        <v>2504</v>
      </c>
      <c r="C852" s="69">
        <v>0</v>
      </c>
      <c r="D852" s="69">
        <v>-53627.45</v>
      </c>
      <c r="E852" s="69">
        <v>-47172.87</v>
      </c>
      <c r="F852" s="69">
        <v>-34298.47</v>
      </c>
      <c r="G852" s="69">
        <v>-33784.660000000003</v>
      </c>
      <c r="H852" s="69">
        <f>VLOOKUP(A852,Ucto_HK_2021!$A$2:$D$929,4,FALSE)</f>
        <v>-36340.06</v>
      </c>
      <c r="K852" s="69">
        <v>-30449.5</v>
      </c>
    </row>
    <row r="853" spans="1:11">
      <c r="A853" s="355" t="s">
        <v>2505</v>
      </c>
      <c r="B853" s="355" t="s">
        <v>2506</v>
      </c>
      <c r="C853" s="69">
        <v>0</v>
      </c>
      <c r="D853" s="69">
        <v>-385.46</v>
      </c>
      <c r="E853" s="69">
        <v>-595.27</v>
      </c>
      <c r="F853" s="69">
        <v>-444.33</v>
      </c>
      <c r="G853" s="69">
        <v>-333.83</v>
      </c>
      <c r="H853" s="69">
        <f>VLOOKUP(A853,Ucto_HK_2021!$A$2:$D$929,4,FALSE)</f>
        <v>-109.01</v>
      </c>
      <c r="K853" s="69">
        <v>-109.01</v>
      </c>
    </row>
    <row r="854" spans="1:11">
      <c r="A854" s="355" t="s">
        <v>2507</v>
      </c>
      <c r="B854" s="355" t="s">
        <v>2508</v>
      </c>
      <c r="C854" s="69"/>
      <c r="D854" s="69"/>
      <c r="E854" s="69"/>
      <c r="F854" s="69">
        <v>-1299.56</v>
      </c>
      <c r="G854" s="69">
        <v>-2305.27</v>
      </c>
      <c r="H854" s="69">
        <f>VLOOKUP(A854,Ucto_HK_2021!$A$2:$D$929,4,FALSE)</f>
        <v>-903.35</v>
      </c>
      <c r="K854" s="69">
        <v>-550.23</v>
      </c>
    </row>
    <row r="855" spans="1:11">
      <c r="A855" s="355" t="s">
        <v>946</v>
      </c>
      <c r="C855" s="69">
        <v>0</v>
      </c>
      <c r="D855" s="69">
        <v>-2258192.5099999998</v>
      </c>
      <c r="E855" s="69">
        <v>-26046701.420000002</v>
      </c>
      <c r="F855" s="69">
        <v>-25151391.739999998</v>
      </c>
      <c r="G855" s="69">
        <v>-30942791.43</v>
      </c>
      <c r="H855" s="69">
        <f>VLOOKUP(A855,Ucto_HK_2021!$A$2:$D$929,4,FALSE)</f>
        <v>-2101358.66</v>
      </c>
      <c r="K855" s="69">
        <v>-446709.03</v>
      </c>
    </row>
    <row r="856" spans="1:11">
      <c r="A856" s="584" t="s">
        <v>2509</v>
      </c>
      <c r="C856" s="587">
        <v>0</v>
      </c>
      <c r="D856" s="587">
        <v>-2318155.4</v>
      </c>
      <c r="E856" s="69">
        <v>-26047703.530000001</v>
      </c>
      <c r="F856" s="69">
        <v>-25446853.629999999</v>
      </c>
      <c r="G856" s="69">
        <v>-30987820.710000001</v>
      </c>
      <c r="H856" s="69">
        <f>VLOOKUP(A856,Ucto_HK_2021!$A$2:$D$929,4,FALSE)</f>
        <v>-2113476.08</v>
      </c>
      <c r="K856" s="69">
        <v>-446709.03</v>
      </c>
    </row>
    <row r="857" spans="1:11">
      <c r="A857" s="355" t="s">
        <v>2510</v>
      </c>
      <c r="B857" s="355" t="s">
        <v>2511</v>
      </c>
      <c r="C857" s="69">
        <v>0</v>
      </c>
      <c r="D857" s="69">
        <v>-24695</v>
      </c>
      <c r="E857" s="69">
        <v>-13377</v>
      </c>
      <c r="F857" s="69">
        <v>-15286.4</v>
      </c>
      <c r="G857" s="69">
        <v>-19077.52</v>
      </c>
      <c r="H857" s="69">
        <f>VLOOKUP(A857,Ucto_HK_2021!$A$2:$D$929,4,FALSE)</f>
        <v>-213742.71</v>
      </c>
      <c r="K857" s="69"/>
    </row>
    <row r="858" spans="1:11">
      <c r="A858" s="355" t="s">
        <v>2512</v>
      </c>
      <c r="B858" s="355" t="s">
        <v>2513</v>
      </c>
      <c r="C858" s="69">
        <v>0</v>
      </c>
      <c r="D858" s="69">
        <v>-8631</v>
      </c>
      <c r="E858" s="69">
        <v>-4637</v>
      </c>
      <c r="F858" s="69">
        <v>-5345.2</v>
      </c>
      <c r="G858" s="69">
        <v>-6667.74</v>
      </c>
      <c r="H858" s="69">
        <f>VLOOKUP(A858,Ucto_HK_2021!$A$2:$D$929,4,FALSE)</f>
        <v>-72966.62</v>
      </c>
      <c r="K858" s="69"/>
    </row>
    <row r="859" spans="1:11">
      <c r="A859" s="355" t="s">
        <v>950</v>
      </c>
      <c r="C859" s="69">
        <v>0</v>
      </c>
      <c r="D859" s="69">
        <v>-33326</v>
      </c>
      <c r="E859" s="69">
        <v>-18014</v>
      </c>
      <c r="F859" s="69">
        <v>-20631.599999999999</v>
      </c>
      <c r="G859" s="69">
        <v>-25745.26</v>
      </c>
      <c r="H859" s="69">
        <f>VLOOKUP(A859,Ucto_HK_2021!$A$2:$D$929,4,FALSE)</f>
        <v>-286709.33</v>
      </c>
      <c r="K859" s="69"/>
    </row>
    <row r="860" spans="1:11">
      <c r="A860" s="578" t="s">
        <v>2873</v>
      </c>
      <c r="B860" s="578" t="s">
        <v>2874</v>
      </c>
      <c r="C860" s="69"/>
      <c r="D860" s="69"/>
      <c r="E860" s="69"/>
      <c r="F860" s="69"/>
      <c r="G860" s="69"/>
      <c r="H860" s="69">
        <f>VLOOKUP(A860,Ucto_HK_2021!$A$2:$D$929,4,FALSE)</f>
        <v>-265143.77</v>
      </c>
      <c r="K860" s="69"/>
    </row>
    <row r="861" spans="1:11">
      <c r="A861" s="578" t="s">
        <v>2875</v>
      </c>
      <c r="B861" s="578" t="s">
        <v>2876</v>
      </c>
      <c r="C861" s="69"/>
      <c r="D861" s="69"/>
      <c r="E861" s="69"/>
      <c r="F861" s="69"/>
      <c r="G861" s="69"/>
      <c r="H861" s="69">
        <f>VLOOKUP(A861,Ucto_HK_2021!$A$2:$D$929,4,FALSE)</f>
        <v>-92348.2</v>
      </c>
      <c r="K861" s="69"/>
    </row>
    <row r="862" spans="1:11">
      <c r="A862" s="355" t="s">
        <v>2514</v>
      </c>
      <c r="B862" s="355" t="s">
        <v>2515</v>
      </c>
      <c r="C862" s="69">
        <v>0</v>
      </c>
      <c r="D862" s="69">
        <v>-585092.12</v>
      </c>
      <c r="E862" s="69">
        <v>-472362</v>
      </c>
      <c r="F862" s="69">
        <v>-323600</v>
      </c>
      <c r="G862" s="69">
        <v>-46238.97</v>
      </c>
      <c r="H862" s="69">
        <f>VLOOKUP(A862,Ucto_HK_2021!$A$2:$D$929,4,FALSE)</f>
        <v>-604132.47</v>
      </c>
      <c r="K862" s="69">
        <v>-599532.47</v>
      </c>
    </row>
    <row r="863" spans="1:11">
      <c r="A863" s="355" t="s">
        <v>2516</v>
      </c>
      <c r="B863" s="355" t="s">
        <v>2517</v>
      </c>
      <c r="C863" s="69">
        <v>0</v>
      </c>
      <c r="D863" s="69">
        <v>-2515277</v>
      </c>
      <c r="E863" s="69">
        <v>-536560.93999999994</v>
      </c>
      <c r="F863" s="69">
        <v>-2442100</v>
      </c>
      <c r="G863" s="69">
        <v>-725338.73</v>
      </c>
      <c r="H863" s="69"/>
      <c r="K863" s="69"/>
    </row>
    <row r="864" spans="1:11">
      <c r="A864" s="355" t="s">
        <v>952</v>
      </c>
      <c r="C864" s="69">
        <v>0</v>
      </c>
      <c r="D864" s="69">
        <v>-3100369.12</v>
      </c>
      <c r="E864" s="69">
        <v>-1008922.94</v>
      </c>
      <c r="F864" s="69">
        <v>-2765700</v>
      </c>
      <c r="G864" s="69">
        <v>-771577.7</v>
      </c>
      <c r="H864" s="69">
        <f>VLOOKUP(A864,Ucto_HK_2021!$A$2:$D$929,4,FALSE)</f>
        <v>-961624.44</v>
      </c>
      <c r="K864" s="69">
        <v>-599532.47</v>
      </c>
    </row>
    <row r="865" spans="1:11">
      <c r="A865" s="355" t="s">
        <v>2518</v>
      </c>
      <c r="B865" s="355" t="s">
        <v>2519</v>
      </c>
      <c r="C865" s="69">
        <v>0</v>
      </c>
      <c r="D865" s="69">
        <v>-1835.6</v>
      </c>
      <c r="E865" s="69">
        <v>-277247.90999999997</v>
      </c>
      <c r="F865" s="69">
        <v>-2065.8200000000002</v>
      </c>
      <c r="G865" s="69">
        <v>-44851.94</v>
      </c>
      <c r="H865" s="69"/>
      <c r="K865" s="69"/>
    </row>
    <row r="866" spans="1:11">
      <c r="A866" s="355" t="s">
        <v>956</v>
      </c>
      <c r="C866" s="69">
        <v>0</v>
      </c>
      <c r="D866" s="69">
        <v>-1835.6</v>
      </c>
      <c r="E866" s="69">
        <v>-277247.90999999997</v>
      </c>
      <c r="F866" s="69">
        <v>-2065.8200000000002</v>
      </c>
      <c r="G866" s="69">
        <v>-44851.94</v>
      </c>
      <c r="H866" s="69"/>
      <c r="K866" s="69"/>
    </row>
    <row r="867" spans="1:11">
      <c r="A867" s="584" t="s">
        <v>2520</v>
      </c>
      <c r="C867" s="587">
        <v>0</v>
      </c>
      <c r="D867" s="587">
        <v>-3135530.72</v>
      </c>
      <c r="E867" s="69">
        <v>-1304184.8500000001</v>
      </c>
      <c r="F867" s="69">
        <v>-2788397.42</v>
      </c>
      <c r="G867" s="69">
        <v>-842174.9</v>
      </c>
      <c r="H867" s="69">
        <f>VLOOKUP(A867,Ucto_HK_2021!$A$2:$D$929,4,FALSE)</f>
        <v>-1248333.77</v>
      </c>
      <c r="K867" s="69">
        <v>-599532.47</v>
      </c>
    </row>
    <row r="868" spans="1:11">
      <c r="A868" s="355" t="s">
        <v>2521</v>
      </c>
      <c r="B868" s="355" t="s">
        <v>2522</v>
      </c>
      <c r="C868" s="69">
        <v>0</v>
      </c>
      <c r="D868" s="69">
        <v>-361.68</v>
      </c>
      <c r="E868" s="69">
        <v>-355.56</v>
      </c>
      <c r="F868" s="69">
        <v>-435.33</v>
      </c>
      <c r="G868" s="69">
        <v>-496.01</v>
      </c>
      <c r="H868" s="69">
        <f>VLOOKUP(A868,Ucto_HK_2021!$A$2:$D$929,4,FALSE)</f>
        <v>-1244.3399999999999</v>
      </c>
      <c r="K868" s="69">
        <v>-972.33</v>
      </c>
    </row>
    <row r="869" spans="1:11">
      <c r="A869" s="355" t="s">
        <v>967</v>
      </c>
      <c r="C869" s="69">
        <v>0</v>
      </c>
      <c r="D869" s="69">
        <v>-361.68</v>
      </c>
      <c r="E869" s="69">
        <v>-355.56</v>
      </c>
      <c r="F869" s="69">
        <v>-435.33</v>
      </c>
      <c r="G869" s="69">
        <v>-496.01</v>
      </c>
      <c r="H869" s="69">
        <f>VLOOKUP(A869,Ucto_HK_2021!$A$2:$D$929,4,FALSE)</f>
        <v>-1244.3399999999999</v>
      </c>
      <c r="K869" s="69">
        <v>-972.33</v>
      </c>
    </row>
    <row r="870" spans="1:11">
      <c r="A870" s="578" t="s">
        <v>2523</v>
      </c>
      <c r="B870" s="578" t="s">
        <v>2524</v>
      </c>
      <c r="C870" s="69"/>
      <c r="D870" s="69"/>
      <c r="E870" s="69"/>
      <c r="F870" s="69"/>
      <c r="G870" s="69">
        <v>-44.95</v>
      </c>
      <c r="H870" s="69"/>
      <c r="K870" s="69"/>
    </row>
    <row r="871" spans="1:11">
      <c r="A871" s="578" t="s">
        <v>2525</v>
      </c>
      <c r="B871" s="578" t="s">
        <v>2526</v>
      </c>
      <c r="C871" s="69"/>
      <c r="D871" s="69"/>
      <c r="E871" s="69"/>
      <c r="F871" s="69"/>
      <c r="G871" s="69">
        <v>-32.96</v>
      </c>
      <c r="H871" s="69"/>
      <c r="K871" s="69"/>
    </row>
    <row r="872" spans="1:11">
      <c r="A872" s="578" t="s">
        <v>968</v>
      </c>
      <c r="B872"/>
      <c r="C872" s="69"/>
      <c r="D872" s="69"/>
      <c r="E872" s="69"/>
      <c r="F872" s="69"/>
      <c r="G872" s="69">
        <v>-77.91</v>
      </c>
      <c r="H872" s="69"/>
      <c r="K872" s="69"/>
    </row>
    <row r="873" spans="1:11">
      <c r="A873" s="578" t="s">
        <v>2527</v>
      </c>
      <c r="B873" s="578" t="s">
        <v>978</v>
      </c>
      <c r="C873" s="69"/>
      <c r="D873" s="69"/>
      <c r="E873" s="69"/>
      <c r="F873" s="69"/>
      <c r="G873" s="69">
        <v>-156.80000000000001</v>
      </c>
      <c r="H873" s="69">
        <f>VLOOKUP(A873,Ucto_HK_2021!$A$2:$D$929,4,FALSE)</f>
        <v>-190.87</v>
      </c>
      <c r="K873" s="69">
        <v>-190.87</v>
      </c>
    </row>
    <row r="874" spans="1:11">
      <c r="A874" s="355" t="s">
        <v>2528</v>
      </c>
      <c r="B874" s="355" t="s">
        <v>2529</v>
      </c>
      <c r="C874" s="69"/>
      <c r="D874" s="69"/>
      <c r="E874" s="69"/>
      <c r="F874" s="69">
        <v>-2.5099999999999998</v>
      </c>
      <c r="G874" s="69">
        <v>-0.12</v>
      </c>
      <c r="H874" s="69">
        <f>VLOOKUP(A874,Ucto_HK_2021!$A$2:$D$929,4,FALSE)</f>
        <v>-0.26</v>
      </c>
      <c r="K874" s="69">
        <v>-0.26</v>
      </c>
    </row>
    <row r="875" spans="1:11">
      <c r="A875" s="355" t="s">
        <v>977</v>
      </c>
      <c r="C875" s="69"/>
      <c r="D875" s="69"/>
      <c r="E875" s="69"/>
      <c r="F875" s="69">
        <v>-2.5099999999999998</v>
      </c>
      <c r="G875" s="69">
        <v>-156.91999999999999</v>
      </c>
      <c r="H875" s="69">
        <f>VLOOKUP(A875,Ucto_HK_2021!$A$2:$D$929,4,FALSE)</f>
        <v>-191.13</v>
      </c>
      <c r="K875" s="69">
        <v>-191.13</v>
      </c>
    </row>
    <row r="876" spans="1:11">
      <c r="A876" s="584" t="s">
        <v>2530</v>
      </c>
      <c r="C876" s="587">
        <v>0</v>
      </c>
      <c r="D876" s="587">
        <v>-361.68</v>
      </c>
      <c r="E876" s="69">
        <v>-478.89</v>
      </c>
      <c r="F876" s="69">
        <v>-437.84</v>
      </c>
      <c r="G876" s="69">
        <v>-730.84</v>
      </c>
      <c r="H876" s="69">
        <f>VLOOKUP(A876,Ucto_HK_2021!$A$2:$D$929,4,FALSE)</f>
        <v>-1435.47</v>
      </c>
      <c r="K876" s="69">
        <v>-1163.46</v>
      </c>
    </row>
    <row r="877" spans="1:11">
      <c r="A877" s="355" t="s">
        <v>2733</v>
      </c>
      <c r="B877" s="355" t="s">
        <v>985</v>
      </c>
      <c r="C877" s="69">
        <v>0</v>
      </c>
      <c r="D877" s="69">
        <v>-390</v>
      </c>
      <c r="E877" s="69">
        <v>-270</v>
      </c>
      <c r="F877" s="69"/>
      <c r="G877" s="69"/>
      <c r="H877" s="69"/>
      <c r="K877" s="69"/>
    </row>
    <row r="878" spans="1:11">
      <c r="A878" s="355" t="s">
        <v>984</v>
      </c>
      <c r="C878" s="69">
        <v>0</v>
      </c>
      <c r="D878" s="69">
        <v>-390</v>
      </c>
      <c r="E878" s="69">
        <v>-270</v>
      </c>
      <c r="F878" s="69"/>
      <c r="G878" s="69"/>
      <c r="H878" s="69"/>
      <c r="K878" s="69"/>
    </row>
    <row r="879" spans="1:11">
      <c r="A879" s="355" t="s">
        <v>2531</v>
      </c>
      <c r="B879" s="355" t="s">
        <v>987</v>
      </c>
      <c r="C879" s="69">
        <v>0</v>
      </c>
      <c r="D879" s="69">
        <v>-31338.76</v>
      </c>
      <c r="E879" s="69">
        <v>-371.16</v>
      </c>
      <c r="F879" s="69">
        <v>-173.66</v>
      </c>
      <c r="G879" s="69">
        <v>-31555.13</v>
      </c>
      <c r="H879" s="69">
        <f>VLOOKUP(A879,Ucto_HK_2021!$A$2:$D$929,4,FALSE)</f>
        <v>-187.62</v>
      </c>
      <c r="K879" s="69">
        <v>-187.62</v>
      </c>
    </row>
    <row r="880" spans="1:11">
      <c r="A880" s="355" t="s">
        <v>986</v>
      </c>
      <c r="C880" s="69">
        <v>0</v>
      </c>
      <c r="D880" s="69">
        <v>-31338.76</v>
      </c>
      <c r="E880" s="69">
        <v>-371.16</v>
      </c>
      <c r="F880" s="69">
        <v>-173.66</v>
      </c>
      <c r="G880" s="69">
        <v>-31555.13</v>
      </c>
      <c r="H880" s="69">
        <f>VLOOKUP(A880,Ucto_HK_2021!$A$2:$D$929,4,FALSE)</f>
        <v>-187.62</v>
      </c>
      <c r="K880" s="69">
        <v>-187.62</v>
      </c>
    </row>
    <row r="881" spans="1:11">
      <c r="A881" s="584" t="s">
        <v>2532</v>
      </c>
      <c r="C881" s="587">
        <v>0</v>
      </c>
      <c r="D881" s="587">
        <v>-31728.76</v>
      </c>
      <c r="E881" s="69">
        <v>-641.16</v>
      </c>
      <c r="F881" s="69">
        <v>-173.66</v>
      </c>
      <c r="G881" s="69">
        <v>-31555.13</v>
      </c>
      <c r="H881" s="69">
        <f>VLOOKUP(A881,Ucto_HK_2021!$A$2:$D$929,4,FALSE)</f>
        <v>-187.62</v>
      </c>
      <c r="K881" s="69">
        <v>-187.62</v>
      </c>
    </row>
    <row r="882" spans="1:11">
      <c r="C882" s="69"/>
      <c r="D882" s="69"/>
      <c r="E882" s="69"/>
      <c r="F882" s="69"/>
      <c r="G882" s="69"/>
      <c r="H882" s="69"/>
      <c r="K882" s="69"/>
    </row>
    <row r="883" spans="1:11">
      <c r="A883" s="355" t="s">
        <v>2533</v>
      </c>
      <c r="B883" s="355" t="s">
        <v>2534</v>
      </c>
      <c r="C883" s="69">
        <v>0</v>
      </c>
      <c r="D883" s="69">
        <v>-5556.71</v>
      </c>
      <c r="E883" s="69">
        <v>-10716.79</v>
      </c>
      <c r="F883" s="69">
        <v>-600336</v>
      </c>
      <c r="G883" s="69">
        <v>-438702</v>
      </c>
      <c r="H883" s="69">
        <f>VLOOKUP(A883,Ucto_HK_2021!$A$2:$D$929,4,FALSE)</f>
        <v>-417660.26</v>
      </c>
      <c r="K883" s="69">
        <v>-251019.94</v>
      </c>
    </row>
    <row r="884" spans="1:11">
      <c r="A884" s="355" t="s">
        <v>2535</v>
      </c>
      <c r="B884" s="355" t="s">
        <v>2536</v>
      </c>
      <c r="C884" s="69"/>
      <c r="D884" s="69"/>
      <c r="E884" s="69"/>
      <c r="F884" s="69">
        <v>-96589.83</v>
      </c>
      <c r="G884" s="69">
        <v>-97392.24</v>
      </c>
      <c r="H884" s="69"/>
      <c r="K884" s="69"/>
    </row>
    <row r="885" spans="1:11">
      <c r="A885" s="578" t="s">
        <v>2537</v>
      </c>
      <c r="B885" s="588" t="s">
        <v>2538</v>
      </c>
      <c r="C885" s="69"/>
      <c r="D885" s="69"/>
      <c r="E885" s="69"/>
      <c r="F885" s="69"/>
      <c r="G885" s="69">
        <v>-3609091.14</v>
      </c>
      <c r="H885" s="69">
        <f>VLOOKUP(A885,Ucto_HK_2021!$A$2:$D$929,4,FALSE)</f>
        <v>-21394931.390000001</v>
      </c>
      <c r="K885" s="69">
        <v>-14573652.470000001</v>
      </c>
    </row>
    <row r="886" spans="1:11">
      <c r="A886" s="578" t="s">
        <v>2814</v>
      </c>
      <c r="B886" s="588" t="s">
        <v>2815</v>
      </c>
      <c r="C886" s="69"/>
      <c r="D886" s="69"/>
      <c r="E886" s="69"/>
      <c r="F886" s="69"/>
      <c r="G886" s="69"/>
      <c r="H886" s="69">
        <f>VLOOKUP(A886,Ucto_HK_2021!$A$2:$D$929,4,FALSE)</f>
        <v>-16570501.08</v>
      </c>
      <c r="K886" s="69">
        <v>-10885693.76</v>
      </c>
    </row>
    <row r="887" spans="1:11">
      <c r="A887" s="355" t="s">
        <v>989</v>
      </c>
      <c r="C887" s="69">
        <v>0</v>
      </c>
      <c r="D887" s="69">
        <v>-5556.71</v>
      </c>
      <c r="E887" s="69">
        <v>-10716.79</v>
      </c>
      <c r="F887" s="69">
        <v>-696925.83</v>
      </c>
      <c r="G887" s="69">
        <v>-4145185.38</v>
      </c>
      <c r="H887" s="457">
        <f>VLOOKUP(A887,Ucto_HK_2021!$A$2:$D$929,4,FALSE)</f>
        <v>-38383092.729999997</v>
      </c>
      <c r="K887" s="69">
        <v>-25710366.170000002</v>
      </c>
    </row>
    <row r="888" spans="1:11">
      <c r="A888" s="355" t="s">
        <v>2539</v>
      </c>
      <c r="B888" s="355" t="s">
        <v>2540</v>
      </c>
      <c r="C888" s="69">
        <v>0</v>
      </c>
      <c r="D888" s="69">
        <v>-994350.11</v>
      </c>
      <c r="E888" s="69">
        <v>-994300.17</v>
      </c>
      <c r="F888" s="69">
        <v>-1066926.5</v>
      </c>
      <c r="G888" s="69">
        <v>-1468486.67</v>
      </c>
      <c r="H888" s="69">
        <f>VLOOKUP(A888,Ucto_HK_2021!$A$2:$D$929,4,FALSE)</f>
        <v>-1893018.13</v>
      </c>
      <c r="K888" s="69">
        <v>-1612281.34</v>
      </c>
    </row>
    <row r="889" spans="1:11">
      <c r="A889" s="355" t="s">
        <v>2541</v>
      </c>
      <c r="B889" s="355" t="s">
        <v>2542</v>
      </c>
      <c r="C889" s="69">
        <v>0</v>
      </c>
      <c r="D889" s="69">
        <v>-9105.27</v>
      </c>
      <c r="E889" s="69">
        <v>-9223.81</v>
      </c>
      <c r="F889" s="69">
        <v>-9223.86</v>
      </c>
      <c r="G889" s="69">
        <v>-9223.76</v>
      </c>
      <c r="H889" s="69">
        <f>VLOOKUP(A889,Ucto_HK_2021!$A$2:$D$929,4,FALSE)</f>
        <v>-6999.31</v>
      </c>
      <c r="K889" s="69">
        <v>-5970.32</v>
      </c>
    </row>
    <row r="890" spans="1:11">
      <c r="A890" s="355" t="s">
        <v>2543</v>
      </c>
      <c r="B890" s="355" t="s">
        <v>2544</v>
      </c>
      <c r="C890" s="69">
        <v>0</v>
      </c>
      <c r="D890" s="69">
        <v>-51596.43</v>
      </c>
      <c r="E890" s="69">
        <v>-52269.62</v>
      </c>
      <c r="F890" s="69">
        <v>-52269.73</v>
      </c>
      <c r="G890" s="69">
        <v>-52268.98</v>
      </c>
      <c r="H890" s="69">
        <f>VLOOKUP(A890,Ucto_HK_2021!$A$2:$D$929,4,FALSE)</f>
        <v>-39663.230000000003</v>
      </c>
      <c r="K890" s="69">
        <v>-33832.19</v>
      </c>
    </row>
    <row r="891" spans="1:11">
      <c r="A891" s="355" t="s">
        <v>2545</v>
      </c>
      <c r="B891" s="355" t="s">
        <v>2546</v>
      </c>
      <c r="C891" s="69">
        <v>0</v>
      </c>
      <c r="D891" s="69">
        <v>-131682.53</v>
      </c>
      <c r="E891" s="69">
        <v>-132863.57</v>
      </c>
      <c r="F891" s="69">
        <v>-132897.56</v>
      </c>
      <c r="G891" s="69">
        <v>-132896.70000000001</v>
      </c>
      <c r="H891" s="69">
        <f>VLOOKUP(A891,Ucto_HK_2021!$A$2:$D$929,4,FALSE)</f>
        <v>-132975.73000000001</v>
      </c>
      <c r="K891" s="69">
        <v>-110811.95</v>
      </c>
    </row>
    <row r="892" spans="1:11">
      <c r="A892" s="355" t="s">
        <v>2547</v>
      </c>
      <c r="B892" s="355" t="s">
        <v>2548</v>
      </c>
      <c r="C892" s="69">
        <v>0</v>
      </c>
      <c r="D892" s="69">
        <v>-746187.46</v>
      </c>
      <c r="E892" s="69">
        <v>-752884.1</v>
      </c>
      <c r="F892" s="69">
        <v>-753077.17</v>
      </c>
      <c r="G892" s="69">
        <v>-753076.97</v>
      </c>
      <c r="H892" s="69">
        <f>VLOOKUP(A892,Ucto_HK_2021!$A$2:$D$929,4,FALSE)</f>
        <v>-753528.35</v>
      </c>
      <c r="K892" s="69">
        <v>-627933.43999999994</v>
      </c>
    </row>
    <row r="893" spans="1:11">
      <c r="A893" s="355" t="s">
        <v>991</v>
      </c>
      <c r="C893" s="69">
        <v>0</v>
      </c>
      <c r="D893" s="69">
        <v>-1932921.8</v>
      </c>
      <c r="E893" s="69">
        <v>-1941541.27</v>
      </c>
      <c r="F893" s="69">
        <v>-2014394.82</v>
      </c>
      <c r="G893" s="69">
        <v>-2415953.08</v>
      </c>
      <c r="H893" s="457">
        <f>VLOOKUP(A893,Ucto_HK_2021!$A$2:$D$929,4,FALSE)</f>
        <v>-2826184.75</v>
      </c>
      <c r="K893" s="69">
        <v>-2390829.2400000002</v>
      </c>
    </row>
    <row r="894" spans="1:11">
      <c r="A894" s="355" t="s">
        <v>2549</v>
      </c>
      <c r="B894" s="355" t="s">
        <v>2550</v>
      </c>
      <c r="C894" s="69">
        <v>0</v>
      </c>
      <c r="D894" s="69">
        <v>-5360</v>
      </c>
      <c r="E894" s="69">
        <v>-4637.88</v>
      </c>
      <c r="F894" s="69">
        <v>-631078.67000000004</v>
      </c>
      <c r="G894" s="69">
        <v>-143574</v>
      </c>
      <c r="H894" s="69"/>
      <c r="K894" s="69"/>
    </row>
    <row r="895" spans="1:11">
      <c r="A895" s="578" t="s">
        <v>2551</v>
      </c>
      <c r="B895" s="578" t="s">
        <v>2552</v>
      </c>
      <c r="C895" s="69"/>
      <c r="D895" s="69"/>
      <c r="E895" s="69"/>
      <c r="F895" s="69"/>
      <c r="G895" s="69">
        <v>-1151394.26</v>
      </c>
      <c r="H895" s="69">
        <f>VLOOKUP(A895,Ucto_HK_2021!$A$2:$D$929,4,FALSE)</f>
        <v>-180408.64</v>
      </c>
      <c r="K895" s="69">
        <v>-156006.63</v>
      </c>
    </row>
    <row r="896" spans="1:11">
      <c r="A896" s="578" t="s">
        <v>2816</v>
      </c>
      <c r="B896" s="578" t="s">
        <v>2817</v>
      </c>
      <c r="C896" s="69"/>
      <c r="D896" s="69"/>
      <c r="E896" s="69"/>
      <c r="F896" s="69"/>
      <c r="G896" s="69"/>
      <c r="H896" s="69">
        <f>VLOOKUP(A896,Ucto_HK_2021!$A$2:$D$929,4,FALSE)</f>
        <v>-1889002.11</v>
      </c>
      <c r="K896" s="69">
        <v>-832245.9</v>
      </c>
    </row>
    <row r="897" spans="1:11">
      <c r="A897" s="578" t="s">
        <v>2877</v>
      </c>
      <c r="B897" s="578" t="s">
        <v>2878</v>
      </c>
      <c r="C897" s="69"/>
      <c r="D897" s="69"/>
      <c r="E897" s="69"/>
      <c r="F897" s="69"/>
      <c r="G897" s="69"/>
      <c r="H897" s="69">
        <f>VLOOKUP(A897,Ucto_HK_2021!$A$2:$D$929,4,FALSE)</f>
        <v>-3081454.2</v>
      </c>
      <c r="K897" s="69"/>
    </row>
    <row r="898" spans="1:11">
      <c r="A898" s="355" t="s">
        <v>993</v>
      </c>
      <c r="C898" s="69">
        <v>0</v>
      </c>
      <c r="D898" s="69">
        <v>-5360</v>
      </c>
      <c r="E898" s="69">
        <v>-4637.88</v>
      </c>
      <c r="F898" s="69">
        <v>-631078.67000000004</v>
      </c>
      <c r="G898" s="69">
        <v>-1294968.26</v>
      </c>
      <c r="H898" s="457">
        <f>VLOOKUP(A898,Ucto_HK_2021!$A$2:$D$929,4,FALSE)</f>
        <v>-5150864.95</v>
      </c>
      <c r="K898" s="69">
        <v>-988252.53</v>
      </c>
    </row>
    <row r="899" spans="1:11">
      <c r="A899" s="355" t="s">
        <v>2553</v>
      </c>
      <c r="B899" s="355" t="s">
        <v>2554</v>
      </c>
      <c r="C899" s="69">
        <v>0</v>
      </c>
      <c r="D899" s="69">
        <v>-44122.44</v>
      </c>
      <c r="E899" s="69">
        <v>-24297.06</v>
      </c>
      <c r="F899" s="69">
        <v>-32849.74</v>
      </c>
      <c r="G899" s="69">
        <v>-68728.89</v>
      </c>
      <c r="H899" s="69">
        <f>VLOOKUP(A899,Ucto_HK_2021!$A$2:$D$929,4,FALSE)</f>
        <v>-100360.25</v>
      </c>
      <c r="K899" s="69">
        <v>-69149.429999999993</v>
      </c>
    </row>
    <row r="900" spans="1:11">
      <c r="A900" s="355" t="s">
        <v>1001</v>
      </c>
      <c r="C900" s="69">
        <v>0</v>
      </c>
      <c r="D900" s="69">
        <v>-44122.44</v>
      </c>
      <c r="E900" s="69">
        <v>-24297.06</v>
      </c>
      <c r="F900" s="69">
        <v>-32849.74</v>
      </c>
      <c r="G900" s="69">
        <v>-68728.89</v>
      </c>
      <c r="H900" s="69">
        <f>VLOOKUP(A900,Ucto_HK_2021!$A$2:$D$929,4,FALSE)</f>
        <v>-100360.25</v>
      </c>
      <c r="K900" s="69">
        <v>-69149.429999999993</v>
      </c>
    </row>
    <row r="901" spans="1:11">
      <c r="A901" s="355" t="s">
        <v>2555</v>
      </c>
      <c r="B901" s="355" t="s">
        <v>2556</v>
      </c>
      <c r="C901" s="69">
        <v>0</v>
      </c>
      <c r="D901" s="69">
        <v>-22815.13</v>
      </c>
      <c r="E901" s="69">
        <v>-26895.45</v>
      </c>
      <c r="F901" s="69">
        <v>-30021.51</v>
      </c>
      <c r="G901" s="69">
        <v>-32602</v>
      </c>
      <c r="H901" s="69">
        <f>VLOOKUP(A901,Ucto_HK_2021!$A$2:$D$929,4,FALSE)</f>
        <v>-48638.32</v>
      </c>
      <c r="K901" s="69">
        <v>-39903.9</v>
      </c>
    </row>
    <row r="902" spans="1:11">
      <c r="A902" s="355" t="s">
        <v>1003</v>
      </c>
      <c r="C902" s="69">
        <v>0</v>
      </c>
      <c r="D902" s="69">
        <v>-22815.13</v>
      </c>
      <c r="E902" s="69">
        <v>-26895.45</v>
      </c>
      <c r="F902" s="69">
        <v>-30021.51</v>
      </c>
      <c r="G902" s="69">
        <v>-32602</v>
      </c>
      <c r="H902" s="69">
        <f>VLOOKUP(A902,Ucto_HK_2021!$A$2:$D$929,4,FALSE)</f>
        <v>-48638.32</v>
      </c>
      <c r="K902" s="69">
        <v>-39903.9</v>
      </c>
    </row>
    <row r="903" spans="1:11">
      <c r="A903" s="584" t="s">
        <v>2557</v>
      </c>
      <c r="C903" s="587">
        <v>0</v>
      </c>
      <c r="D903" s="587">
        <v>-2010776.08</v>
      </c>
      <c r="E903" s="69">
        <v>-2008088.45</v>
      </c>
      <c r="F903" s="69">
        <v>-3405270.57</v>
      </c>
      <c r="G903" s="69">
        <v>-7957437.6100000003</v>
      </c>
      <c r="H903" s="69">
        <f>VLOOKUP(A903,Ucto_HK_2021!$A$2:$D$929,4,FALSE)</f>
        <v>-46509141</v>
      </c>
      <c r="K903" s="69">
        <v>-29198501.27</v>
      </c>
    </row>
    <row r="904" spans="1:11">
      <c r="A904" s="584" t="s">
        <v>2558</v>
      </c>
      <c r="C904" s="587">
        <v>0</v>
      </c>
      <c r="D904" s="587">
        <v>-99077527.159999996</v>
      </c>
      <c r="E904" s="69">
        <v>-126163364.05</v>
      </c>
      <c r="F904" s="69">
        <v>-138256875</v>
      </c>
      <c r="G904" s="69">
        <v>-153606510.30000001</v>
      </c>
      <c r="H904" s="69">
        <f>VLOOKUP(A904,Ucto_HK_2021!$A$2:$D$929,4,FALSE)</f>
        <v>-180572802.05000001</v>
      </c>
      <c r="K904" s="69">
        <v>-138710866.88</v>
      </c>
    </row>
    <row r="905" spans="1:11">
      <c r="A905" s="355" t="s">
        <v>2559</v>
      </c>
      <c r="B905" s="355" t="s">
        <v>2560</v>
      </c>
      <c r="C905" s="69">
        <v>0</v>
      </c>
      <c r="D905" s="69">
        <v>990920.16</v>
      </c>
      <c r="E905" s="69">
        <v>990920.16</v>
      </c>
      <c r="F905" s="69">
        <v>990920.16</v>
      </c>
      <c r="G905" s="69">
        <v>990920.16</v>
      </c>
      <c r="H905" s="69">
        <f>VLOOKUP(A905,Ucto_HK_2021!$A$2:$D$929,4,FALSE)</f>
        <v>990920.16</v>
      </c>
      <c r="K905" s="69">
        <v>990920.16</v>
      </c>
    </row>
    <row r="906" spans="1:11">
      <c r="A906" s="355" t="s">
        <v>2561</v>
      </c>
      <c r="B906" s="355" t="s">
        <v>2562</v>
      </c>
      <c r="C906" s="69">
        <v>0</v>
      </c>
      <c r="D906" s="69">
        <v>5615214.1699999999</v>
      </c>
      <c r="E906" s="69">
        <v>5615214.1699999999</v>
      </c>
      <c r="F906" s="69">
        <v>5615214.1699999999</v>
      </c>
      <c r="G906" s="69">
        <v>5615214.1699999999</v>
      </c>
      <c r="H906" s="69">
        <f>VLOOKUP(A906,Ucto_HK_2021!$A$2:$D$929,4,FALSE)</f>
        <v>5615214.1699999999</v>
      </c>
      <c r="K906" s="69">
        <v>5615214.1699999999</v>
      </c>
    </row>
    <row r="907" spans="1:11">
      <c r="A907" s="355" t="s">
        <v>2563</v>
      </c>
      <c r="C907" s="69">
        <v>0</v>
      </c>
      <c r="D907" s="69">
        <v>6606134.3300000001</v>
      </c>
      <c r="E907" s="69">
        <v>6606134.3300000001</v>
      </c>
      <c r="F907" s="69">
        <v>6606134.3300000001</v>
      </c>
      <c r="G907" s="69">
        <v>6606134.3300000001</v>
      </c>
      <c r="H907" s="69">
        <f>VLOOKUP(A907,Ucto_HK_2021!$A$2:$D$929,4,FALSE)</f>
        <v>6606134.3300000001</v>
      </c>
      <c r="K907" s="69">
        <v>6606134.3300000001</v>
      </c>
    </row>
    <row r="908" spans="1:11">
      <c r="A908" s="355" t="s">
        <v>2564</v>
      </c>
      <c r="B908" s="355" t="s">
        <v>2565</v>
      </c>
      <c r="C908" s="69">
        <v>431784.05</v>
      </c>
      <c r="D908" s="69">
        <v>433735.23</v>
      </c>
      <c r="E908" s="69">
        <v>434589.35</v>
      </c>
      <c r="F908" s="69">
        <v>435243.31</v>
      </c>
      <c r="G908" s="69">
        <v>435493.98</v>
      </c>
      <c r="H908" s="69">
        <f>VLOOKUP(A908,Ucto_HK_2021!$A$2:$D$929,4,FALSE)</f>
        <v>435493.98</v>
      </c>
      <c r="K908" s="69">
        <v>435493.98</v>
      </c>
    </row>
    <row r="909" spans="1:11">
      <c r="A909" s="355" t="s">
        <v>2566</v>
      </c>
      <c r="C909" s="69">
        <v>431784.05</v>
      </c>
      <c r="D909" s="69">
        <v>433735.23</v>
      </c>
      <c r="E909" s="69">
        <v>434589.35</v>
      </c>
      <c r="F909" s="69">
        <v>435243.31</v>
      </c>
      <c r="G909" s="69">
        <v>435493.98</v>
      </c>
      <c r="H909" s="69">
        <f>VLOOKUP(A909,Ucto_HK_2021!$A$2:$D$929,4,FALSE)</f>
        <v>435493.98</v>
      </c>
      <c r="J909" s="69">
        <f>-SUM(Ucto_HK_summ!H848:H851)</f>
        <v>0</v>
      </c>
      <c r="K909" s="69">
        <v>435493.98</v>
      </c>
    </row>
    <row r="910" spans="1:11">
      <c r="A910" s="355" t="s">
        <v>2567</v>
      </c>
      <c r="B910" s="355" t="s">
        <v>2568</v>
      </c>
      <c r="C910" s="69">
        <v>1370.25</v>
      </c>
      <c r="D910" s="69">
        <v>1370.25</v>
      </c>
      <c r="E910" s="69">
        <v>1370.25</v>
      </c>
      <c r="F910" s="69">
        <v>1370.25</v>
      </c>
      <c r="G910" s="69">
        <v>1370.25</v>
      </c>
      <c r="H910" s="69">
        <f>VLOOKUP(A910,Ucto_HK_2021!$A$2:$D$929,4,FALSE)</f>
        <v>1370.25</v>
      </c>
      <c r="J910" s="69">
        <f>-Ucto_HK_summ!H864</f>
        <v>961624.44</v>
      </c>
      <c r="K910" s="69">
        <v>1370.25</v>
      </c>
    </row>
    <row r="911" spans="1:11">
      <c r="A911" s="355" t="s">
        <v>2569</v>
      </c>
      <c r="B911" s="355" t="s">
        <v>2570</v>
      </c>
      <c r="C911" s="69">
        <v>15443.19</v>
      </c>
      <c r="D911" s="69">
        <v>15639.95</v>
      </c>
      <c r="E911" s="69">
        <v>16801.95</v>
      </c>
      <c r="F911" s="69">
        <v>16220.95</v>
      </c>
      <c r="G911" s="69">
        <v>16642.150000000001</v>
      </c>
      <c r="H911" s="69">
        <f>VLOOKUP(A911,Ucto_HK_2021!$A$2:$D$929,4,FALSE)</f>
        <v>16642.150000000001</v>
      </c>
      <c r="J911" s="69">
        <f>-Ucto_HK_summ!H893-Ucto_HK_summ!H894-Ucto_HK_summ!H900-Ucto_HK_summ!H902</f>
        <v>2975183.32</v>
      </c>
      <c r="K911" s="69">
        <v>16642.150000000001</v>
      </c>
    </row>
    <row r="912" spans="1:11">
      <c r="A912" s="355" t="s">
        <v>2571</v>
      </c>
      <c r="B912" s="355" t="s">
        <v>2572</v>
      </c>
      <c r="C912" s="69">
        <v>1927.28</v>
      </c>
      <c r="D912" s="69">
        <v>1927.28</v>
      </c>
      <c r="E912" s="69">
        <v>2321.1799999999998</v>
      </c>
      <c r="F912" s="69">
        <v>2102.2800000000002</v>
      </c>
      <c r="G912" s="69">
        <v>2138.2800000000002</v>
      </c>
      <c r="H912" s="69">
        <f>VLOOKUP(A912,Ucto_HK_2021!$A$2:$D$929,4,FALSE)</f>
        <v>2198.1799999999998</v>
      </c>
      <c r="J912" s="69">
        <f>-Ucto_HK_summ!H885</f>
        <v>21394931.390000001</v>
      </c>
      <c r="K912" s="69">
        <v>2138.2800000000002</v>
      </c>
    </row>
    <row r="913" spans="1:11">
      <c r="A913" s="355" t="s">
        <v>2573</v>
      </c>
      <c r="B913" s="355" t="s">
        <v>2574</v>
      </c>
      <c r="C913" s="69">
        <v>1855.32</v>
      </c>
      <c r="D913" s="69">
        <v>1245.6500000000001</v>
      </c>
      <c r="E913" s="69">
        <v>1639.55</v>
      </c>
      <c r="F913" s="69">
        <v>1464.55</v>
      </c>
      <c r="G913" s="69">
        <v>1500.55</v>
      </c>
      <c r="H913" s="69">
        <f>VLOOKUP(A913,Ucto_HK_2021!$A$2:$D$929,4,FALSE)</f>
        <v>1500.55</v>
      </c>
      <c r="J913" s="69">
        <f>-Ucto_HK_summ!H886</f>
        <v>16570501.08</v>
      </c>
      <c r="K913" s="69">
        <v>1500.55</v>
      </c>
    </row>
    <row r="914" spans="1:11">
      <c r="A914" s="355" t="s">
        <v>2575</v>
      </c>
      <c r="C914" s="69">
        <v>20596.04</v>
      </c>
      <c r="D914" s="69">
        <v>20183.13</v>
      </c>
      <c r="E914" s="69">
        <v>22132.93</v>
      </c>
      <c r="F914" s="69">
        <v>21158.03</v>
      </c>
      <c r="G914" s="69">
        <v>21651.23</v>
      </c>
      <c r="H914" s="69">
        <f>VLOOKUP(A914,Ucto_HK_2021!$A$2:$D$929,4,FALSE)</f>
        <v>21711.13</v>
      </c>
      <c r="J914" s="69">
        <f>-Ucto_HK_summ!H895-Ucto_HK_summ!H896-Ucto_HK_summ!H897</f>
        <v>5150864.95</v>
      </c>
      <c r="K914" s="69">
        <v>21651.23</v>
      </c>
    </row>
    <row r="915" spans="1:11">
      <c r="A915" s="355" t="s">
        <v>2576</v>
      </c>
      <c r="B915" s="355" t="s">
        <v>2577</v>
      </c>
      <c r="C915" s="69">
        <v>10537641.02</v>
      </c>
      <c r="D915" s="69">
        <v>10532203.359999999</v>
      </c>
      <c r="E915" s="69">
        <v>10750755.189999999</v>
      </c>
      <c r="F915" s="69">
        <v>11373603.800000001</v>
      </c>
      <c r="G915" s="69">
        <v>12062832.130000001</v>
      </c>
      <c r="H915" s="69">
        <f>VLOOKUP(A915,Ucto_HK_2021!$A$2:$D$929,4,FALSE)</f>
        <v>11282754.529999999</v>
      </c>
      <c r="J915" s="69">
        <f>-SUM(Ucto_HK_summ!H829,Ucto_HK_summ!H856,Ucto_HK_summ!H867,Ucto_HK_summ!H876,Ucto_HK_summ!H881,Ucto_HK_summ!H903)-SUM(J909:J914)</f>
        <v>2865478.8000000045</v>
      </c>
      <c r="K915" s="69">
        <v>11154262.210000001</v>
      </c>
    </row>
    <row r="916" spans="1:11">
      <c r="A916" s="355" t="s">
        <v>2578</v>
      </c>
      <c r="B916" s="355" t="s">
        <v>2579</v>
      </c>
      <c r="C916" s="69">
        <v>77656.039999999994</v>
      </c>
      <c r="D916" s="69">
        <v>71984.740000000005</v>
      </c>
      <c r="E916" s="69">
        <v>71256.539999999994</v>
      </c>
      <c r="F916" s="69">
        <v>74228.38</v>
      </c>
      <c r="G916" s="69">
        <v>71377.279999999999</v>
      </c>
      <c r="H916" s="69">
        <f>VLOOKUP(A916,Ucto_HK_2021!$A$2:$D$929,4,FALSE)</f>
        <v>65643.350000000006</v>
      </c>
      <c r="K916" s="69">
        <v>65643.350000000006</v>
      </c>
    </row>
    <row r="917" spans="1:11">
      <c r="A917" s="355" t="s">
        <v>2580</v>
      </c>
      <c r="B917" s="355" t="s">
        <v>2581</v>
      </c>
      <c r="C917" s="69">
        <v>185529.75</v>
      </c>
      <c r="D917" s="69">
        <v>182353.26</v>
      </c>
      <c r="E917" s="69">
        <v>199487.38</v>
      </c>
      <c r="F917" s="69">
        <v>204803.8</v>
      </c>
      <c r="G917" s="69">
        <v>212743.48</v>
      </c>
      <c r="H917" s="69">
        <f>VLOOKUP(A917,Ucto_HK_2021!$A$2:$D$929,4,FALSE)</f>
        <v>207672.5</v>
      </c>
      <c r="K917" s="69">
        <v>207672.5</v>
      </c>
    </row>
    <row r="918" spans="1:11">
      <c r="A918" s="355" t="s">
        <v>2582</v>
      </c>
      <c r="B918" s="355" t="s">
        <v>2583</v>
      </c>
      <c r="C918" s="69">
        <v>7846568.8499999996</v>
      </c>
      <c r="D918" s="69">
        <v>8714989.2100000009</v>
      </c>
      <c r="E918" s="69">
        <v>9272304.6500000004</v>
      </c>
      <c r="F918" s="69">
        <v>9942811.0700000003</v>
      </c>
      <c r="G918" s="69">
        <v>10459866.619999999</v>
      </c>
      <c r="H918" s="69">
        <f>VLOOKUP(A918,Ucto_HK_2021!$A$2:$D$929,4,FALSE)</f>
        <v>10431581.91</v>
      </c>
      <c r="K918" s="69">
        <v>10678092.560000001</v>
      </c>
    </row>
    <row r="919" spans="1:11">
      <c r="A919" s="355" t="s">
        <v>2584</v>
      </c>
      <c r="C919" s="69">
        <v>18647395.66</v>
      </c>
      <c r="D919" s="69">
        <v>19501530.57</v>
      </c>
      <c r="E919" s="69">
        <v>20293803.760000002</v>
      </c>
      <c r="F919" s="69">
        <v>21595447.050000001</v>
      </c>
      <c r="G919" s="69">
        <v>22806819.510000002</v>
      </c>
      <c r="H919" s="69">
        <f>VLOOKUP(A919,Ucto_HK_2021!$A$2:$D$929,4,FALSE)</f>
        <v>21987652.289999999</v>
      </c>
      <c r="K919" s="69">
        <v>22105670.620000001</v>
      </c>
    </row>
    <row r="920" spans="1:11">
      <c r="A920" s="355" t="s">
        <v>2696</v>
      </c>
      <c r="B920" s="355" t="s">
        <v>1180</v>
      </c>
      <c r="C920" s="69"/>
      <c r="D920" s="69"/>
      <c r="E920" s="69"/>
      <c r="F920" s="69">
        <v>0</v>
      </c>
      <c r="G920" s="69"/>
      <c r="H920" s="69" t="e">
        <f>VLOOKUP(A920,Ucto_HK_2021!$A$2:$D$929,4,FALSE)</f>
        <v>#N/A</v>
      </c>
      <c r="K920" s="69"/>
    </row>
    <row r="921" spans="1:11">
      <c r="A921" s="578" t="s">
        <v>2585</v>
      </c>
      <c r="B921" s="578" t="s">
        <v>2586</v>
      </c>
      <c r="C921" s="69"/>
      <c r="D921" s="69"/>
      <c r="E921" s="69"/>
      <c r="F921" s="69"/>
      <c r="G921" s="69">
        <v>143437.20000000001</v>
      </c>
      <c r="H921" s="69">
        <f>VLOOKUP(A921,Ucto_HK_2021!$A$2:$D$929,4,FALSE)</f>
        <v>0</v>
      </c>
      <c r="K921" s="69">
        <v>143437.20000000001</v>
      </c>
    </row>
    <row r="922" spans="1:11">
      <c r="A922" s="355" t="s">
        <v>2587</v>
      </c>
      <c r="C922" s="69"/>
      <c r="D922" s="69"/>
      <c r="E922" s="69"/>
      <c r="F922" s="69">
        <v>0</v>
      </c>
      <c r="G922" s="69">
        <v>143437.20000000001</v>
      </c>
      <c r="H922" s="69">
        <f>VLOOKUP(A922,Ucto_HK_2021!$A$2:$D$929,4,FALSE)</f>
        <v>0</v>
      </c>
      <c r="K922" s="69">
        <v>143437.20000000001</v>
      </c>
    </row>
    <row r="923" spans="1:11">
      <c r="A923" s="584" t="s">
        <v>2588</v>
      </c>
      <c r="C923" s="587">
        <v>19099775.75</v>
      </c>
      <c r="D923" s="587">
        <v>26561583.260000002</v>
      </c>
      <c r="E923" s="69">
        <v>27356660.370000001</v>
      </c>
      <c r="F923" s="69">
        <v>28657982.719999999</v>
      </c>
      <c r="G923" s="69">
        <v>30013536.25</v>
      </c>
      <c r="H923" s="69">
        <f>VLOOKUP(A923,Ucto_HK_2021!$A$2:$D$929,4,FALSE)</f>
        <v>29050991.73</v>
      </c>
      <c r="K923" s="69">
        <v>29312387.359999999</v>
      </c>
    </row>
    <row r="924" spans="1:11">
      <c r="C924" s="69"/>
      <c r="D924" s="69"/>
      <c r="E924" s="69"/>
      <c r="F924" s="69"/>
      <c r="G924" s="69"/>
      <c r="H924" s="69" t="e">
        <f>VLOOKUP(A924,Ucto_HK_2021!$A$2:$D$929,4,FALSE)</f>
        <v>#N/A</v>
      </c>
      <c r="K924" s="69"/>
    </row>
    <row r="925" spans="1:11">
      <c r="A925" s="355" t="s">
        <v>2589</v>
      </c>
      <c r="B925" s="355" t="s">
        <v>2590</v>
      </c>
      <c r="C925" s="69">
        <v>2768519.83</v>
      </c>
      <c r="D925" s="69">
        <v>2622837.2999999998</v>
      </c>
      <c r="E925" s="69">
        <v>2622837.2999999998</v>
      </c>
      <c r="F925" s="69">
        <v>2622837.2999999998</v>
      </c>
      <c r="G925" s="69">
        <v>2622837.2999999998</v>
      </c>
      <c r="H925" s="69">
        <f>VLOOKUP(A925,Ucto_HK_2021!$A$2:$D$929,4,FALSE)</f>
        <v>2622837.2999999998</v>
      </c>
      <c r="K925" s="69">
        <v>2622837.2999999998</v>
      </c>
    </row>
    <row r="926" spans="1:11">
      <c r="A926" s="355" t="s">
        <v>2591</v>
      </c>
      <c r="B926" s="355" t="s">
        <v>2592</v>
      </c>
      <c r="C926" s="69">
        <v>-2768519.83</v>
      </c>
      <c r="D926" s="69">
        <v>-2622837.2999999998</v>
      </c>
      <c r="E926" s="69">
        <v>-2622837.2999999998</v>
      </c>
      <c r="F926" s="69">
        <v>-2622837.2999999998</v>
      </c>
      <c r="G926" s="69">
        <v>-2622837.2999999998</v>
      </c>
      <c r="H926" s="69">
        <f>VLOOKUP(A926,Ucto_HK_2021!$A$2:$D$929,4,FALSE)</f>
        <v>-2622837.2999999998</v>
      </c>
      <c r="K926" s="69">
        <v>-2622837.2999999998</v>
      </c>
    </row>
    <row r="927" spans="1:11">
      <c r="A927" s="355" t="s">
        <v>2766</v>
      </c>
      <c r="C927" s="69">
        <v>0</v>
      </c>
      <c r="D927" s="69">
        <v>0</v>
      </c>
      <c r="E927" s="552" t="s">
        <v>2820</v>
      </c>
      <c r="F927" s="69"/>
      <c r="G927" s="69"/>
      <c r="H927" s="69" t="e">
        <f>VLOOKUP(A927,Ucto_HK_2021!$A$2:$D$929,4,FALSE)</f>
        <v>#N/A</v>
      </c>
      <c r="K927" s="69"/>
    </row>
    <row r="928" spans="1:11">
      <c r="A928" s="584" t="s">
        <v>2767</v>
      </c>
      <c r="C928" s="587">
        <v>0</v>
      </c>
      <c r="D928" s="587">
        <v>0</v>
      </c>
      <c r="E928" s="69"/>
      <c r="F928" s="69"/>
      <c r="G928" s="69"/>
      <c r="H928" s="69" t="e">
        <f>VLOOKUP(A928,Ucto_HK_2021!$A$2:$D$929,4,FALSE)</f>
        <v>#N/A</v>
      </c>
      <c r="J928" s="69"/>
      <c r="K928" s="69"/>
    </row>
    <row r="929" spans="1:11">
      <c r="A929" s="355" t="s">
        <v>2593</v>
      </c>
      <c r="B929" s="355" t="s">
        <v>2594</v>
      </c>
      <c r="C929" s="69">
        <v>88085.57</v>
      </c>
      <c r="D929" s="69">
        <v>92298.46</v>
      </c>
      <c r="E929" s="69">
        <v>93027.41</v>
      </c>
      <c r="F929" s="69">
        <v>93372.21</v>
      </c>
      <c r="G929" s="69">
        <v>124793.33</v>
      </c>
      <c r="H929" s="69">
        <f>VLOOKUP(A929,Ucto_HK_2021!$A$2:$D$929,4,FALSE)</f>
        <v>124793.33</v>
      </c>
      <c r="K929" s="69">
        <v>124793.33</v>
      </c>
    </row>
    <row r="930" spans="1:11">
      <c r="A930" s="355" t="s">
        <v>2595</v>
      </c>
      <c r="C930" s="69">
        <v>88085.57</v>
      </c>
      <c r="D930" s="69">
        <v>92298.46</v>
      </c>
      <c r="E930" s="69">
        <v>93027.41</v>
      </c>
      <c r="F930" s="69">
        <v>93372.21</v>
      </c>
      <c r="G930" s="69">
        <v>124793.33</v>
      </c>
      <c r="H930" s="69">
        <f>VLOOKUP(A930,Ucto_HK_2021!$A$2:$D$929,4,FALSE)</f>
        <v>124793.33</v>
      </c>
      <c r="K930" s="69">
        <v>124793.33</v>
      </c>
    </row>
    <row r="931" spans="1:11">
      <c r="A931" s="584" t="s">
        <v>2596</v>
      </c>
      <c r="C931" s="587">
        <v>88085.57</v>
      </c>
      <c r="D931" s="587">
        <v>92298.46</v>
      </c>
      <c r="E931" s="69">
        <v>93027.41</v>
      </c>
      <c r="F931" s="69">
        <v>93372.21</v>
      </c>
      <c r="G931" s="69">
        <v>124793.33</v>
      </c>
      <c r="H931" s="69">
        <f>VLOOKUP(A931,Ucto_HK_2021!$A$2:$D$929,4,FALSE)</f>
        <v>124793.33</v>
      </c>
      <c r="K931" s="69">
        <v>124793.33</v>
      </c>
    </row>
    <row r="932" spans="1:11">
      <c r="A932" s="355" t="s">
        <v>2597</v>
      </c>
      <c r="B932" s="355" t="s">
        <v>2598</v>
      </c>
      <c r="C932" s="69">
        <v>16749.62</v>
      </c>
      <c r="D932" s="69">
        <v>19905.32</v>
      </c>
      <c r="E932" s="69">
        <v>21570.14</v>
      </c>
      <c r="F932" s="69">
        <v>26146.94</v>
      </c>
      <c r="G932" s="69">
        <v>23861.48</v>
      </c>
      <c r="H932" s="69">
        <f>VLOOKUP(A932,Ucto_HK_2021!$A$2:$D$929,4,FALSE)</f>
        <v>18669.259999999998</v>
      </c>
      <c r="K932" s="69">
        <v>23456.34</v>
      </c>
    </row>
    <row r="933" spans="1:11">
      <c r="A933" s="355" t="s">
        <v>2599</v>
      </c>
      <c r="B933" s="355" t="s">
        <v>2600</v>
      </c>
      <c r="C933" s="69">
        <v>29410.12</v>
      </c>
      <c r="D933" s="69">
        <v>23972.82</v>
      </c>
      <c r="E933" s="69">
        <v>27151.22</v>
      </c>
      <c r="F933" s="69">
        <v>25956.34</v>
      </c>
      <c r="G933" s="69">
        <v>33518.639999999999</v>
      </c>
      <c r="H933" s="69">
        <f>VLOOKUP(A933,Ucto_HK_2021!$A$2:$D$929,4,FALSE)</f>
        <v>35218.1</v>
      </c>
      <c r="K933" s="69">
        <v>16858.8</v>
      </c>
    </row>
    <row r="934" spans="1:11">
      <c r="A934" s="355" t="s">
        <v>2601</v>
      </c>
      <c r="C934" s="69">
        <v>46159.74</v>
      </c>
      <c r="D934" s="69">
        <v>43878.14</v>
      </c>
      <c r="E934" s="69">
        <v>48721.36</v>
      </c>
      <c r="F934" s="69">
        <v>52103.28</v>
      </c>
      <c r="G934" s="69">
        <v>57380.12</v>
      </c>
      <c r="H934" s="69">
        <f>VLOOKUP(A934,Ucto_HK_2021!$A$2:$D$929,4,FALSE)</f>
        <v>53887.360000000001</v>
      </c>
      <c r="K934" s="69">
        <v>40315.14</v>
      </c>
    </row>
    <row r="935" spans="1:11">
      <c r="A935" s="584" t="s">
        <v>2602</v>
      </c>
      <c r="C935" s="587">
        <v>46159.74</v>
      </c>
      <c r="D935" s="587">
        <v>43878.14</v>
      </c>
      <c r="E935" s="69">
        <v>48721.36</v>
      </c>
      <c r="F935" s="69">
        <v>52103.28</v>
      </c>
      <c r="G935" s="69">
        <v>57380.12</v>
      </c>
      <c r="H935" s="69">
        <f>VLOOKUP(A935,Ucto_HK_2021!$A$2:$D$929,4,FALSE)</f>
        <v>53887.360000000001</v>
      </c>
      <c r="K935" s="69">
        <v>40315.14</v>
      </c>
    </row>
    <row r="936" spans="1:11">
      <c r="A936" s="355" t="s">
        <v>2603</v>
      </c>
      <c r="B936" s="355" t="s">
        <v>2604</v>
      </c>
      <c r="C936" s="69">
        <v>-19234021.059999999</v>
      </c>
      <c r="D936" s="69">
        <v>-26697759.859999999</v>
      </c>
      <c r="E936" s="69">
        <v>-27498409.140000001</v>
      </c>
      <c r="F936" s="69">
        <v>-28803458.210000001</v>
      </c>
      <c r="G936" s="69">
        <v>-30195709.699999999</v>
      </c>
      <c r="H936" s="69">
        <f>VLOOKUP(A936,Ucto_HK_2021!$A$2:$D$929,4,FALSE)</f>
        <v>-29229672.420000002</v>
      </c>
      <c r="K936" s="69">
        <v>-29477495.829999998</v>
      </c>
    </row>
    <row r="937" spans="1:11">
      <c r="A937" s="355" t="s">
        <v>2605</v>
      </c>
      <c r="C937" s="69">
        <v>-19234021.059999999</v>
      </c>
      <c r="D937" s="69">
        <v>-26697759.859999999</v>
      </c>
      <c r="E937" s="69">
        <v>-27498409.140000001</v>
      </c>
      <c r="F937" s="69">
        <v>-28803458.210000001</v>
      </c>
      <c r="G937" s="69">
        <v>-30195709.699999999</v>
      </c>
      <c r="H937" s="69">
        <f>VLOOKUP(A937,Ucto_HK_2021!$A$2:$D$929,4,FALSE)</f>
        <v>-29229672.420000002</v>
      </c>
      <c r="K937" s="69">
        <v>-29477495.829999998</v>
      </c>
    </row>
    <row r="938" spans="1:11">
      <c r="A938" s="584" t="s">
        <v>2606</v>
      </c>
      <c r="C938" s="587">
        <v>-19234021.059999999</v>
      </c>
      <c r="D938" s="587">
        <v>-26697759.859999999</v>
      </c>
      <c r="E938" s="69">
        <v>-27498409.140000001</v>
      </c>
      <c r="F938" s="69">
        <v>-28803458.210000001</v>
      </c>
      <c r="G938" s="69">
        <v>-30195709.699999999</v>
      </c>
      <c r="H938" s="69">
        <f>VLOOKUP(A938,Ucto_HK_2021!$A$2:$D$929,4,FALSE)</f>
        <v>-29229672.420000002</v>
      </c>
      <c r="K938" s="69">
        <v>-29477495.829999998</v>
      </c>
    </row>
    <row r="939" spans="1:11">
      <c r="A939" s="584" t="s">
        <v>2607</v>
      </c>
      <c r="C939" s="587">
        <v>0</v>
      </c>
      <c r="D939" s="587">
        <v>0</v>
      </c>
      <c r="E939" s="69">
        <v>0</v>
      </c>
      <c r="F939" s="69">
        <v>0</v>
      </c>
      <c r="G939" s="69">
        <v>0</v>
      </c>
      <c r="H939" s="69">
        <f>VLOOKUP(A939,Ucto_HK_2021!$A$2:$D$929,4,FALSE)</f>
        <v>0</v>
      </c>
      <c r="K939" s="69">
        <v>0</v>
      </c>
    </row>
    <row r="940" spans="1:11">
      <c r="C940" s="69"/>
      <c r="D940" s="69"/>
      <c r="E940" s="69"/>
      <c r="F940" s="69"/>
      <c r="G940" s="69"/>
      <c r="H940" s="69" t="e">
        <f>VLOOKUP(A940,Ucto_HK_2021!$A$2:$D$929,4,FALSE)</f>
        <v>#N/A</v>
      </c>
      <c r="K940" s="69"/>
    </row>
    <row r="941" spans="1:11">
      <c r="A941" s="355" t="s">
        <v>2608</v>
      </c>
      <c r="B941" s="355" t="s">
        <v>2609</v>
      </c>
      <c r="C941" s="69"/>
      <c r="D941" s="69"/>
      <c r="E941" s="69">
        <v>-424390.65</v>
      </c>
      <c r="F941" s="69">
        <v>-459795.7</v>
      </c>
      <c r="G941" s="69">
        <v>-507698.78</v>
      </c>
      <c r="H941" s="69">
        <f>VLOOKUP(A941,Ucto_HK_2021!$A$2:$D$929,4,FALSE)</f>
        <v>-717047.31</v>
      </c>
      <c r="K941" s="69">
        <v>-591918.85</v>
      </c>
    </row>
    <row r="942" spans="1:11">
      <c r="A942" s="355" t="s">
        <v>2610</v>
      </c>
      <c r="B942" s="355" t="s">
        <v>2611</v>
      </c>
      <c r="C942" s="69"/>
      <c r="D942" s="69"/>
      <c r="E942" s="69">
        <v>-121605.32</v>
      </c>
      <c r="F942" s="69">
        <v>-137483.84</v>
      </c>
      <c r="G942" s="69">
        <v>-170273.52</v>
      </c>
      <c r="H942" s="69">
        <f>VLOOKUP(A942,Ucto_HK_2021!$A$2:$D$929,4,FALSE)</f>
        <v>-257633.51</v>
      </c>
      <c r="K942" s="69">
        <v>-205267.22</v>
      </c>
    </row>
    <row r="943" spans="1:11">
      <c r="A943" s="355" t="s">
        <v>2612</v>
      </c>
      <c r="B943" s="355" t="s">
        <v>2613</v>
      </c>
      <c r="C943" s="69"/>
      <c r="D943" s="69"/>
      <c r="E943" s="69">
        <v>-52298.82</v>
      </c>
      <c r="F943" s="69">
        <v>-63034.45</v>
      </c>
      <c r="G943" s="69">
        <v>-88225.43</v>
      </c>
      <c r="H943" s="69">
        <f>VLOOKUP(A943,Ucto_HK_2021!$A$2:$D$929,4,FALSE)</f>
        <v>-150320.01999999999</v>
      </c>
      <c r="K943" s="69">
        <v>-121907.12</v>
      </c>
    </row>
    <row r="944" spans="1:11">
      <c r="A944" s="355" t="s">
        <v>2614</v>
      </c>
      <c r="B944" s="355" t="s">
        <v>2615</v>
      </c>
      <c r="C944" s="69"/>
      <c r="D944" s="69"/>
      <c r="E944" s="69">
        <v>-1452812.14</v>
      </c>
      <c r="F944" s="69">
        <v>-1593664.07</v>
      </c>
      <c r="G944" s="69">
        <v>-1860494.78</v>
      </c>
      <c r="H944" s="69">
        <f>VLOOKUP(A944,Ucto_HK_2021!$A$2:$D$929,4,FALSE)</f>
        <v>-2756219.16</v>
      </c>
      <c r="K944" s="69">
        <v>-2223968.87</v>
      </c>
    </row>
    <row r="945" spans="1:11">
      <c r="A945" s="355" t="s">
        <v>2616</v>
      </c>
      <c r="B945" s="355" t="s">
        <v>2617</v>
      </c>
      <c r="C945" s="69">
        <v>-5563355.3200000003</v>
      </c>
      <c r="D945" s="69">
        <v>-5563355.3200000003</v>
      </c>
      <c r="E945" s="69">
        <v>-2021557.73</v>
      </c>
      <c r="F945" s="69">
        <v>-2021557.73</v>
      </c>
      <c r="G945" s="69">
        <v>0</v>
      </c>
      <c r="H945" s="69" t="e">
        <f>VLOOKUP(A945,Ucto_HK_2021!$A$2:$D$929,4,FALSE)</f>
        <v>#N/A</v>
      </c>
      <c r="K945" s="69"/>
    </row>
    <row r="946" spans="1:11">
      <c r="A946" s="355" t="s">
        <v>2618</v>
      </c>
      <c r="B946" s="355" t="s">
        <v>2619</v>
      </c>
      <c r="C946" s="69">
        <v>0</v>
      </c>
      <c r="D946" s="69">
        <v>-12088963.800000001</v>
      </c>
      <c r="E946" s="69">
        <v>-12088963.800000001</v>
      </c>
      <c r="F946" s="69">
        <v>-12088963.800000001</v>
      </c>
      <c r="G946" s="69">
        <v>0</v>
      </c>
      <c r="H946" s="69" t="e">
        <f>VLOOKUP(A946,Ucto_HK_2021!$A$2:$D$929,4,FALSE)</f>
        <v>#N/A</v>
      </c>
      <c r="K946" s="69"/>
    </row>
    <row r="947" spans="1:11">
      <c r="A947" s="355" t="s">
        <v>2620</v>
      </c>
      <c r="B947" s="589" t="s">
        <v>2621</v>
      </c>
      <c r="C947" s="69"/>
      <c r="D947" s="69"/>
      <c r="E947" s="69">
        <v>-11175744.99</v>
      </c>
      <c r="F947" s="69">
        <v>-12236447.77</v>
      </c>
      <c r="G947" s="69">
        <v>-4254018.51</v>
      </c>
      <c r="H947" s="69">
        <f>VLOOKUP(A947,Ucto_HK_2021!$A$2:$D$929,4,FALSE)</f>
        <v>-4254018.51</v>
      </c>
      <c r="K947" s="69">
        <v>-4254018.51</v>
      </c>
    </row>
    <row r="948" spans="1:11">
      <c r="A948" s="355" t="s">
        <v>2622</v>
      </c>
      <c r="B948" s="355" t="s">
        <v>2623</v>
      </c>
      <c r="C948" s="69"/>
      <c r="D948" s="69"/>
      <c r="E948" s="69"/>
      <c r="F948" s="69">
        <v>-12346470.550000001</v>
      </c>
      <c r="G948" s="69">
        <v>-13510778.92</v>
      </c>
      <c r="H948" s="69">
        <f>VLOOKUP(A948,Ucto_HK_2021!$A$2:$D$929,4,FALSE)</f>
        <v>-13510778.92</v>
      </c>
      <c r="K948" s="69">
        <v>-13510778.92</v>
      </c>
    </row>
    <row r="949" spans="1:11">
      <c r="A949" s="578" t="s">
        <v>2624</v>
      </c>
      <c r="B949" s="578" t="s">
        <v>2625</v>
      </c>
      <c r="C949" s="69"/>
      <c r="D949" s="69"/>
      <c r="E949" s="69"/>
      <c r="F949" s="69"/>
      <c r="G949" s="69">
        <v>-13399961.869999999</v>
      </c>
      <c r="H949" s="69">
        <f>VLOOKUP(A949,Ucto_HK_2021!$A$2:$D$929,4,FALSE)</f>
        <v>-14656779.859999999</v>
      </c>
      <c r="K949" s="69">
        <v>-14656779.859999999</v>
      </c>
    </row>
    <row r="950" spans="1:11">
      <c r="A950" s="578" t="s">
        <v>2818</v>
      </c>
      <c r="B950" s="578" t="s">
        <v>2819</v>
      </c>
      <c r="C950" s="69"/>
      <c r="D950" s="69"/>
      <c r="E950" s="69"/>
      <c r="F950" s="69"/>
      <c r="G950" s="69"/>
      <c r="H950" s="69">
        <f>VLOOKUP(A950,Ucto_HK_2021!$A$2:$D$929,4,FALSE)</f>
        <v>-14084500.57</v>
      </c>
      <c r="K950" s="69">
        <v>-11398208.33</v>
      </c>
    </row>
    <row r="951" spans="1:11">
      <c r="A951" s="355" t="s">
        <v>2626</v>
      </c>
      <c r="B951" s="355" t="s">
        <v>2627</v>
      </c>
      <c r="C951" s="69">
        <v>-608873.73</v>
      </c>
      <c r="D951" s="69">
        <v>-608873.73</v>
      </c>
      <c r="E951" s="69">
        <v>-608873.73</v>
      </c>
      <c r="F951" s="69">
        <v>-608873.73</v>
      </c>
      <c r="G951" s="69">
        <v>-608873.73</v>
      </c>
      <c r="H951" s="69">
        <f>VLOOKUP(A951,Ucto_HK_2021!$A$2:$D$929,4,FALSE)</f>
        <v>-608873.73</v>
      </c>
      <c r="K951" s="69">
        <v>-608873.73</v>
      </c>
    </row>
    <row r="952" spans="1:11">
      <c r="A952" s="355" t="s">
        <v>2628</v>
      </c>
      <c r="B952" s="355" t="s">
        <v>2629</v>
      </c>
      <c r="C952" s="69">
        <v>6172229.0499999998</v>
      </c>
      <c r="D952" s="69">
        <v>18261192.850000001</v>
      </c>
      <c r="E952" s="69">
        <v>27946247.18</v>
      </c>
      <c r="F952" s="69">
        <v>41556291.640000001</v>
      </c>
      <c r="G952" s="69">
        <v>34400325.539999999</v>
      </c>
      <c r="H952" s="69">
        <f>VLOOKUP(A952,Ucto_HK_2021!$A$2:$D$929,4,FALSE)</f>
        <v>50996171.590000004</v>
      </c>
      <c r="K952" s="69">
        <v>47571721.409999996</v>
      </c>
    </row>
    <row r="953" spans="1:11">
      <c r="A953" s="355" t="s">
        <v>2630</v>
      </c>
      <c r="C953" s="69">
        <v>0</v>
      </c>
      <c r="D953" s="69">
        <v>0</v>
      </c>
      <c r="E953" s="69">
        <v>0</v>
      </c>
      <c r="F953" s="69">
        <v>0</v>
      </c>
      <c r="G953" s="69">
        <v>0</v>
      </c>
      <c r="H953" s="69">
        <f>VLOOKUP(A953,Ucto_HK_2021!$A$2:$D$929,4,FALSE)</f>
        <v>0</v>
      </c>
      <c r="K953" s="69">
        <v>0</v>
      </c>
    </row>
    <row r="954" spans="1:11">
      <c r="A954" s="584" t="s">
        <v>2631</v>
      </c>
      <c r="C954" s="587">
        <v>0</v>
      </c>
      <c r="D954" s="587">
        <v>0</v>
      </c>
      <c r="E954" s="69">
        <v>0</v>
      </c>
      <c r="F954" s="69">
        <v>0</v>
      </c>
      <c r="G954" s="69">
        <v>0</v>
      </c>
      <c r="H954" s="69">
        <f>VLOOKUP(A954,Ucto_HK_2021!$A$2:$D$929,4,FALSE)</f>
        <v>0</v>
      </c>
      <c r="K954" s="69">
        <v>0</v>
      </c>
    </row>
    <row r="955" spans="1:11">
      <c r="A955" s="584" t="s">
        <v>2632</v>
      </c>
      <c r="C955" s="587">
        <v>0</v>
      </c>
      <c r="D955" s="587">
        <v>0</v>
      </c>
      <c r="E955" s="69">
        <v>0</v>
      </c>
      <c r="F955" s="69">
        <v>0</v>
      </c>
      <c r="G955" s="69">
        <v>0</v>
      </c>
      <c r="H955" s="69">
        <f>VLOOKUP(A955,Ucto_HK_2021!$A$2:$D$929,4,FALSE)</f>
        <v>0</v>
      </c>
      <c r="K955" s="69">
        <v>0</v>
      </c>
    </row>
    <row r="956" spans="1:11">
      <c r="A956" s="355" t="s">
        <v>2633</v>
      </c>
      <c r="B956" s="355" t="s">
        <v>2634</v>
      </c>
      <c r="C956" s="69"/>
      <c r="D956" s="69"/>
      <c r="E956" s="69"/>
      <c r="F956" s="69">
        <v>-20517725.129999999</v>
      </c>
      <c r="G956" s="69">
        <v>-20517725.129999999</v>
      </c>
      <c r="H956" s="69">
        <f>VLOOKUP(A956,Ucto_HK_2021!$A$2:$D$929,4,FALSE)</f>
        <v>0</v>
      </c>
      <c r="K956" s="69">
        <v>-20517725.129999999</v>
      </c>
    </row>
    <row r="957" spans="1:11">
      <c r="A957" s="355" t="s">
        <v>2635</v>
      </c>
      <c r="B957" s="355" t="s">
        <v>2636</v>
      </c>
      <c r="C957" s="69"/>
      <c r="D957" s="69"/>
      <c r="E957" s="69"/>
      <c r="F957" s="69">
        <v>-492411.63</v>
      </c>
      <c r="G957" s="69">
        <v>-492411.63</v>
      </c>
      <c r="H957" s="69">
        <f>VLOOKUP(A957,Ucto_HK_2021!$A$2:$D$929,4,FALSE)</f>
        <v>0</v>
      </c>
      <c r="K957" s="69">
        <v>-492411.63</v>
      </c>
    </row>
    <row r="958" spans="1:11">
      <c r="A958" s="355" t="s">
        <v>2697</v>
      </c>
      <c r="B958" s="355" t="s">
        <v>2698</v>
      </c>
      <c r="C958" s="69"/>
      <c r="D958" s="69"/>
      <c r="E958" s="69"/>
      <c r="F958" s="69">
        <v>0</v>
      </c>
      <c r="G958" s="69"/>
      <c r="H958" s="69" t="e">
        <f>VLOOKUP(A958,Ucto_HK_2021!$A$2:$D$929,4,FALSE)</f>
        <v>#N/A</v>
      </c>
      <c r="K958" s="69"/>
    </row>
    <row r="959" spans="1:11">
      <c r="A959" s="355" t="s">
        <v>2637</v>
      </c>
      <c r="B959" s="355" t="s">
        <v>2638</v>
      </c>
      <c r="C959" s="69"/>
      <c r="D959" s="69"/>
      <c r="E959" s="69"/>
      <c r="F959" s="69">
        <v>21010136.760000002</v>
      </c>
      <c r="G959" s="69">
        <v>21010136.760000002</v>
      </c>
      <c r="H959" s="69">
        <f>VLOOKUP(A959,Ucto_HK_2021!$A$2:$D$929,4,FALSE)</f>
        <v>0</v>
      </c>
      <c r="K959" s="69">
        <v>21010136.760000002</v>
      </c>
    </row>
    <row r="960" spans="1:11">
      <c r="A960" s="355" t="s">
        <v>2639</v>
      </c>
      <c r="C960" s="69">
        <v>0</v>
      </c>
      <c r="D960" s="69">
        <v>0</v>
      </c>
      <c r="E960" s="69">
        <v>0</v>
      </c>
      <c r="F960" s="69">
        <v>0</v>
      </c>
      <c r="G960" s="69">
        <v>0</v>
      </c>
      <c r="H960" s="69">
        <f>VLOOKUP(A960,Ucto_HK_2021!$A$2:$D$929,4,FALSE)</f>
        <v>0</v>
      </c>
      <c r="K960" s="69">
        <v>0</v>
      </c>
    </row>
    <row r="961" spans="1:11">
      <c r="A961" s="584" t="s">
        <v>2640</v>
      </c>
      <c r="C961" s="587">
        <v>0</v>
      </c>
      <c r="D961" s="587">
        <v>0</v>
      </c>
      <c r="E961" s="69">
        <v>0</v>
      </c>
      <c r="F961" s="69">
        <v>0</v>
      </c>
      <c r="G961" s="69">
        <v>0</v>
      </c>
      <c r="H961" s="69">
        <f>VLOOKUP(A961,Ucto_HK_2021!$A$2:$D$929,4,FALSE)</f>
        <v>0</v>
      </c>
      <c r="K961" s="69">
        <v>0</v>
      </c>
    </row>
    <row r="962" spans="1:11">
      <c r="A962" s="584" t="s">
        <v>2641</v>
      </c>
      <c r="C962" s="587">
        <v>0</v>
      </c>
      <c r="D962" s="587">
        <v>0</v>
      </c>
      <c r="E962" s="69">
        <v>0</v>
      </c>
      <c r="F962" s="69">
        <v>0</v>
      </c>
      <c r="G962" s="69">
        <v>0</v>
      </c>
      <c r="H962" s="69">
        <f>VLOOKUP(A962,Ucto_HK_2021!$A$2:$D$929,4,FALSE)</f>
        <v>0</v>
      </c>
      <c r="K962" s="69">
        <v>0</v>
      </c>
    </row>
    <row r="963" spans="1:11">
      <c r="A963" s="584" t="s">
        <v>1158</v>
      </c>
      <c r="C963" s="587">
        <v>0</v>
      </c>
      <c r="D963" s="587">
        <v>0</v>
      </c>
      <c r="E963" s="69">
        <v>0</v>
      </c>
      <c r="F963" s="69">
        <v>0</v>
      </c>
      <c r="G963" s="69">
        <v>0</v>
      </c>
      <c r="H963" s="69">
        <f>VLOOKUP(A963,Ucto_HK_2021!$A$2:$D$929,4,FALSE)</f>
        <v>0</v>
      </c>
      <c r="K963" s="69">
        <v>0</v>
      </c>
    </row>
    <row r="964" spans="1:11">
      <c r="C964" s="69"/>
      <c r="D964" s="69"/>
      <c r="E964" s="69"/>
      <c r="F964" s="69"/>
      <c r="G964" s="69"/>
      <c r="H964" s="69"/>
      <c r="K964" s="69"/>
    </row>
    <row r="965" spans="1:11">
      <c r="C965" s="69"/>
      <c r="D965" s="69"/>
      <c r="E965" s="69"/>
      <c r="F965" s="69"/>
      <c r="G965" s="69"/>
      <c r="H965" s="69"/>
      <c r="K965" s="69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C1098-FFA1-46CF-A682-D2D8D4CF3269}">
  <sheetPr>
    <tabColor theme="0"/>
  </sheetPr>
  <dimension ref="A1:AL90"/>
  <sheetViews>
    <sheetView workbookViewId="0"/>
  </sheetViews>
  <sheetFormatPr baseColWidth="10" defaultColWidth="9.1640625" defaultRowHeight="15" outlineLevelRow="1"/>
  <cols>
    <col min="1" max="1" width="3.6640625" style="515" customWidth="1"/>
    <col min="2" max="2" width="32.5" style="515" customWidth="1"/>
    <col min="3" max="3" width="8" style="515" customWidth="1"/>
    <col min="4" max="4" width="12.6640625" style="515" customWidth="1"/>
    <col min="5" max="5" width="12.83203125" style="515" customWidth="1"/>
    <col min="6" max="7" width="2.5" style="515" customWidth="1"/>
    <col min="8" max="8" width="3.33203125" style="515" bestFit="1" customWidth="1"/>
    <col min="9" max="26" width="10.6640625" style="515" customWidth="1"/>
    <col min="27" max="29" width="2.83203125" style="515" customWidth="1"/>
    <col min="30" max="34" width="11.5" style="532" customWidth="1"/>
    <col min="35" max="35" width="9.1640625" style="515" customWidth="1"/>
    <col min="36" max="16384" width="9.1640625" style="515"/>
  </cols>
  <sheetData>
    <row r="1" spans="1:38">
      <c r="A1" s="514"/>
      <c r="B1" s="514"/>
      <c r="C1" s="514"/>
      <c r="D1" s="514"/>
      <c r="E1" s="514"/>
      <c r="F1" s="514"/>
      <c r="G1" s="514"/>
      <c r="H1" s="514"/>
      <c r="I1" s="514"/>
      <c r="J1" s="549">
        <v>0</v>
      </c>
      <c r="K1" s="549">
        <v>0</v>
      </c>
      <c r="L1" s="549">
        <v>0</v>
      </c>
      <c r="M1" s="549">
        <v>0</v>
      </c>
      <c r="N1" s="549">
        <v>0</v>
      </c>
      <c r="O1" s="549">
        <v>0.2</v>
      </c>
      <c r="P1" s="549">
        <v>0.6</v>
      </c>
      <c r="Q1" s="549">
        <v>0.85</v>
      </c>
      <c r="R1" s="549">
        <v>1</v>
      </c>
      <c r="S1" s="549">
        <v>1</v>
      </c>
      <c r="T1" s="549">
        <v>1</v>
      </c>
      <c r="U1" s="549">
        <v>1</v>
      </c>
      <c r="V1" s="549">
        <v>1</v>
      </c>
      <c r="W1" s="549">
        <v>1</v>
      </c>
      <c r="X1" s="549">
        <v>1</v>
      </c>
      <c r="Y1" s="549">
        <v>1</v>
      </c>
      <c r="Z1" s="549">
        <v>1</v>
      </c>
      <c r="AD1" s="516" t="s">
        <v>1134</v>
      </c>
      <c r="AE1" s="516"/>
      <c r="AF1" s="516"/>
      <c r="AG1" s="516"/>
      <c r="AH1" s="516"/>
    </row>
    <row r="2" spans="1:38">
      <c r="A2" s="517"/>
      <c r="B2" s="517" t="s">
        <v>1136</v>
      </c>
      <c r="C2" s="517" t="s">
        <v>1137</v>
      </c>
      <c r="D2" s="517" t="s">
        <v>1138</v>
      </c>
      <c r="E2" s="517" t="s">
        <v>1139</v>
      </c>
      <c r="F2" s="517"/>
      <c r="G2" s="517"/>
      <c r="H2" s="518"/>
      <c r="I2" s="519" t="s">
        <v>1140</v>
      </c>
      <c r="J2" s="519" t="s">
        <v>1141</v>
      </c>
      <c r="K2" s="519" t="s">
        <v>1142</v>
      </c>
      <c r="L2" s="520" t="s">
        <v>1143</v>
      </c>
      <c r="M2" s="520" t="s">
        <v>1144</v>
      </c>
      <c r="N2" s="520" t="s">
        <v>1145</v>
      </c>
      <c r="O2" s="520" t="s">
        <v>1146</v>
      </c>
      <c r="P2" s="520" t="s">
        <v>1147</v>
      </c>
      <c r="Q2" s="520" t="s">
        <v>1148</v>
      </c>
      <c r="R2" s="520" t="s">
        <v>1149</v>
      </c>
      <c r="S2" s="520" t="s">
        <v>1150</v>
      </c>
      <c r="T2" s="520" t="s">
        <v>1151</v>
      </c>
      <c r="U2" s="520" t="s">
        <v>1152</v>
      </c>
      <c r="V2" s="520" t="s">
        <v>1153</v>
      </c>
      <c r="W2" s="520" t="s">
        <v>1154</v>
      </c>
      <c r="X2" s="520" t="s">
        <v>1155</v>
      </c>
      <c r="Y2" s="520" t="s">
        <v>1156</v>
      </c>
      <c r="Z2" s="520" t="s">
        <v>1157</v>
      </c>
      <c r="AD2" s="516" t="s">
        <v>1158</v>
      </c>
      <c r="AE2" s="516" t="s">
        <v>1159</v>
      </c>
      <c r="AF2" s="516" t="s">
        <v>1160</v>
      </c>
      <c r="AG2" s="516" t="s">
        <v>1161</v>
      </c>
      <c r="AH2" s="516" t="s">
        <v>1162</v>
      </c>
    </row>
    <row r="3" spans="1:38">
      <c r="A3" s="521"/>
      <c r="B3" s="521"/>
      <c r="C3" s="521"/>
      <c r="D3" s="521"/>
      <c r="E3" s="521"/>
      <c r="F3" s="521"/>
      <c r="G3" s="521"/>
      <c r="H3" s="522"/>
      <c r="I3" s="523"/>
      <c r="J3" s="524">
        <f t="shared" ref="J3:P3" si="0">SUM(J25,J69)</f>
        <v>50878.308301205587</v>
      </c>
      <c r="K3" s="524">
        <f t="shared" si="0"/>
        <v>42074.749266741324</v>
      </c>
      <c r="L3" s="524">
        <f t="shared" si="0"/>
        <v>50878.308301205587</v>
      </c>
      <c r="M3" s="524">
        <f t="shared" si="0"/>
        <v>50891.720501156626</v>
      </c>
      <c r="N3" s="524">
        <f t="shared" si="0"/>
        <v>50369.975691522515</v>
      </c>
      <c r="O3" s="524">
        <f t="shared" si="0"/>
        <v>50399.192185093649</v>
      </c>
      <c r="P3" s="524">
        <f t="shared" si="0"/>
        <v>50436.36428026155</v>
      </c>
      <c r="Q3" s="524">
        <f>SUM(Q25,Q69)*(1+Q4)</f>
        <v>50670.554465037829</v>
      </c>
      <c r="R3" s="524">
        <f t="shared" ref="R3:Z3" si="1">SUM(R25,R69)*(1+R4)</f>
        <v>49030.063287712517</v>
      </c>
      <c r="S3" s="524">
        <f t="shared" si="1"/>
        <v>47644.01500938418</v>
      </c>
      <c r="T3" s="524">
        <f t="shared" si="1"/>
        <v>46963.536197005727</v>
      </c>
      <c r="U3" s="524">
        <f t="shared" si="1"/>
        <v>46971.107373406689</v>
      </c>
      <c r="V3" s="524">
        <f t="shared" si="1"/>
        <v>46952.121627961315</v>
      </c>
      <c r="W3" s="524">
        <f t="shared" si="1"/>
        <v>46945.168025560881</v>
      </c>
      <c r="X3" s="524">
        <f t="shared" si="1"/>
        <v>46921.935328099622</v>
      </c>
      <c r="Y3" s="524">
        <f t="shared" si="1"/>
        <v>46861.3047807322</v>
      </c>
      <c r="Z3" s="524">
        <f t="shared" si="1"/>
        <v>46772.024567338412</v>
      </c>
      <c r="AD3" s="523"/>
      <c r="AE3" s="523"/>
      <c r="AF3" s="523"/>
      <c r="AG3" s="523"/>
      <c r="AH3" s="523"/>
    </row>
    <row r="4" spans="1:38">
      <c r="A4" s="525" t="s">
        <v>1163</v>
      </c>
      <c r="B4" s="526"/>
      <c r="C4" s="526"/>
      <c r="D4" s="526"/>
      <c r="E4" s="526"/>
      <c r="F4" s="526"/>
      <c r="G4" s="526"/>
      <c r="H4" s="527"/>
      <c r="I4" s="519"/>
      <c r="J4" s="519"/>
      <c r="K4" s="519"/>
      <c r="L4" s="519"/>
      <c r="M4" s="519"/>
      <c r="N4" s="519"/>
      <c r="O4" s="519"/>
      <c r="P4" s="519"/>
      <c r="Q4" s="824">
        <v>0</v>
      </c>
      <c r="R4" s="825">
        <f>Q4+($T$4-$Q$4)/3</f>
        <v>-1.6666666666666666E-2</v>
      </c>
      <c r="S4" s="825">
        <f>R4+($T$4-$Q$4)/3</f>
        <v>-3.3333333333333333E-2</v>
      </c>
      <c r="T4" s="824">
        <v>-0.05</v>
      </c>
      <c r="U4" s="825">
        <f>T4</f>
        <v>-0.05</v>
      </c>
      <c r="V4" s="825">
        <f t="shared" ref="V4:Z4" si="2">U4</f>
        <v>-0.05</v>
      </c>
      <c r="W4" s="825">
        <f t="shared" si="2"/>
        <v>-0.05</v>
      </c>
      <c r="X4" s="825">
        <f t="shared" si="2"/>
        <v>-0.05</v>
      </c>
      <c r="Y4" s="825">
        <f t="shared" si="2"/>
        <v>-0.05</v>
      </c>
      <c r="Z4" s="825">
        <f t="shared" si="2"/>
        <v>-0.05</v>
      </c>
      <c r="AD4" s="519"/>
      <c r="AE4" s="519"/>
      <c r="AF4" s="519"/>
      <c r="AG4" s="519"/>
      <c r="AH4" s="519"/>
    </row>
    <row r="5" spans="1:38">
      <c r="A5" s="528">
        <v>1</v>
      </c>
      <c r="B5" s="529" t="s">
        <v>1112</v>
      </c>
      <c r="C5" s="529" t="s">
        <v>1164</v>
      </c>
      <c r="D5" s="530">
        <f t="shared" ref="D5:D24" si="3">Z5-L5</f>
        <v>-984.57214790150556</v>
      </c>
      <c r="E5" s="531">
        <f t="shared" ref="E5:E24" si="4">IFERROR(D5/L5,"n/a")</f>
        <v>-0.11587291372266748</v>
      </c>
      <c r="F5" s="532"/>
      <c r="G5" s="532"/>
      <c r="I5" s="533"/>
      <c r="J5" s="534">
        <v>8497</v>
      </c>
      <c r="K5" s="534">
        <v>7057.0000000000073</v>
      </c>
      <c r="L5" s="535">
        <f>K5*(1+L26)</f>
        <v>8497</v>
      </c>
      <c r="M5" s="535">
        <f t="shared" ref="M5:Z5" si="5">L5*(1+M26)</f>
        <v>8508.4094563552753</v>
      </c>
      <c r="N5" s="535">
        <f t="shared" si="5"/>
        <v>8356.0283868004208</v>
      </c>
      <c r="O5" s="535">
        <f t="shared" si="5"/>
        <v>8371.9528222617882</v>
      </c>
      <c r="P5" s="535">
        <f t="shared" si="5"/>
        <v>8386.2262720933013</v>
      </c>
      <c r="Q5" s="535">
        <f t="shared" si="5"/>
        <v>8440.7469470971682</v>
      </c>
      <c r="R5" s="535">
        <f t="shared" si="5"/>
        <v>8114.6487905858985</v>
      </c>
      <c r="S5" s="535">
        <f t="shared" si="5"/>
        <v>7782.1060767976896</v>
      </c>
      <c r="T5" s="535">
        <f t="shared" si="5"/>
        <v>7744.4258910731487</v>
      </c>
      <c r="U5" s="535">
        <f t="shared" si="5"/>
        <v>7701.5439323295786</v>
      </c>
      <c r="V5" s="535">
        <f t="shared" si="5"/>
        <v>7665.0586435498572</v>
      </c>
      <c r="W5" s="535">
        <f t="shared" si="5"/>
        <v>7627.8900180942319</v>
      </c>
      <c r="X5" s="535">
        <f t="shared" si="5"/>
        <v>7590.0283775605694</v>
      </c>
      <c r="Y5" s="535">
        <f t="shared" si="5"/>
        <v>7551.3197362641813</v>
      </c>
      <c r="Z5" s="535">
        <f t="shared" si="5"/>
        <v>7512.4278520984944</v>
      </c>
      <c r="AD5" s="536">
        <f>Z5-J5</f>
        <v>-984.57214790150556</v>
      </c>
      <c r="AE5" s="537">
        <f>J5</f>
        <v>8497</v>
      </c>
      <c r="AF5" s="537">
        <v>-984.57214790150556</v>
      </c>
      <c r="AG5" s="537">
        <v>0</v>
      </c>
      <c r="AH5" s="537">
        <v>0</v>
      </c>
      <c r="AI5" s="538"/>
      <c r="AJ5" s="539"/>
      <c r="AL5" s="540">
        <v>1280.7489100612352</v>
      </c>
    </row>
    <row r="6" spans="1:38">
      <c r="A6" s="528">
        <v>2</v>
      </c>
      <c r="B6" s="529" t="s">
        <v>1113</v>
      </c>
      <c r="C6" s="529" t="s">
        <v>1164</v>
      </c>
      <c r="D6" s="530">
        <f t="shared" si="3"/>
        <v>-477.048059581708</v>
      </c>
      <c r="E6" s="531">
        <f t="shared" si="4"/>
        <v>-8.5408299987773342E-2</v>
      </c>
      <c r="F6" s="532"/>
      <c r="G6" s="532"/>
      <c r="I6" s="533"/>
      <c r="J6" s="534">
        <v>5585.5</v>
      </c>
      <c r="K6" s="534">
        <v>4295.5000000000091</v>
      </c>
      <c r="L6" s="535">
        <f t="shared" ref="L6:Z24" si="6">K6*(1+L27)</f>
        <v>5585.5</v>
      </c>
      <c r="M6" s="535">
        <f t="shared" si="6"/>
        <v>5593.0000021739897</v>
      </c>
      <c r="N6" s="535">
        <f t="shared" si="6"/>
        <v>5543.338330461288</v>
      </c>
      <c r="O6" s="535">
        <f t="shared" si="6"/>
        <v>5548.3541497917349</v>
      </c>
      <c r="P6" s="535">
        <f t="shared" si="6"/>
        <v>5552.261348653361</v>
      </c>
      <c r="Q6" s="535">
        <f t="shared" si="6"/>
        <v>5559.4429171819711</v>
      </c>
      <c r="R6" s="535">
        <f t="shared" si="6"/>
        <v>5396.7641438914843</v>
      </c>
      <c r="S6" s="535">
        <f t="shared" si="6"/>
        <v>5176.7695790764246</v>
      </c>
      <c r="T6" s="535">
        <f t="shared" si="6"/>
        <v>5164.9049432588226</v>
      </c>
      <c r="U6" s="535">
        <f t="shared" si="6"/>
        <v>5152.2025565724653</v>
      </c>
      <c r="V6" s="535">
        <f t="shared" si="6"/>
        <v>5143.8270777420739</v>
      </c>
      <c r="W6" s="535">
        <f t="shared" si="6"/>
        <v>5135.0535189174589</v>
      </c>
      <c r="X6" s="535">
        <f t="shared" si="6"/>
        <v>5125.872059696494</v>
      </c>
      <c r="Y6" s="535">
        <f t="shared" si="6"/>
        <v>5117.1983735832864</v>
      </c>
      <c r="Z6" s="535">
        <f t="shared" si="6"/>
        <v>5108.451940418292</v>
      </c>
      <c r="AD6" s="536">
        <f t="shared" ref="AD6:AD24" si="7">Z6-J6</f>
        <v>-477.048059581708</v>
      </c>
      <c r="AE6" s="537">
        <f t="shared" ref="AE6:AE25" si="8">J6</f>
        <v>5585.5</v>
      </c>
      <c r="AF6" s="537">
        <v>-477.04805958170709</v>
      </c>
      <c r="AG6" s="537">
        <v>0</v>
      </c>
      <c r="AH6" s="537">
        <v>0</v>
      </c>
      <c r="AI6" s="538"/>
      <c r="AJ6" s="539"/>
      <c r="AL6" s="540">
        <v>647.51555857574067</v>
      </c>
    </row>
    <row r="7" spans="1:38">
      <c r="A7" s="528">
        <v>3</v>
      </c>
      <c r="B7" s="529" t="s">
        <v>1114</v>
      </c>
      <c r="C7" s="529" t="s">
        <v>1164</v>
      </c>
      <c r="D7" s="530">
        <f t="shared" si="3"/>
        <v>-646.28035118842035</v>
      </c>
      <c r="E7" s="531">
        <f t="shared" si="4"/>
        <v>-0.17856145569593315</v>
      </c>
      <c r="F7" s="532"/>
      <c r="G7" s="532"/>
      <c r="I7" s="533"/>
      <c r="J7" s="534">
        <v>3619.3721017202693</v>
      </c>
      <c r="K7" s="534">
        <v>3350.90183906316</v>
      </c>
      <c r="L7" s="535">
        <f t="shared" si="6"/>
        <v>3619.3721017202693</v>
      </c>
      <c r="M7" s="535">
        <f t="shared" si="6"/>
        <v>3624.2320602971881</v>
      </c>
      <c r="N7" s="535">
        <f t="shared" si="6"/>
        <v>3592.0515806406229</v>
      </c>
      <c r="O7" s="535">
        <f t="shared" si="6"/>
        <v>3595.3018029218683</v>
      </c>
      <c r="P7" s="535">
        <f t="shared" si="6"/>
        <v>3597.8336454705459</v>
      </c>
      <c r="Q7" s="535">
        <f t="shared" si="6"/>
        <v>3603.2079024442933</v>
      </c>
      <c r="R7" s="535">
        <f t="shared" si="6"/>
        <v>3034.9140059461438</v>
      </c>
      <c r="S7" s="535">
        <f t="shared" si="6"/>
        <v>3026.6334820911288</v>
      </c>
      <c r="T7" s="535">
        <f t="shared" si="6"/>
        <v>3017.9515862001281</v>
      </c>
      <c r="U7" s="535">
        <f t="shared" si="6"/>
        <v>3008.7730110821863</v>
      </c>
      <c r="V7" s="535">
        <f t="shared" si="6"/>
        <v>3002.1128523249458</v>
      </c>
      <c r="W7" s="535">
        <f t="shared" si="6"/>
        <v>2995.21054888351</v>
      </c>
      <c r="X7" s="535">
        <f t="shared" si="6"/>
        <v>2988.060721179922</v>
      </c>
      <c r="Y7" s="535">
        <f t="shared" si="6"/>
        <v>2980.6009484185524</v>
      </c>
      <c r="Z7" s="535">
        <f t="shared" si="6"/>
        <v>2973.0917505318489</v>
      </c>
      <c r="AD7" s="536">
        <f t="shared" si="7"/>
        <v>-646.28035118842035</v>
      </c>
      <c r="AE7" s="537">
        <f t="shared" si="8"/>
        <v>3619.3721017202693</v>
      </c>
      <c r="AF7" s="537">
        <v>-646.28035118842035</v>
      </c>
      <c r="AG7" s="537">
        <v>0</v>
      </c>
      <c r="AH7" s="537">
        <v>0</v>
      </c>
      <c r="AI7" s="538"/>
      <c r="AJ7" s="539"/>
      <c r="AL7" s="540">
        <v>273.69924151490738</v>
      </c>
    </row>
    <row r="8" spans="1:38">
      <c r="A8" s="528">
        <v>4</v>
      </c>
      <c r="B8" s="529" t="s">
        <v>1115</v>
      </c>
      <c r="C8" s="529" t="s">
        <v>1164</v>
      </c>
      <c r="D8" s="530">
        <f t="shared" si="3"/>
        <v>0.26372933424414668</v>
      </c>
      <c r="E8" s="531">
        <f t="shared" si="4"/>
        <v>6.3150573245275847E-4</v>
      </c>
      <c r="F8" s="532"/>
      <c r="G8" s="532"/>
      <c r="I8" s="533"/>
      <c r="J8" s="534">
        <v>417.61985789080029</v>
      </c>
      <c r="K8" s="534">
        <v>378.57155436236764</v>
      </c>
      <c r="L8" s="535">
        <f t="shared" si="6"/>
        <v>417.61985789080023</v>
      </c>
      <c r="M8" s="535">
        <f t="shared" si="6"/>
        <v>418.18062234198317</v>
      </c>
      <c r="N8" s="535">
        <f t="shared" si="6"/>
        <v>414.88195756399182</v>
      </c>
      <c r="O8" s="535">
        <f t="shared" si="6"/>
        <v>415.67261559571301</v>
      </c>
      <c r="P8" s="535">
        <f t="shared" si="6"/>
        <v>416.38130117373748</v>
      </c>
      <c r="Q8" s="535">
        <f t="shared" si="6"/>
        <v>421.17330262757582</v>
      </c>
      <c r="R8" s="535">
        <f t="shared" si="6"/>
        <v>417.3224418809254</v>
      </c>
      <c r="S8" s="535">
        <f t="shared" si="6"/>
        <v>420.34564856850983</v>
      </c>
      <c r="T8" s="535">
        <f t="shared" si="6"/>
        <v>421.23558682534832</v>
      </c>
      <c r="U8" s="535">
        <f t="shared" si="6"/>
        <v>422.05424437439854</v>
      </c>
      <c r="V8" s="535">
        <f t="shared" si="6"/>
        <v>421.54111367474144</v>
      </c>
      <c r="W8" s="535">
        <f t="shared" si="6"/>
        <v>420.99249995827773</v>
      </c>
      <c r="X8" s="535">
        <f t="shared" si="6"/>
        <v>419.98755429917327</v>
      </c>
      <c r="Y8" s="535">
        <f t="shared" si="6"/>
        <v>418.9390442419753</v>
      </c>
      <c r="Z8" s="535">
        <f t="shared" si="6"/>
        <v>417.88358722504438</v>
      </c>
      <c r="AD8" s="536">
        <f t="shared" si="7"/>
        <v>0.26372933424408984</v>
      </c>
      <c r="AE8" s="537">
        <f t="shared" si="8"/>
        <v>417.61985789080029</v>
      </c>
      <c r="AF8" s="537">
        <v>0.26372933424420353</v>
      </c>
      <c r="AG8" s="537">
        <v>0</v>
      </c>
      <c r="AH8" s="537">
        <v>0</v>
      </c>
      <c r="AI8" s="538"/>
      <c r="AJ8" s="539"/>
      <c r="AL8" s="540">
        <v>37.95350906070059</v>
      </c>
    </row>
    <row r="9" spans="1:38">
      <c r="A9" s="528">
        <v>5</v>
      </c>
      <c r="B9" s="529" t="s">
        <v>1116</v>
      </c>
      <c r="C9" s="529" t="s">
        <v>1164</v>
      </c>
      <c r="D9" s="530">
        <f t="shared" si="3"/>
        <v>-408.25806451612971</v>
      </c>
      <c r="E9" s="531">
        <f t="shared" si="4"/>
        <v>-0.11290322580645179</v>
      </c>
      <c r="F9" s="532"/>
      <c r="G9" s="532"/>
      <c r="I9" s="533"/>
      <c r="J9" s="534">
        <v>3616</v>
      </c>
      <c r="K9" s="534">
        <v>3119.9486007892292</v>
      </c>
      <c r="L9" s="535">
        <f t="shared" si="6"/>
        <v>3616.0000000000005</v>
      </c>
      <c r="M9" s="535">
        <f t="shared" si="6"/>
        <v>3565.9501258293299</v>
      </c>
      <c r="N9" s="535">
        <f t="shared" si="6"/>
        <v>3512.1775337451386</v>
      </c>
      <c r="O9" s="535">
        <f t="shared" si="6"/>
        <v>3456.3367650423247</v>
      </c>
      <c r="P9" s="535">
        <f t="shared" si="6"/>
        <v>3412.9050560512474</v>
      </c>
      <c r="Q9" s="535">
        <f t="shared" si="6"/>
        <v>3359.5460992907806</v>
      </c>
      <c r="R9" s="535">
        <f t="shared" si="6"/>
        <v>3327.2825440402657</v>
      </c>
      <c r="S9" s="535">
        <f t="shared" si="6"/>
        <v>3293.7780828185773</v>
      </c>
      <c r="T9" s="535">
        <f t="shared" si="6"/>
        <v>3270.6145046900028</v>
      </c>
      <c r="U9" s="535">
        <f t="shared" si="6"/>
        <v>3238.7645847632125</v>
      </c>
      <c r="V9" s="535">
        <f t="shared" si="6"/>
        <v>3222.6328071379553</v>
      </c>
      <c r="W9" s="535">
        <f t="shared" si="6"/>
        <v>3212.7055593685659</v>
      </c>
      <c r="X9" s="535">
        <f t="shared" si="6"/>
        <v>3208.5692061313202</v>
      </c>
      <c r="Y9" s="535">
        <f t="shared" si="6"/>
        <v>3200.7101349805534</v>
      </c>
      <c r="Z9" s="535">
        <f t="shared" si="6"/>
        <v>3207.7419354838707</v>
      </c>
      <c r="AD9" s="536">
        <f t="shared" si="7"/>
        <v>-408.25806451612925</v>
      </c>
      <c r="AE9" s="537">
        <f t="shared" si="8"/>
        <v>3616</v>
      </c>
      <c r="AF9" s="537">
        <v>-408.25806451612971</v>
      </c>
      <c r="AG9" s="537">
        <v>0</v>
      </c>
      <c r="AH9" s="537">
        <v>0</v>
      </c>
      <c r="AI9" s="538"/>
      <c r="AJ9" s="539"/>
      <c r="AL9" s="540">
        <v>0</v>
      </c>
    </row>
    <row r="10" spans="1:38">
      <c r="A10" s="528">
        <v>6</v>
      </c>
      <c r="B10" s="529" t="s">
        <v>1117</v>
      </c>
      <c r="C10" s="529" t="s">
        <v>1164</v>
      </c>
      <c r="D10" s="530">
        <f t="shared" si="3"/>
        <v>-260.31157587099983</v>
      </c>
      <c r="E10" s="531">
        <f t="shared" si="4"/>
        <v>-0.12465725158267224</v>
      </c>
      <c r="F10" s="532"/>
      <c r="G10" s="532"/>
      <c r="I10" s="533"/>
      <c r="J10" s="534">
        <v>2088.2184755883386</v>
      </c>
      <c r="K10" s="534">
        <v>1802.0842602609196</v>
      </c>
      <c r="L10" s="535">
        <f t="shared" si="6"/>
        <v>2088.2184755883386</v>
      </c>
      <c r="M10" s="535">
        <f t="shared" si="6"/>
        <v>2091.0224578829725</v>
      </c>
      <c r="N10" s="535">
        <f t="shared" si="6"/>
        <v>2051.5218405058822</v>
      </c>
      <c r="O10" s="535">
        <f t="shared" si="6"/>
        <v>2053.3781340046753</v>
      </c>
      <c r="P10" s="535">
        <f t="shared" si="6"/>
        <v>2054.8241406025004</v>
      </c>
      <c r="Q10" s="535">
        <f t="shared" si="6"/>
        <v>2057.8935301451097</v>
      </c>
      <c r="R10" s="535">
        <f t="shared" si="6"/>
        <v>1976.4128636078885</v>
      </c>
      <c r="S10" s="535">
        <f t="shared" si="6"/>
        <v>1894.4711556639104</v>
      </c>
      <c r="T10" s="535">
        <f t="shared" si="6"/>
        <v>1884.3561361707984</v>
      </c>
      <c r="U10" s="535">
        <f t="shared" si="6"/>
        <v>1873.9221952659454</v>
      </c>
      <c r="V10" s="535">
        <f t="shared" si="6"/>
        <v>1865.0446775830296</v>
      </c>
      <c r="W10" s="535">
        <f t="shared" si="6"/>
        <v>1856.0008919705842</v>
      </c>
      <c r="X10" s="535">
        <f t="shared" si="6"/>
        <v>1846.7884835017603</v>
      </c>
      <c r="Y10" s="535">
        <f t="shared" si="6"/>
        <v>1837.3699847291446</v>
      </c>
      <c r="Z10" s="535">
        <f t="shared" si="6"/>
        <v>1827.9068997173388</v>
      </c>
      <c r="AD10" s="536">
        <f t="shared" si="7"/>
        <v>-260.31157587099983</v>
      </c>
      <c r="AE10" s="537">
        <f t="shared" si="8"/>
        <v>2088.2184755883386</v>
      </c>
      <c r="AF10" s="537">
        <v>-260.31157587099938</v>
      </c>
      <c r="AG10" s="537">
        <v>0</v>
      </c>
      <c r="AH10" s="537">
        <v>0</v>
      </c>
      <c r="AI10" s="538"/>
      <c r="AJ10" s="539"/>
      <c r="AL10" s="540">
        <v>407.39774798676035</v>
      </c>
    </row>
    <row r="11" spans="1:38">
      <c r="A11" s="528">
        <v>7</v>
      </c>
      <c r="B11" s="529" t="s">
        <v>1118</v>
      </c>
      <c r="C11" s="529" t="s">
        <v>1164</v>
      </c>
      <c r="D11" s="530">
        <f t="shared" si="3"/>
        <v>52.290227454871911</v>
      </c>
      <c r="E11" s="531">
        <f t="shared" si="4"/>
        <v>1.7840405136428494E-2</v>
      </c>
      <c r="F11" s="532"/>
      <c r="G11" s="532"/>
      <c r="I11" s="533"/>
      <c r="J11" s="534">
        <v>2931</v>
      </c>
      <c r="K11" s="534">
        <v>2875.0000000000027</v>
      </c>
      <c r="L11" s="535">
        <f t="shared" si="6"/>
        <v>2931</v>
      </c>
      <c r="M11" s="535">
        <f t="shared" si="6"/>
        <v>2934.935638057822</v>
      </c>
      <c r="N11" s="535">
        <f t="shared" si="6"/>
        <v>2938.258178704426</v>
      </c>
      <c r="O11" s="535">
        <f t="shared" si="6"/>
        <v>2940.9168243240892</v>
      </c>
      <c r="P11" s="535">
        <f t="shared" si="6"/>
        <v>2942.9878433250237</v>
      </c>
      <c r="Q11" s="535">
        <f t="shared" si="6"/>
        <v>2947.3839256621145</v>
      </c>
      <c r="R11" s="535">
        <f t="shared" si="6"/>
        <v>2951.1392539246763</v>
      </c>
      <c r="S11" s="535">
        <f t="shared" si="6"/>
        <v>2954.5093752098355</v>
      </c>
      <c r="T11" s="535">
        <f t="shared" si="6"/>
        <v>2957.5124232421103</v>
      </c>
      <c r="U11" s="535">
        <f t="shared" si="6"/>
        <v>2960.0503269432133</v>
      </c>
      <c r="V11" s="535">
        <f t="shared" si="6"/>
        <v>2965.0955250419324</v>
      </c>
      <c r="W11" s="535">
        <f t="shared" si="6"/>
        <v>2969.9403995670223</v>
      </c>
      <c r="X11" s="535">
        <f t="shared" si="6"/>
        <v>2974.5772167035698</v>
      </c>
      <c r="Y11" s="535">
        <f t="shared" si="6"/>
        <v>2978.94111026256</v>
      </c>
      <c r="Z11" s="535">
        <f t="shared" si="6"/>
        <v>2983.2902274548719</v>
      </c>
      <c r="AD11" s="536">
        <f t="shared" si="7"/>
        <v>52.290227454871911</v>
      </c>
      <c r="AE11" s="537">
        <f t="shared" si="8"/>
        <v>2931</v>
      </c>
      <c r="AF11" s="537">
        <v>52.290227454871911</v>
      </c>
      <c r="AG11" s="537">
        <v>0</v>
      </c>
      <c r="AH11" s="537">
        <v>0</v>
      </c>
      <c r="AI11" s="538"/>
      <c r="AJ11" s="539"/>
      <c r="AL11" s="540">
        <v>0</v>
      </c>
    </row>
    <row r="12" spans="1:38">
      <c r="A12" s="528">
        <v>8</v>
      </c>
      <c r="B12" s="529" t="s">
        <v>1119</v>
      </c>
      <c r="C12" s="529" t="s">
        <v>1164</v>
      </c>
      <c r="D12" s="530">
        <f t="shared" si="3"/>
        <v>-234.52466289038875</v>
      </c>
      <c r="E12" s="531">
        <f t="shared" si="4"/>
        <v>-8.4528622414989638E-2</v>
      </c>
      <c r="F12" s="532"/>
      <c r="G12" s="532"/>
      <c r="I12" s="533"/>
      <c r="J12" s="534">
        <v>2774.5</v>
      </c>
      <c r="K12" s="534">
        <v>2123.5000000000036</v>
      </c>
      <c r="L12" s="535">
        <f t="shared" si="6"/>
        <v>2774.5</v>
      </c>
      <c r="M12" s="535">
        <f t="shared" si="6"/>
        <v>2778.2254956640832</v>
      </c>
      <c r="N12" s="535">
        <f t="shared" si="6"/>
        <v>2728.4689607129308</v>
      </c>
      <c r="O12" s="535">
        <f t="shared" si="6"/>
        <v>2733.6687190026291</v>
      </c>
      <c r="P12" s="535">
        <f t="shared" si="6"/>
        <v>2738.3293858918278</v>
      </c>
      <c r="Q12" s="535">
        <f t="shared" si="6"/>
        <v>2769.8439576588407</v>
      </c>
      <c r="R12" s="535">
        <f t="shared" si="6"/>
        <v>2686.7759188662571</v>
      </c>
      <c r="S12" s="535">
        <f t="shared" si="6"/>
        <v>2601.1365183285429</v>
      </c>
      <c r="T12" s="535">
        <f t="shared" si="6"/>
        <v>2600.1846913318132</v>
      </c>
      <c r="U12" s="535">
        <f t="shared" si="6"/>
        <v>2598.7160441193514</v>
      </c>
      <c r="V12" s="535">
        <f t="shared" si="6"/>
        <v>2588.9912934579047</v>
      </c>
      <c r="W12" s="535">
        <f t="shared" si="6"/>
        <v>2579.0134563131796</v>
      </c>
      <c r="X12" s="535">
        <f t="shared" si="6"/>
        <v>2566.2123173110726</v>
      </c>
      <c r="Y12" s="535">
        <f t="shared" si="6"/>
        <v>2553.124804703762</v>
      </c>
      <c r="Z12" s="535">
        <f t="shared" si="6"/>
        <v>2539.9753371096112</v>
      </c>
      <c r="AD12" s="536">
        <f t="shared" si="7"/>
        <v>-234.52466289038875</v>
      </c>
      <c r="AE12" s="537">
        <f t="shared" si="8"/>
        <v>2774.5</v>
      </c>
      <c r="AF12" s="537">
        <v>-234.5246628903883</v>
      </c>
      <c r="AG12" s="537">
        <v>0</v>
      </c>
      <c r="AH12" s="537">
        <v>0</v>
      </c>
      <c r="AI12" s="538"/>
      <c r="AJ12" s="539"/>
      <c r="AL12" s="540">
        <v>414.09433893041762</v>
      </c>
    </row>
    <row r="13" spans="1:38">
      <c r="A13" s="528">
        <v>9</v>
      </c>
      <c r="B13" s="529" t="s">
        <v>387</v>
      </c>
      <c r="C13" s="529" t="s">
        <v>1164</v>
      </c>
      <c r="D13" s="530">
        <f t="shared" si="3"/>
        <v>-353.71835873413829</v>
      </c>
      <c r="E13" s="531">
        <f t="shared" si="4"/>
        <v>-0.18572767589085756</v>
      </c>
      <c r="F13" s="532"/>
      <c r="G13" s="532"/>
      <c r="I13" s="533"/>
      <c r="J13" s="534">
        <v>1904.5</v>
      </c>
      <c r="K13" s="534">
        <v>1357.5000000000009</v>
      </c>
      <c r="L13" s="535">
        <f t="shared" si="6"/>
        <v>1904.5000000000002</v>
      </c>
      <c r="M13" s="535">
        <f t="shared" si="6"/>
        <v>1907.0572919417</v>
      </c>
      <c r="N13" s="535">
        <f t="shared" si="6"/>
        <v>1851.9397203351425</v>
      </c>
      <c r="O13" s="535">
        <f t="shared" si="6"/>
        <v>1853.6154244856607</v>
      </c>
      <c r="P13" s="535">
        <f t="shared" si="6"/>
        <v>1854.9207564599567</v>
      </c>
      <c r="Q13" s="535">
        <f t="shared" si="6"/>
        <v>1857.6915407133372</v>
      </c>
      <c r="R13" s="535">
        <f t="shared" si="6"/>
        <v>1725.827443940495</v>
      </c>
      <c r="S13" s="535">
        <f t="shared" si="6"/>
        <v>1703.8010937443973</v>
      </c>
      <c r="T13" s="535">
        <f t="shared" si="6"/>
        <v>1681.5112960786503</v>
      </c>
      <c r="U13" s="535">
        <f t="shared" si="6"/>
        <v>1658.9120329613233</v>
      </c>
      <c r="V13" s="535">
        <f t="shared" si="6"/>
        <v>1637.656350503584</v>
      </c>
      <c r="W13" s="535">
        <f t="shared" si="6"/>
        <v>1616.2096976089699</v>
      </c>
      <c r="X13" s="535">
        <f t="shared" si="6"/>
        <v>1594.5728096553587</v>
      </c>
      <c r="Y13" s="535">
        <f t="shared" si="6"/>
        <v>1572.7165105432355</v>
      </c>
      <c r="Z13" s="535">
        <f t="shared" si="6"/>
        <v>1550.7816412658619</v>
      </c>
      <c r="AD13" s="536">
        <f t="shared" si="7"/>
        <v>-353.71835873413806</v>
      </c>
      <c r="AE13" s="537">
        <f t="shared" si="8"/>
        <v>1904.5</v>
      </c>
      <c r="AF13" s="537">
        <v>-353.71835873413784</v>
      </c>
      <c r="AG13" s="537">
        <v>0</v>
      </c>
      <c r="AH13" s="537">
        <v>0</v>
      </c>
      <c r="AI13" s="538"/>
      <c r="AJ13" s="539"/>
      <c r="AL13" s="540">
        <v>393.70217927369049</v>
      </c>
    </row>
    <row r="14" spans="1:38">
      <c r="A14" s="528">
        <v>10</v>
      </c>
      <c r="B14" s="529" t="s">
        <v>1120</v>
      </c>
      <c r="C14" s="529" t="s">
        <v>1164</v>
      </c>
      <c r="D14" s="530">
        <f t="shared" si="3"/>
        <v>1.193648163846774</v>
      </c>
      <c r="E14" s="531">
        <f t="shared" si="4"/>
        <v>6.3150573245277192E-4</v>
      </c>
      <c r="F14" s="532"/>
      <c r="G14" s="532"/>
      <c r="I14" s="533"/>
      <c r="J14" s="534">
        <v>1890.1620405101276</v>
      </c>
      <c r="K14" s="534">
        <v>1720.2971169398309</v>
      </c>
      <c r="L14" s="535">
        <f t="shared" si="6"/>
        <v>1890.1620405101276</v>
      </c>
      <c r="M14" s="535">
        <f t="shared" si="6"/>
        <v>1892.7000799717728</v>
      </c>
      <c r="N14" s="535">
        <f t="shared" si="6"/>
        <v>1877.7702081519387</v>
      </c>
      <c r="O14" s="535">
        <f t="shared" si="6"/>
        <v>1881.3487539762</v>
      </c>
      <c r="P14" s="535">
        <f t="shared" si="6"/>
        <v>1884.5562896163974</v>
      </c>
      <c r="Q14" s="535">
        <f t="shared" si="6"/>
        <v>1906.2450553083847</v>
      </c>
      <c r="R14" s="535">
        <f t="shared" si="6"/>
        <v>1888.8159252776179</v>
      </c>
      <c r="S14" s="535">
        <f t="shared" si="6"/>
        <v>1902.4990641741947</v>
      </c>
      <c r="T14" s="535">
        <f t="shared" si="6"/>
        <v>1906.5269557595459</v>
      </c>
      <c r="U14" s="535">
        <f t="shared" si="6"/>
        <v>1910.2322283756685</v>
      </c>
      <c r="V14" s="535">
        <f t="shared" si="6"/>
        <v>1907.9097809345651</v>
      </c>
      <c r="W14" s="535">
        <f t="shared" si="6"/>
        <v>1905.4267361219931</v>
      </c>
      <c r="X14" s="535">
        <f t="shared" si="6"/>
        <v>1900.8783170233223</v>
      </c>
      <c r="Y14" s="535">
        <f t="shared" si="6"/>
        <v>1896.1327239396551</v>
      </c>
      <c r="Z14" s="535">
        <f t="shared" si="6"/>
        <v>1891.3556886739743</v>
      </c>
      <c r="AD14" s="536">
        <f t="shared" si="7"/>
        <v>1.193648163846774</v>
      </c>
      <c r="AE14" s="537">
        <f t="shared" si="8"/>
        <v>1890.1620405101276</v>
      </c>
      <c r="AF14" s="537">
        <v>1.1936481638465466</v>
      </c>
      <c r="AG14" s="537">
        <v>0</v>
      </c>
      <c r="AH14" s="537">
        <v>0</v>
      </c>
      <c r="AI14" s="538"/>
      <c r="AJ14" s="539"/>
      <c r="AL14" s="540">
        <v>274.70311671868888</v>
      </c>
    </row>
    <row r="15" spans="1:38">
      <c r="A15" s="528">
        <v>11</v>
      </c>
      <c r="B15" s="529" t="s">
        <v>375</v>
      </c>
      <c r="C15" s="529" t="s">
        <v>1164</v>
      </c>
      <c r="D15" s="530">
        <f t="shared" si="3"/>
        <v>30.970943316839794</v>
      </c>
      <c r="E15" s="531">
        <f t="shared" si="4"/>
        <v>1.7840405136428449E-2</v>
      </c>
      <c r="F15" s="532"/>
      <c r="G15" s="532"/>
      <c r="I15" s="533"/>
      <c r="J15" s="534">
        <v>1736</v>
      </c>
      <c r="K15" s="534">
        <v>1464.999999999997</v>
      </c>
      <c r="L15" s="535">
        <f t="shared" si="6"/>
        <v>1736.0000000000002</v>
      </c>
      <c r="M15" s="535">
        <f t="shared" si="6"/>
        <v>1738.3310363931694</v>
      </c>
      <c r="N15" s="535">
        <f t="shared" si="6"/>
        <v>1740.2989417369101</v>
      </c>
      <c r="O15" s="535">
        <f t="shared" si="6"/>
        <v>1741.8736291458952</v>
      </c>
      <c r="P15" s="535">
        <f t="shared" si="6"/>
        <v>1743.1002715838422</v>
      </c>
      <c r="Q15" s="535">
        <f t="shared" si="6"/>
        <v>1745.7040242065611</v>
      </c>
      <c r="R15" s="535">
        <f t="shared" si="6"/>
        <v>1747.9282650335169</v>
      </c>
      <c r="S15" s="535">
        <f t="shared" si="6"/>
        <v>1749.924351881363</v>
      </c>
      <c r="T15" s="535">
        <f t="shared" si="6"/>
        <v>1751.7030251614819</v>
      </c>
      <c r="U15" s="535">
        <f t="shared" si="6"/>
        <v>1753.2061984215006</v>
      </c>
      <c r="V15" s="535">
        <f t="shared" si="6"/>
        <v>1756.1944153779577</v>
      </c>
      <c r="W15" s="535">
        <f t="shared" si="6"/>
        <v>1759.0639828209999</v>
      </c>
      <c r="X15" s="535">
        <f t="shared" si="6"/>
        <v>1761.8103200946425</v>
      </c>
      <c r="Y15" s="535">
        <f t="shared" si="6"/>
        <v>1764.395007647835</v>
      </c>
      <c r="Z15" s="535">
        <f t="shared" si="6"/>
        <v>1766.97094331684</v>
      </c>
      <c r="AD15" s="536">
        <f t="shared" si="7"/>
        <v>30.970943316840021</v>
      </c>
      <c r="AE15" s="537">
        <f t="shared" si="8"/>
        <v>1736</v>
      </c>
      <c r="AF15" s="537">
        <v>30.970943316839794</v>
      </c>
      <c r="AG15" s="537">
        <v>0</v>
      </c>
      <c r="AH15" s="537">
        <v>0</v>
      </c>
      <c r="AI15" s="538"/>
      <c r="AJ15" s="539"/>
      <c r="AL15" s="540">
        <v>0</v>
      </c>
    </row>
    <row r="16" spans="1:38">
      <c r="A16" s="528">
        <v>12</v>
      </c>
      <c r="B16" s="529" t="s">
        <v>1121</v>
      </c>
      <c r="C16" s="529" t="s">
        <v>1164</v>
      </c>
      <c r="D16" s="530">
        <f t="shared" si="3"/>
        <v>-124.78190883425407</v>
      </c>
      <c r="E16" s="531">
        <f t="shared" si="4"/>
        <v>-0.12465725158267148</v>
      </c>
      <c r="F16" s="532"/>
      <c r="G16" s="532"/>
      <c r="I16" s="533"/>
      <c r="J16" s="534">
        <v>1000.9999999999993</v>
      </c>
      <c r="K16" s="534">
        <v>799.49999999999989</v>
      </c>
      <c r="L16" s="535">
        <f t="shared" si="6"/>
        <v>1000.9999999999993</v>
      </c>
      <c r="M16" s="535">
        <f t="shared" si="6"/>
        <v>1002.3441056621897</v>
      </c>
      <c r="N16" s="535">
        <f t="shared" si="6"/>
        <v>983.40924877020325</v>
      </c>
      <c r="O16" s="535">
        <f t="shared" si="6"/>
        <v>984.29907414719992</v>
      </c>
      <c r="P16" s="535">
        <f t="shared" si="6"/>
        <v>984.99222604741726</v>
      </c>
      <c r="Q16" s="535">
        <f t="shared" si="6"/>
        <v>986.46355625930369</v>
      </c>
      <c r="R16" s="535">
        <f t="shared" si="6"/>
        <v>947.40531203953697</v>
      </c>
      <c r="S16" s="535">
        <f t="shared" si="6"/>
        <v>908.12606486746472</v>
      </c>
      <c r="T16" s="535">
        <f t="shared" si="6"/>
        <v>903.2773698525657</v>
      </c>
      <c r="U16" s="535">
        <f t="shared" si="6"/>
        <v>898.27579795390932</v>
      </c>
      <c r="V16" s="535">
        <f t="shared" si="6"/>
        <v>894.02030682379916</v>
      </c>
      <c r="W16" s="535">
        <f t="shared" si="6"/>
        <v>889.68511416848685</v>
      </c>
      <c r="X16" s="535">
        <f t="shared" si="6"/>
        <v>885.2690911397209</v>
      </c>
      <c r="Y16" s="535">
        <f t="shared" si="6"/>
        <v>880.75427749277628</v>
      </c>
      <c r="Z16" s="535">
        <f t="shared" si="6"/>
        <v>876.21809116574525</v>
      </c>
      <c r="AD16" s="536">
        <f t="shared" si="7"/>
        <v>-124.78190883425407</v>
      </c>
      <c r="AE16" s="537">
        <f t="shared" si="8"/>
        <v>1000.9999999999993</v>
      </c>
      <c r="AF16" s="537">
        <v>-124.78190883425407</v>
      </c>
      <c r="AG16" s="537">
        <v>0</v>
      </c>
      <c r="AH16" s="537">
        <v>0</v>
      </c>
      <c r="AI16" s="538"/>
      <c r="AJ16" s="539"/>
      <c r="AL16" s="540">
        <v>162.86296750528606</v>
      </c>
    </row>
    <row r="17" spans="1:38">
      <c r="A17" s="528">
        <v>13</v>
      </c>
      <c r="B17" s="529" t="s">
        <v>1122</v>
      </c>
      <c r="C17" s="529" t="s">
        <v>1164</v>
      </c>
      <c r="D17" s="530">
        <f t="shared" si="3"/>
        <v>-92.184037545385877</v>
      </c>
      <c r="E17" s="531">
        <f t="shared" si="4"/>
        <v>-0.12465725158267189</v>
      </c>
      <c r="F17" s="532"/>
      <c r="G17" s="532"/>
      <c r="I17" s="533"/>
      <c r="J17" s="534">
        <v>739.50000000000011</v>
      </c>
      <c r="K17" s="534">
        <v>453.99999999999869</v>
      </c>
      <c r="L17" s="535">
        <f t="shared" si="6"/>
        <v>739.50000000000011</v>
      </c>
      <c r="M17" s="535">
        <f t="shared" si="6"/>
        <v>740.49297316402578</v>
      </c>
      <c r="N17" s="535">
        <f t="shared" si="6"/>
        <v>726.50463483073509</v>
      </c>
      <c r="O17" s="535">
        <f t="shared" si="6"/>
        <v>727.16200332852634</v>
      </c>
      <c r="P17" s="535">
        <f t="shared" si="6"/>
        <v>727.67407708498058</v>
      </c>
      <c r="Q17" s="535">
        <f t="shared" si="6"/>
        <v>728.76103881494078</v>
      </c>
      <c r="R17" s="535">
        <f t="shared" si="6"/>
        <v>699.90632193130682</v>
      </c>
      <c r="S17" s="535">
        <f t="shared" si="6"/>
        <v>670.88833663285777</v>
      </c>
      <c r="T17" s="535">
        <f t="shared" si="6"/>
        <v>667.30630869727554</v>
      </c>
      <c r="U17" s="535">
        <f t="shared" si="6"/>
        <v>663.61134124567081</v>
      </c>
      <c r="V17" s="535">
        <f t="shared" si="6"/>
        <v>660.46754934685305</v>
      </c>
      <c r="W17" s="535">
        <f t="shared" si="6"/>
        <v>657.26487705054592</v>
      </c>
      <c r="X17" s="535">
        <f t="shared" si="6"/>
        <v>654.00249040741653</v>
      </c>
      <c r="Y17" s="535">
        <f t="shared" si="6"/>
        <v>650.66712108482352</v>
      </c>
      <c r="Z17" s="535">
        <f t="shared" si="6"/>
        <v>647.31596245461424</v>
      </c>
      <c r="AD17" s="536">
        <f t="shared" si="7"/>
        <v>-92.184037545385877</v>
      </c>
      <c r="AE17" s="537">
        <f t="shared" si="8"/>
        <v>739.50000000000011</v>
      </c>
      <c r="AF17" s="537">
        <v>-92.184037545385877</v>
      </c>
      <c r="AG17" s="537">
        <v>0</v>
      </c>
      <c r="AH17" s="537">
        <v>0</v>
      </c>
      <c r="AI17" s="538"/>
      <c r="AJ17" s="539"/>
      <c r="AL17" s="540">
        <v>131.85063233877725</v>
      </c>
    </row>
    <row r="18" spans="1:38">
      <c r="A18" s="528">
        <v>14</v>
      </c>
      <c r="B18" s="529" t="s">
        <v>382</v>
      </c>
      <c r="C18" s="529" t="s">
        <v>1164</v>
      </c>
      <c r="D18" s="530">
        <f t="shared" si="3"/>
        <v>777.50331509081138</v>
      </c>
      <c r="E18" s="531">
        <f t="shared" si="4"/>
        <v>1.2830087707769164</v>
      </c>
      <c r="F18" s="532"/>
      <c r="G18" s="532"/>
      <c r="I18" s="533"/>
      <c r="J18" s="534">
        <v>606</v>
      </c>
      <c r="K18" s="534">
        <v>567.50000000000102</v>
      </c>
      <c r="L18" s="535">
        <f t="shared" si="6"/>
        <v>606</v>
      </c>
      <c r="M18" s="535">
        <f t="shared" si="6"/>
        <v>606.81371431697039</v>
      </c>
      <c r="N18" s="535">
        <f t="shared" si="6"/>
        <v>607.50066744963567</v>
      </c>
      <c r="O18" s="535">
        <f t="shared" si="6"/>
        <v>608.05035671797953</v>
      </c>
      <c r="P18" s="535">
        <f t="shared" si="6"/>
        <v>608.47855102523522</v>
      </c>
      <c r="Q18" s="535">
        <f t="shared" si="6"/>
        <v>670.32621113830282</v>
      </c>
      <c r="R18" s="535">
        <f t="shared" si="6"/>
        <v>738.29831775257878</v>
      </c>
      <c r="S18" s="535">
        <f t="shared" si="6"/>
        <v>813.05557793005823</v>
      </c>
      <c r="T18" s="535">
        <f t="shared" si="6"/>
        <v>895.27019002199836</v>
      </c>
      <c r="U18" s="535">
        <f t="shared" si="6"/>
        <v>985.64228425092517</v>
      </c>
      <c r="V18" s="535">
        <f t="shared" si="6"/>
        <v>1086.0544666065916</v>
      </c>
      <c r="W18" s="535">
        <f t="shared" si="6"/>
        <v>1196.6119506741582</v>
      </c>
      <c r="X18" s="535">
        <f t="shared" si="6"/>
        <v>1294.3585729625554</v>
      </c>
      <c r="Y18" s="535">
        <f t="shared" si="6"/>
        <v>1361.0703530925844</v>
      </c>
      <c r="Z18" s="535">
        <f t="shared" si="6"/>
        <v>1383.5033150908114</v>
      </c>
      <c r="AD18" s="536">
        <f t="shared" si="7"/>
        <v>777.50331509081138</v>
      </c>
      <c r="AE18" s="537">
        <f t="shared" si="8"/>
        <v>606</v>
      </c>
      <c r="AF18" s="537">
        <v>777.50331509081116</v>
      </c>
      <c r="AG18" s="537">
        <v>0</v>
      </c>
      <c r="AH18" s="537">
        <v>0</v>
      </c>
      <c r="AI18" s="538"/>
      <c r="AJ18" s="539"/>
      <c r="AL18" s="540">
        <v>0</v>
      </c>
    </row>
    <row r="19" spans="1:38">
      <c r="A19" s="528">
        <v>15</v>
      </c>
      <c r="B19" s="529" t="s">
        <v>1123</v>
      </c>
      <c r="C19" s="529" t="s">
        <v>1164</v>
      </c>
      <c r="D19" s="530">
        <f t="shared" si="3"/>
        <v>9.5065879878839041</v>
      </c>
      <c r="E19" s="531">
        <f t="shared" si="4"/>
        <v>1.7840405136428254E-2</v>
      </c>
      <c r="F19" s="532"/>
      <c r="G19" s="532"/>
      <c r="I19" s="533"/>
      <c r="J19" s="534">
        <v>532.86839145106853</v>
      </c>
      <c r="K19" s="534">
        <v>348.46955990642766</v>
      </c>
      <c r="L19" s="535">
        <f t="shared" si="6"/>
        <v>532.86839145106853</v>
      </c>
      <c r="M19" s="535">
        <f t="shared" si="6"/>
        <v>533.58390735731393</v>
      </c>
      <c r="N19" s="535">
        <f t="shared" si="6"/>
        <v>534.18795952035953</v>
      </c>
      <c r="O19" s="535">
        <f t="shared" si="6"/>
        <v>534.67131271544258</v>
      </c>
      <c r="P19" s="535">
        <f t="shared" si="6"/>
        <v>535.04783286682186</v>
      </c>
      <c r="Q19" s="535">
        <f t="shared" si="6"/>
        <v>535.84705952108732</v>
      </c>
      <c r="R19" s="535">
        <f t="shared" si="6"/>
        <v>536.52979433195117</v>
      </c>
      <c r="S19" s="535">
        <f t="shared" si="6"/>
        <v>537.14249685949051</v>
      </c>
      <c r="T19" s="535">
        <f t="shared" si="6"/>
        <v>537.68846389272437</v>
      </c>
      <c r="U19" s="535">
        <f t="shared" si="6"/>
        <v>538.14986568831102</v>
      </c>
      <c r="V19" s="535">
        <f t="shared" si="6"/>
        <v>539.06710437661411</v>
      </c>
      <c r="W19" s="535">
        <f t="shared" si="6"/>
        <v>539.94792337864988</v>
      </c>
      <c r="X19" s="535">
        <f t="shared" si="6"/>
        <v>540.79091665364297</v>
      </c>
      <c r="Y19" s="535">
        <f t="shared" si="6"/>
        <v>541.58429124976806</v>
      </c>
      <c r="Z19" s="535">
        <f t="shared" si="6"/>
        <v>542.37497943895244</v>
      </c>
      <c r="AD19" s="536">
        <f t="shared" si="7"/>
        <v>9.5065879878839041</v>
      </c>
      <c r="AE19" s="537">
        <f t="shared" si="8"/>
        <v>532.86839145106853</v>
      </c>
      <c r="AF19" s="537">
        <v>9.5065879878839041</v>
      </c>
      <c r="AG19" s="537">
        <v>0</v>
      </c>
      <c r="AH19" s="537">
        <v>0</v>
      </c>
      <c r="AI19" s="538"/>
      <c r="AJ19" s="539"/>
      <c r="AL19" s="540">
        <v>0</v>
      </c>
    </row>
    <row r="20" spans="1:38">
      <c r="A20" s="528">
        <v>16</v>
      </c>
      <c r="B20" s="529" t="s">
        <v>1124</v>
      </c>
      <c r="C20" s="529" t="s">
        <v>1164</v>
      </c>
      <c r="D20" s="530">
        <f t="shared" si="3"/>
        <v>510.87069706157058</v>
      </c>
      <c r="E20" s="531">
        <f t="shared" si="4"/>
        <v>1.6804957140183243</v>
      </c>
      <c r="F20" s="532"/>
      <c r="G20" s="532"/>
      <c r="I20" s="533"/>
      <c r="J20" s="534">
        <v>304</v>
      </c>
      <c r="K20" s="534">
        <v>223.49999999999986</v>
      </c>
      <c r="L20" s="535">
        <f t="shared" si="6"/>
        <v>304</v>
      </c>
      <c r="M20" s="535">
        <f t="shared" si="6"/>
        <v>304.40819992138449</v>
      </c>
      <c r="N20" s="535">
        <f t="shared" si="6"/>
        <v>304.75281007374463</v>
      </c>
      <c r="O20" s="535">
        <f t="shared" si="6"/>
        <v>305.02856178591713</v>
      </c>
      <c r="P20" s="535">
        <f t="shared" si="6"/>
        <v>305.2433655308111</v>
      </c>
      <c r="Q20" s="535">
        <f t="shared" si="6"/>
        <v>305.69932221128727</v>
      </c>
      <c r="R20" s="535">
        <f t="shared" si="6"/>
        <v>806.08882060494773</v>
      </c>
      <c r="S20" s="535">
        <f t="shared" si="6"/>
        <v>807.00935225672833</v>
      </c>
      <c r="T20" s="535">
        <f t="shared" si="6"/>
        <v>807.82961969864493</v>
      </c>
      <c r="U20" s="535">
        <f t="shared" si="6"/>
        <v>808.52283530970442</v>
      </c>
      <c r="V20" s="535">
        <f t="shared" si="6"/>
        <v>809.90090575477279</v>
      </c>
      <c r="W20" s="535">
        <f t="shared" si="6"/>
        <v>811.22425882485072</v>
      </c>
      <c r="X20" s="535">
        <f t="shared" si="6"/>
        <v>812.4907820673543</v>
      </c>
      <c r="Y20" s="535">
        <f t="shared" si="6"/>
        <v>813.68275760952292</v>
      </c>
      <c r="Z20" s="535">
        <f t="shared" si="6"/>
        <v>814.87069706157058</v>
      </c>
      <c r="AD20" s="536">
        <f t="shared" si="7"/>
        <v>510.87069706157058</v>
      </c>
      <c r="AE20" s="537">
        <f t="shared" si="8"/>
        <v>304</v>
      </c>
      <c r="AF20" s="537">
        <v>510.87069706157058</v>
      </c>
      <c r="AG20" s="537">
        <v>0</v>
      </c>
      <c r="AH20" s="537">
        <v>0</v>
      </c>
      <c r="AI20" s="538"/>
      <c r="AJ20" s="539"/>
      <c r="AL20" s="540">
        <v>0</v>
      </c>
    </row>
    <row r="21" spans="1:38">
      <c r="A21" s="528">
        <v>17</v>
      </c>
      <c r="B21" s="529">
        <v>0</v>
      </c>
      <c r="C21" s="529" t="s">
        <v>1164</v>
      </c>
      <c r="D21" s="530">
        <f t="shared" si="3"/>
        <v>0</v>
      </c>
      <c r="E21" s="531" t="str">
        <f t="shared" si="4"/>
        <v>n/a</v>
      </c>
      <c r="F21" s="532"/>
      <c r="G21" s="532"/>
      <c r="I21" s="533"/>
      <c r="J21" s="534">
        <v>0</v>
      </c>
      <c r="K21" s="534">
        <v>0</v>
      </c>
      <c r="L21" s="535">
        <f t="shared" si="6"/>
        <v>0</v>
      </c>
      <c r="M21" s="535">
        <f t="shared" si="6"/>
        <v>0</v>
      </c>
      <c r="N21" s="535">
        <f t="shared" si="6"/>
        <v>0</v>
      </c>
      <c r="O21" s="535">
        <f t="shared" si="6"/>
        <v>0</v>
      </c>
      <c r="P21" s="535">
        <f t="shared" si="6"/>
        <v>0</v>
      </c>
      <c r="Q21" s="535">
        <f t="shared" si="6"/>
        <v>0</v>
      </c>
      <c r="R21" s="535">
        <f t="shared" si="6"/>
        <v>0</v>
      </c>
      <c r="S21" s="535">
        <f t="shared" si="6"/>
        <v>0</v>
      </c>
      <c r="T21" s="535">
        <f t="shared" si="6"/>
        <v>0</v>
      </c>
      <c r="U21" s="535">
        <f t="shared" si="6"/>
        <v>0</v>
      </c>
      <c r="V21" s="535">
        <f t="shared" si="6"/>
        <v>0</v>
      </c>
      <c r="W21" s="535">
        <f t="shared" si="6"/>
        <v>0</v>
      </c>
      <c r="X21" s="535">
        <f t="shared" si="6"/>
        <v>0</v>
      </c>
      <c r="Y21" s="535">
        <f t="shared" si="6"/>
        <v>0</v>
      </c>
      <c r="Z21" s="535">
        <f t="shared" si="6"/>
        <v>0</v>
      </c>
      <c r="AD21" s="536">
        <f t="shared" si="7"/>
        <v>0</v>
      </c>
      <c r="AE21" s="537">
        <f t="shared" si="8"/>
        <v>0</v>
      </c>
      <c r="AF21" s="537">
        <v>0</v>
      </c>
      <c r="AG21" s="537">
        <v>0</v>
      </c>
      <c r="AH21" s="537">
        <v>0</v>
      </c>
      <c r="AI21" s="538"/>
      <c r="AJ21" s="539"/>
      <c r="AL21" s="540">
        <v>0</v>
      </c>
    </row>
    <row r="22" spans="1:38">
      <c r="A22" s="528">
        <v>18</v>
      </c>
      <c r="B22" s="529">
        <v>0</v>
      </c>
      <c r="C22" s="529" t="s">
        <v>1164</v>
      </c>
      <c r="D22" s="530">
        <f t="shared" si="3"/>
        <v>0</v>
      </c>
      <c r="E22" s="531" t="str">
        <f t="shared" si="4"/>
        <v>n/a</v>
      </c>
      <c r="F22" s="532"/>
      <c r="G22" s="532"/>
      <c r="I22" s="533"/>
      <c r="J22" s="534">
        <v>0</v>
      </c>
      <c r="K22" s="534">
        <v>0</v>
      </c>
      <c r="L22" s="535">
        <f t="shared" si="6"/>
        <v>0</v>
      </c>
      <c r="M22" s="535">
        <f t="shared" si="6"/>
        <v>0</v>
      </c>
      <c r="N22" s="535">
        <f t="shared" si="6"/>
        <v>0</v>
      </c>
      <c r="O22" s="535">
        <f t="shared" si="6"/>
        <v>0</v>
      </c>
      <c r="P22" s="535">
        <f t="shared" si="6"/>
        <v>0</v>
      </c>
      <c r="Q22" s="535">
        <f t="shared" si="6"/>
        <v>0</v>
      </c>
      <c r="R22" s="535">
        <f t="shared" si="6"/>
        <v>0</v>
      </c>
      <c r="S22" s="535">
        <f t="shared" si="6"/>
        <v>0</v>
      </c>
      <c r="T22" s="535">
        <f t="shared" si="6"/>
        <v>0</v>
      </c>
      <c r="U22" s="535">
        <f t="shared" si="6"/>
        <v>0</v>
      </c>
      <c r="V22" s="535">
        <f t="shared" si="6"/>
        <v>0</v>
      </c>
      <c r="W22" s="535">
        <f t="shared" si="6"/>
        <v>0</v>
      </c>
      <c r="X22" s="535">
        <f t="shared" si="6"/>
        <v>0</v>
      </c>
      <c r="Y22" s="535">
        <f t="shared" ref="M22:Z24" si="9">X22*(1+Y43)</f>
        <v>0</v>
      </c>
      <c r="Z22" s="535">
        <f t="shared" si="9"/>
        <v>0</v>
      </c>
      <c r="AD22" s="536">
        <f t="shared" si="7"/>
        <v>0</v>
      </c>
      <c r="AE22" s="537">
        <f t="shared" si="8"/>
        <v>0</v>
      </c>
      <c r="AF22" s="537">
        <v>0</v>
      </c>
      <c r="AG22" s="537">
        <v>0</v>
      </c>
      <c r="AH22" s="537">
        <v>0</v>
      </c>
      <c r="AI22" s="538"/>
      <c r="AJ22" s="539"/>
      <c r="AL22" s="540">
        <v>0</v>
      </c>
    </row>
    <row r="23" spans="1:38">
      <c r="A23" s="528">
        <v>19</v>
      </c>
      <c r="B23" s="529">
        <v>0</v>
      </c>
      <c r="C23" s="529" t="s">
        <v>1164</v>
      </c>
      <c r="D23" s="530">
        <f t="shared" si="3"/>
        <v>0</v>
      </c>
      <c r="E23" s="531" t="str">
        <f t="shared" si="4"/>
        <v>n/a</v>
      </c>
      <c r="F23" s="541"/>
      <c r="G23" s="541"/>
      <c r="I23" s="533"/>
      <c r="J23" s="534">
        <v>0</v>
      </c>
      <c r="K23" s="534">
        <v>0</v>
      </c>
      <c r="L23" s="535">
        <f t="shared" si="6"/>
        <v>0</v>
      </c>
      <c r="M23" s="535">
        <f t="shared" si="9"/>
        <v>0</v>
      </c>
      <c r="N23" s="535">
        <f t="shared" si="9"/>
        <v>0</v>
      </c>
      <c r="O23" s="535">
        <f t="shared" si="9"/>
        <v>0</v>
      </c>
      <c r="P23" s="535">
        <f t="shared" si="9"/>
        <v>0</v>
      </c>
      <c r="Q23" s="535">
        <f t="shared" si="9"/>
        <v>0</v>
      </c>
      <c r="R23" s="535">
        <f t="shared" si="9"/>
        <v>0</v>
      </c>
      <c r="S23" s="535">
        <f t="shared" si="9"/>
        <v>0</v>
      </c>
      <c r="T23" s="535">
        <f t="shared" si="9"/>
        <v>0</v>
      </c>
      <c r="U23" s="535">
        <f t="shared" si="9"/>
        <v>0</v>
      </c>
      <c r="V23" s="535">
        <f t="shared" si="9"/>
        <v>0</v>
      </c>
      <c r="W23" s="535">
        <f t="shared" si="9"/>
        <v>0</v>
      </c>
      <c r="X23" s="535">
        <f t="shared" si="9"/>
        <v>0</v>
      </c>
      <c r="Y23" s="535">
        <f t="shared" si="9"/>
        <v>0</v>
      </c>
      <c r="Z23" s="535">
        <f t="shared" si="9"/>
        <v>0</v>
      </c>
      <c r="AD23" s="536">
        <f t="shared" si="7"/>
        <v>0</v>
      </c>
      <c r="AE23" s="537">
        <f t="shared" si="8"/>
        <v>0</v>
      </c>
      <c r="AF23" s="537">
        <v>0</v>
      </c>
      <c r="AG23" s="537">
        <v>0</v>
      </c>
      <c r="AH23" s="537">
        <v>0</v>
      </c>
      <c r="AI23" s="538"/>
      <c r="AJ23" s="539"/>
      <c r="AL23" s="540">
        <v>0</v>
      </c>
    </row>
    <row r="24" spans="1:38">
      <c r="A24" s="528">
        <v>20</v>
      </c>
      <c r="B24" s="529">
        <v>0</v>
      </c>
      <c r="C24" s="529" t="s">
        <v>1164</v>
      </c>
      <c r="D24" s="530">
        <f t="shared" si="3"/>
        <v>0</v>
      </c>
      <c r="E24" s="531" t="str">
        <f t="shared" si="4"/>
        <v>n/a</v>
      </c>
      <c r="F24" s="541"/>
      <c r="G24" s="541"/>
      <c r="I24" s="533"/>
      <c r="J24" s="534">
        <v>0</v>
      </c>
      <c r="K24" s="534">
        <v>0</v>
      </c>
      <c r="L24" s="535">
        <f t="shared" si="6"/>
        <v>0</v>
      </c>
      <c r="M24" s="535">
        <f t="shared" si="9"/>
        <v>0</v>
      </c>
      <c r="N24" s="535">
        <f t="shared" si="9"/>
        <v>0</v>
      </c>
      <c r="O24" s="535">
        <f t="shared" si="9"/>
        <v>0</v>
      </c>
      <c r="P24" s="535">
        <f t="shared" si="9"/>
        <v>0</v>
      </c>
      <c r="Q24" s="535">
        <f t="shared" si="9"/>
        <v>0</v>
      </c>
      <c r="R24" s="535">
        <f t="shared" si="9"/>
        <v>0</v>
      </c>
      <c r="S24" s="535">
        <f t="shared" si="9"/>
        <v>0</v>
      </c>
      <c r="T24" s="535">
        <f t="shared" si="9"/>
        <v>0</v>
      </c>
      <c r="U24" s="535">
        <f t="shared" si="9"/>
        <v>0</v>
      </c>
      <c r="V24" s="535">
        <f t="shared" si="9"/>
        <v>0</v>
      </c>
      <c r="W24" s="535">
        <f t="shared" si="9"/>
        <v>0</v>
      </c>
      <c r="X24" s="535">
        <f t="shared" si="9"/>
        <v>0</v>
      </c>
      <c r="Y24" s="535">
        <f t="shared" si="9"/>
        <v>0</v>
      </c>
      <c r="Z24" s="535">
        <f t="shared" si="9"/>
        <v>0</v>
      </c>
      <c r="AD24" s="536">
        <f t="shared" si="7"/>
        <v>0</v>
      </c>
      <c r="AE24" s="537">
        <f t="shared" si="8"/>
        <v>0</v>
      </c>
      <c r="AF24" s="537">
        <v>0</v>
      </c>
      <c r="AG24" s="537">
        <v>0</v>
      </c>
      <c r="AH24" s="537">
        <v>0</v>
      </c>
      <c r="AI24" s="538"/>
      <c r="AJ24" s="539"/>
      <c r="AL24" s="540">
        <v>0</v>
      </c>
    </row>
    <row r="25" spans="1:38" collapsed="1">
      <c r="A25" s="542" t="s">
        <v>317</v>
      </c>
      <c r="B25" s="542"/>
      <c r="C25" s="542"/>
      <c r="D25" s="542"/>
      <c r="E25" s="542"/>
      <c r="F25" s="542"/>
      <c r="G25" s="542"/>
      <c r="H25" s="542"/>
      <c r="I25" s="543"/>
      <c r="J25" s="543">
        <f>SUM(J5:J24)</f>
        <v>38243.240867160603</v>
      </c>
      <c r="K25" s="543">
        <f t="shared" ref="K25:L25" si="10">SUM(K5:K24)</f>
        <v>31938.272931321953</v>
      </c>
      <c r="L25" s="543">
        <f t="shared" si="10"/>
        <v>38243.240867160603</v>
      </c>
      <c r="M25" s="543">
        <f t="shared" ref="M25" si="11">SUM(M5:M24)</f>
        <v>38239.687167331169</v>
      </c>
      <c r="N25" s="543">
        <f t="shared" ref="N25" si="12">SUM(N5:N24)</f>
        <v>37763.09096000337</v>
      </c>
      <c r="O25" s="543">
        <f t="shared" ref="O25" si="13">SUM(O5:O24)</f>
        <v>37751.630949247643</v>
      </c>
      <c r="P25" s="543">
        <f t="shared" ref="P25" si="14">SUM(P5:P24)</f>
        <v>37745.762363477006</v>
      </c>
      <c r="Q25" s="543">
        <f t="shared" ref="Q25" si="15">SUM(Q5:Q24)</f>
        <v>37895.976390281059</v>
      </c>
      <c r="R25" s="543">
        <f t="shared" ref="R25" si="16">SUM(R5:R24)</f>
        <v>36996.060163655507</v>
      </c>
      <c r="S25" s="543">
        <f t="shared" ref="S25" si="17">SUM(S5:S24)</f>
        <v>36242.196256901167</v>
      </c>
      <c r="T25" s="543">
        <f t="shared" ref="T25" si="18">SUM(T5:T24)</f>
        <v>36212.29899195506</v>
      </c>
      <c r="U25" s="543">
        <f t="shared" ref="U25" si="19">SUM(U5:U24)</f>
        <v>36172.579479657368</v>
      </c>
      <c r="V25" s="543">
        <f t="shared" ref="V25" si="20">SUM(V5:V24)</f>
        <v>36165.574870237178</v>
      </c>
      <c r="W25" s="543">
        <f t="shared" ref="W25" si="21">SUM(W5:W24)</f>
        <v>36172.241433721487</v>
      </c>
      <c r="X25" s="543">
        <f t="shared" ref="X25" si="22">SUM(X5:X24)</f>
        <v>36164.269236387896</v>
      </c>
      <c r="Y25" s="543">
        <f t="shared" ref="Y25" si="23">SUM(Y5:Y24)</f>
        <v>36119.207179844212</v>
      </c>
      <c r="Z25" s="543">
        <f t="shared" ref="Z25" si="24">SUM(Z5:Z24)</f>
        <v>36044.160848507738</v>
      </c>
      <c r="AD25" s="544">
        <f>SUM(AD5:AD24)</f>
        <v>-2199.0800186528613</v>
      </c>
      <c r="AE25" s="544">
        <f t="shared" si="8"/>
        <v>38243.240867160603</v>
      </c>
      <c r="AF25" s="544">
        <v>-2199.0800186528595</v>
      </c>
      <c r="AG25" s="544">
        <v>0</v>
      </c>
      <c r="AH25" s="544">
        <v>0</v>
      </c>
    </row>
    <row r="26" spans="1:38" hidden="1" outlineLevel="1">
      <c r="A26" s="528">
        <v>1</v>
      </c>
      <c r="B26" s="529" t="s">
        <v>1112</v>
      </c>
      <c r="C26" s="529" t="s">
        <v>1164</v>
      </c>
      <c r="I26" s="545"/>
      <c r="J26" s="546" t="s">
        <v>1169</v>
      </c>
      <c r="K26" s="546">
        <v>-0.16947157820407122</v>
      </c>
      <c r="L26" s="546">
        <v>0.20405271361768329</v>
      </c>
      <c r="M26" s="546">
        <v>1.3427628992910279E-3</v>
      </c>
      <c r="N26" s="546">
        <v>-1.7909465962646531E-2</v>
      </c>
      <c r="O26" s="546">
        <v>1.9057421449790723E-3</v>
      </c>
      <c r="P26" s="546">
        <v>1.7049128362929267E-3</v>
      </c>
      <c r="Q26" s="546">
        <v>6.5012167851103975E-3</v>
      </c>
      <c r="R26" s="546">
        <v>-3.8633803211387208E-2</v>
      </c>
      <c r="S26" s="546">
        <v>-4.0980543011794213E-2</v>
      </c>
      <c r="T26" s="546">
        <v>-4.8419008110007766E-3</v>
      </c>
      <c r="U26" s="546">
        <v>-5.537138497638594E-3</v>
      </c>
      <c r="V26" s="546">
        <v>-4.7373992929603537E-3</v>
      </c>
      <c r="W26" s="546">
        <v>-4.8490986415221649E-3</v>
      </c>
      <c r="X26" s="546">
        <v>-4.9635797637158641E-3</v>
      </c>
      <c r="Y26" s="546">
        <v>-5.0999336722939992E-3</v>
      </c>
      <c r="Z26" s="546">
        <v>-5.1503426585043366E-3</v>
      </c>
    </row>
    <row r="27" spans="1:38" hidden="1" outlineLevel="1">
      <c r="A27" s="528">
        <v>2</v>
      </c>
      <c r="B27" s="529" t="s">
        <v>1113</v>
      </c>
      <c r="C27" s="529" t="s">
        <v>1164</v>
      </c>
      <c r="I27" s="545"/>
      <c r="J27" s="546" t="s">
        <v>1169</v>
      </c>
      <c r="K27" s="546">
        <v>-0.23095515173216197</v>
      </c>
      <c r="L27" s="546">
        <v>0.30031428238854341</v>
      </c>
      <c r="M27" s="546">
        <v>1.3427628992910279E-3</v>
      </c>
      <c r="N27" s="546">
        <v>-8.8792547279453737E-3</v>
      </c>
      <c r="O27" s="546">
        <v>9.0483730767143555E-4</v>
      </c>
      <c r="P27" s="546">
        <v>7.042086276654036E-4</v>
      </c>
      <c r="Q27" s="546">
        <v>1.2934492952771937E-3</v>
      </c>
      <c r="R27" s="546">
        <v>-2.9261704043711423E-2</v>
      </c>
      <c r="S27" s="546">
        <v>-4.0764161439974744E-2</v>
      </c>
      <c r="T27" s="546">
        <v>-2.2918995401218778E-3</v>
      </c>
      <c r="U27" s="546">
        <v>-2.4593650465797312E-3</v>
      </c>
      <c r="V27" s="546">
        <v>-1.6256113261127192E-3</v>
      </c>
      <c r="W27" s="546">
        <v>-1.7056480888674175E-3</v>
      </c>
      <c r="X27" s="546">
        <v>-1.7879967924658846E-3</v>
      </c>
      <c r="Y27" s="546">
        <v>-1.6921386277677364E-3</v>
      </c>
      <c r="Z27" s="546">
        <v>-1.7092230018180832E-3</v>
      </c>
    </row>
    <row r="28" spans="1:38" hidden="1" outlineLevel="1">
      <c r="A28" s="528">
        <v>3</v>
      </c>
      <c r="B28" s="529" t="s">
        <v>1114</v>
      </c>
      <c r="C28" s="529" t="s">
        <v>1164</v>
      </c>
      <c r="I28" s="545"/>
      <c r="J28" s="546" t="s">
        <v>1169</v>
      </c>
      <c r="K28" s="546">
        <v>-7.4175921986442517E-2</v>
      </c>
      <c r="L28" s="546">
        <v>8.0118808473413239E-2</v>
      </c>
      <c r="M28" s="546">
        <v>1.3427628992910279E-3</v>
      </c>
      <c r="N28" s="546">
        <v>-8.8792547279454848E-3</v>
      </c>
      <c r="O28" s="546">
        <v>9.0483730767187964E-4</v>
      </c>
      <c r="P28" s="546">
        <v>7.0420862766518155E-4</v>
      </c>
      <c r="Q28" s="546">
        <v>1.4937480448862228E-3</v>
      </c>
      <c r="R28" s="546">
        <v>-0.1577188749260453</v>
      </c>
      <c r="S28" s="546">
        <v>-2.7284212464641078E-3</v>
      </c>
      <c r="T28" s="546">
        <v>-2.8684992558142275E-3</v>
      </c>
      <c r="U28" s="546">
        <v>-3.0413261630543031E-3</v>
      </c>
      <c r="V28" s="546">
        <v>-2.2135796660994744E-3</v>
      </c>
      <c r="W28" s="546">
        <v>-2.2991485600184491E-3</v>
      </c>
      <c r="X28" s="546">
        <v>-2.3870868464499484E-3</v>
      </c>
      <c r="Y28" s="546">
        <v>-2.4965264957613753E-3</v>
      </c>
      <c r="Z28" s="546">
        <v>-2.5193570077496341E-3</v>
      </c>
    </row>
    <row r="29" spans="1:38" hidden="1" outlineLevel="1">
      <c r="A29" s="528">
        <v>4</v>
      </c>
      <c r="B29" s="529" t="s">
        <v>1115</v>
      </c>
      <c r="C29" s="529" t="s">
        <v>1164</v>
      </c>
      <c r="I29" s="545"/>
      <c r="J29" s="546" t="s">
        <v>1169</v>
      </c>
      <c r="K29" s="546">
        <v>-9.3502027718813774E-2</v>
      </c>
      <c r="L29" s="546">
        <v>0.10314642787729289</v>
      </c>
      <c r="M29" s="546">
        <v>1.3427628992910279E-3</v>
      </c>
      <c r="N29" s="546">
        <v>-7.8881339826735175E-3</v>
      </c>
      <c r="O29" s="546">
        <v>1.9057421449792944E-3</v>
      </c>
      <c r="P29" s="546">
        <v>1.7049128362927046E-3</v>
      </c>
      <c r="Q29" s="546">
        <v>1.1508685525335016E-2</v>
      </c>
      <c r="R29" s="546">
        <v>-9.1431738968876797E-3</v>
      </c>
      <c r="S29" s="546">
        <v>7.2442945410711168E-3</v>
      </c>
      <c r="T29" s="546">
        <v>2.117158247906703E-3</v>
      </c>
      <c r="U29" s="546">
        <v>1.9434672061304781E-3</v>
      </c>
      <c r="V29" s="546">
        <v>-1.2157932457655951E-3</v>
      </c>
      <c r="W29" s="546">
        <v>-1.3014477085786513E-3</v>
      </c>
      <c r="X29" s="546">
        <v>-2.3870868464499484E-3</v>
      </c>
      <c r="Y29" s="546">
        <v>-2.4965264957614863E-3</v>
      </c>
      <c r="Z29" s="546">
        <v>-2.5193570077495231E-3</v>
      </c>
    </row>
    <row r="30" spans="1:38" hidden="1" outlineLevel="1">
      <c r="A30" s="528">
        <v>5</v>
      </c>
      <c r="B30" s="529" t="s">
        <v>1116</v>
      </c>
      <c r="C30" s="529" t="s">
        <v>1164</v>
      </c>
      <c r="I30" s="545"/>
      <c r="J30" s="546" t="s">
        <v>1169</v>
      </c>
      <c r="K30" s="546">
        <v>-0.13718235597643003</v>
      </c>
      <c r="L30" s="546">
        <v>0.15899345235536533</v>
      </c>
      <c r="M30" s="546">
        <v>-1.3841226264012851E-2</v>
      </c>
      <c r="N30" s="546">
        <v>-1.5079457139542951E-2</v>
      </c>
      <c r="O30" s="546">
        <v>-1.5899187374867507E-2</v>
      </c>
      <c r="P30" s="546">
        <v>-1.2565820966969787E-2</v>
      </c>
      <c r="Q30" s="546">
        <v>-1.5634468549266756E-2</v>
      </c>
      <c r="R30" s="546">
        <v>-9.6035459246491817E-3</v>
      </c>
      <c r="S30" s="546">
        <v>-1.0069617105917472E-2</v>
      </c>
      <c r="T30" s="546">
        <v>-7.0325254301142337E-3</v>
      </c>
      <c r="U30" s="546">
        <v>-9.738206652333381E-3</v>
      </c>
      <c r="V30" s="546">
        <v>-4.9808429118773923E-3</v>
      </c>
      <c r="W30" s="546">
        <v>-3.080477474008525E-3</v>
      </c>
      <c r="X30" s="546">
        <v>-1.2874983906270288E-3</v>
      </c>
      <c r="Y30" s="546">
        <v>-2.4494005414466002E-3</v>
      </c>
      <c r="Z30" s="546">
        <v>2.1969501163090488E-3</v>
      </c>
    </row>
    <row r="31" spans="1:38" hidden="1" outlineLevel="1">
      <c r="A31" s="528">
        <v>6</v>
      </c>
      <c r="B31" s="529" t="s">
        <v>1117</v>
      </c>
      <c r="C31" s="529" t="s">
        <v>1164</v>
      </c>
      <c r="I31" s="545"/>
      <c r="J31" s="546" t="s">
        <v>1169</v>
      </c>
      <c r="K31" s="546">
        <v>-0.13702312218399615</v>
      </c>
      <c r="L31" s="546">
        <v>0.15877959851110979</v>
      </c>
      <c r="M31" s="546">
        <v>1.3427628992910279E-3</v>
      </c>
      <c r="N31" s="546">
        <v>-1.8890575387259134E-2</v>
      </c>
      <c r="O31" s="546">
        <v>9.048373076716576E-4</v>
      </c>
      <c r="P31" s="546">
        <v>7.0420862766518155E-4</v>
      </c>
      <c r="Q31" s="546">
        <v>1.4937480448860008E-3</v>
      </c>
      <c r="R31" s="546">
        <v>-3.9594209002384861E-2</v>
      </c>
      <c r="S31" s="546">
        <v>-4.1459813105241494E-2</v>
      </c>
      <c r="T31" s="546">
        <v>-5.3392311954030269E-3</v>
      </c>
      <c r="U31" s="546">
        <v>-5.537138497638705E-3</v>
      </c>
      <c r="V31" s="546">
        <v>-4.7373992929604647E-3</v>
      </c>
      <c r="W31" s="546">
        <v>-4.8490986415218318E-3</v>
      </c>
      <c r="X31" s="546">
        <v>-4.9635797637159751E-3</v>
      </c>
      <c r="Y31" s="546">
        <v>-5.0999336722942212E-3</v>
      </c>
      <c r="Z31" s="546">
        <v>-5.1503426585042256E-3</v>
      </c>
    </row>
    <row r="32" spans="1:38" hidden="1" outlineLevel="1">
      <c r="A32" s="528">
        <v>7</v>
      </c>
      <c r="B32" s="529" t="s">
        <v>1118</v>
      </c>
      <c r="C32" s="529" t="s">
        <v>1164</v>
      </c>
      <c r="I32" s="545"/>
      <c r="J32" s="546" t="s">
        <v>1169</v>
      </c>
      <c r="K32" s="546">
        <v>-1.9106107130671179E-2</v>
      </c>
      <c r="L32" s="546">
        <v>1.9478260869564279E-2</v>
      </c>
      <c r="M32" s="546">
        <v>1.3427628992910279E-3</v>
      </c>
      <c r="N32" s="546">
        <v>1.1320659313682757E-3</v>
      </c>
      <c r="O32" s="546">
        <v>9.048373076716576E-4</v>
      </c>
      <c r="P32" s="546">
        <v>7.0420862766518155E-4</v>
      </c>
      <c r="Q32" s="546">
        <v>1.4937480448862228E-3</v>
      </c>
      <c r="R32" s="546">
        <v>1.2741225294286007E-3</v>
      </c>
      <c r="S32" s="546">
        <v>1.1419729789698962E-3</v>
      </c>
      <c r="T32" s="546">
        <v>1.016428669163183E-3</v>
      </c>
      <c r="U32" s="546">
        <v>8.5812106186211601E-4</v>
      </c>
      <c r="V32" s="546">
        <v>1.7044298378294798E-3</v>
      </c>
      <c r="W32" s="546">
        <v>1.6339691197710948E-3</v>
      </c>
      <c r="X32" s="546">
        <v>1.5612492214400753E-3</v>
      </c>
      <c r="Y32" s="546">
        <v>1.4670634651825498E-3</v>
      </c>
      <c r="Z32" s="546">
        <v>1.4599540680173551E-3</v>
      </c>
    </row>
    <row r="33" spans="1:34" hidden="1" outlineLevel="1">
      <c r="A33" s="528">
        <v>8</v>
      </c>
      <c r="B33" s="529" t="s">
        <v>1119</v>
      </c>
      <c r="C33" s="529" t="s">
        <v>1164</v>
      </c>
      <c r="I33" s="545"/>
      <c r="J33" s="546" t="s">
        <v>1169</v>
      </c>
      <c r="K33" s="546">
        <v>-0.23463687150837853</v>
      </c>
      <c r="L33" s="546">
        <v>0.30656934306569128</v>
      </c>
      <c r="M33" s="546">
        <v>1.3427628992910279E-3</v>
      </c>
      <c r="N33" s="546">
        <v>-1.790946596264642E-2</v>
      </c>
      <c r="O33" s="546">
        <v>1.9057421449792944E-3</v>
      </c>
      <c r="P33" s="546">
        <v>1.7049128362924826E-3</v>
      </c>
      <c r="Q33" s="546">
        <v>1.1508685525335016E-2</v>
      </c>
      <c r="R33" s="546">
        <v>-2.9990151092408546E-2</v>
      </c>
      <c r="S33" s="546">
        <v>-3.1874411236293754E-2</v>
      </c>
      <c r="T33" s="546">
        <v>-3.6592735137996879E-4</v>
      </c>
      <c r="U33" s="546">
        <v>-5.648241901268225E-4</v>
      </c>
      <c r="V33" s="546">
        <v>-3.7421366922534283E-3</v>
      </c>
      <c r="W33" s="546">
        <v>-3.8539477401634548E-3</v>
      </c>
      <c r="X33" s="546">
        <v>-4.9635797637158641E-3</v>
      </c>
      <c r="Y33" s="546">
        <v>-5.0999336722941102E-3</v>
      </c>
      <c r="Z33" s="546">
        <v>-5.1503426585041145E-3</v>
      </c>
    </row>
    <row r="34" spans="1:34" hidden="1" outlineLevel="1">
      <c r="A34" s="528">
        <v>9</v>
      </c>
      <c r="B34" s="529" t="s">
        <v>387</v>
      </c>
      <c r="C34" s="529" t="s">
        <v>1164</v>
      </c>
      <c r="I34" s="545"/>
      <c r="J34" s="546" t="s">
        <v>1169</v>
      </c>
      <c r="K34" s="546">
        <v>-0.28721449199264848</v>
      </c>
      <c r="L34" s="546">
        <v>0.40294659300184077</v>
      </c>
      <c r="M34" s="546">
        <v>1.3427628992910279E-3</v>
      </c>
      <c r="N34" s="546">
        <v>-2.8901896046572673E-2</v>
      </c>
      <c r="O34" s="546">
        <v>9.048373076716576E-4</v>
      </c>
      <c r="P34" s="546">
        <v>7.0420862766518155E-4</v>
      </c>
      <c r="Q34" s="546">
        <v>1.4937480448860008E-3</v>
      </c>
      <c r="R34" s="546">
        <v>-7.0982772910839431E-2</v>
      </c>
      <c r="S34" s="546">
        <v>-1.2762776645738105E-2</v>
      </c>
      <c r="T34" s="546">
        <v>-1.3082394269838926E-2</v>
      </c>
      <c r="U34" s="546">
        <v>-1.3439852096164495E-2</v>
      </c>
      <c r="V34" s="546">
        <v>-1.2813025667066769E-2</v>
      </c>
      <c r="W34" s="546">
        <v>-1.3095942190813781E-2</v>
      </c>
      <c r="X34" s="546">
        <v>-1.3387426140073821E-2</v>
      </c>
      <c r="Y34" s="546">
        <v>-1.3706679920653553E-2</v>
      </c>
      <c r="Z34" s="546">
        <v>-1.394712214841376E-2</v>
      </c>
    </row>
    <row r="35" spans="1:34" hidden="1" outlineLevel="1">
      <c r="A35" s="528">
        <v>10</v>
      </c>
      <c r="B35" s="529" t="s">
        <v>1120</v>
      </c>
      <c r="C35" s="529" t="s">
        <v>1164</v>
      </c>
      <c r="I35" s="545"/>
      <c r="J35" s="546" t="s">
        <v>1169</v>
      </c>
      <c r="K35" s="546">
        <v>-8.9867916046209806E-2</v>
      </c>
      <c r="L35" s="546">
        <v>9.8741619629324706E-2</v>
      </c>
      <c r="M35" s="546">
        <v>1.3427628992910279E-3</v>
      </c>
      <c r="N35" s="546">
        <v>-7.8881339826734065E-3</v>
      </c>
      <c r="O35" s="546">
        <v>1.9057421449790723E-3</v>
      </c>
      <c r="P35" s="546">
        <v>1.7049128362927046E-3</v>
      </c>
      <c r="Q35" s="546">
        <v>1.1508685525335016E-2</v>
      </c>
      <c r="R35" s="546">
        <v>-9.1431738968876797E-3</v>
      </c>
      <c r="S35" s="546">
        <v>7.2442945410711168E-3</v>
      </c>
      <c r="T35" s="546">
        <v>2.117158247906703E-3</v>
      </c>
      <c r="U35" s="546">
        <v>1.9434672061304781E-3</v>
      </c>
      <c r="V35" s="546">
        <v>-1.2157932457658172E-3</v>
      </c>
      <c r="W35" s="546">
        <v>-1.3014477085785403E-3</v>
      </c>
      <c r="X35" s="546">
        <v>-2.3870868464499484E-3</v>
      </c>
      <c r="Y35" s="546">
        <v>-2.4965264957614863E-3</v>
      </c>
      <c r="Z35" s="546">
        <v>-2.5193570077496341E-3</v>
      </c>
    </row>
    <row r="36" spans="1:34" hidden="1" outlineLevel="1">
      <c r="A36" s="528">
        <v>11</v>
      </c>
      <c r="B36" s="529" t="s">
        <v>375</v>
      </c>
      <c r="C36" s="529" t="s">
        <v>1164</v>
      </c>
      <c r="I36" s="545"/>
      <c r="J36" s="546" t="s">
        <v>1169</v>
      </c>
      <c r="K36" s="546">
        <v>-0.15610599078341181</v>
      </c>
      <c r="L36" s="546">
        <v>0.1849829351535861</v>
      </c>
      <c r="M36" s="546">
        <v>1.3427628992910279E-3</v>
      </c>
      <c r="N36" s="546">
        <v>1.1320659313682757E-3</v>
      </c>
      <c r="O36" s="546">
        <v>9.048373076716576E-4</v>
      </c>
      <c r="P36" s="546">
        <v>7.0420862766518155E-4</v>
      </c>
      <c r="Q36" s="546">
        <v>1.4937480448862228E-3</v>
      </c>
      <c r="R36" s="546">
        <v>1.2741225294286007E-3</v>
      </c>
      <c r="S36" s="546">
        <v>1.1419729789698962E-3</v>
      </c>
      <c r="T36" s="546">
        <v>1.016428669163183E-3</v>
      </c>
      <c r="U36" s="546">
        <v>8.5812106186211601E-4</v>
      </c>
      <c r="V36" s="546">
        <v>1.7044298378294798E-3</v>
      </c>
      <c r="W36" s="546">
        <v>1.6339691197710948E-3</v>
      </c>
      <c r="X36" s="546">
        <v>1.5612492214400753E-3</v>
      </c>
      <c r="Y36" s="546">
        <v>1.4670634651825498E-3</v>
      </c>
      <c r="Z36" s="546">
        <v>1.4599540680173551E-3</v>
      </c>
    </row>
    <row r="37" spans="1:34" hidden="1" outlineLevel="1">
      <c r="A37" s="528">
        <v>12</v>
      </c>
      <c r="B37" s="529" t="s">
        <v>1121</v>
      </c>
      <c r="C37" s="529" t="s">
        <v>1164</v>
      </c>
      <c r="I37" s="545"/>
      <c r="J37" s="546" t="s">
        <v>1169</v>
      </c>
      <c r="K37" s="546">
        <v>-0.20129870129870087</v>
      </c>
      <c r="L37" s="546">
        <v>0.25203252032520251</v>
      </c>
      <c r="M37" s="546">
        <v>1.3427628992910279E-3</v>
      </c>
      <c r="N37" s="546">
        <v>-1.8890575387259134E-2</v>
      </c>
      <c r="O37" s="546">
        <v>9.048373076716576E-4</v>
      </c>
      <c r="P37" s="546">
        <v>7.0420862766518155E-4</v>
      </c>
      <c r="Q37" s="546">
        <v>1.4937480448862228E-3</v>
      </c>
      <c r="R37" s="546">
        <v>-3.9594209002384861E-2</v>
      </c>
      <c r="S37" s="546">
        <v>-4.1459813105241494E-2</v>
      </c>
      <c r="T37" s="546">
        <v>-5.339231195403138E-3</v>
      </c>
      <c r="U37" s="546">
        <v>-5.537138497638594E-3</v>
      </c>
      <c r="V37" s="546">
        <v>-4.7373992929602426E-3</v>
      </c>
      <c r="W37" s="546">
        <v>-4.8490986415219428E-3</v>
      </c>
      <c r="X37" s="546">
        <v>-4.9635797637158641E-3</v>
      </c>
      <c r="Y37" s="546">
        <v>-5.0999336722941102E-3</v>
      </c>
      <c r="Z37" s="546">
        <v>-5.1503426585041145E-3</v>
      </c>
    </row>
    <row r="38" spans="1:34" hidden="1" outlineLevel="1">
      <c r="A38" s="528">
        <v>13</v>
      </c>
      <c r="B38" s="529" t="s">
        <v>1122</v>
      </c>
      <c r="C38" s="529" t="s">
        <v>1164</v>
      </c>
      <c r="I38" s="545"/>
      <c r="J38" s="546" t="s">
        <v>1169</v>
      </c>
      <c r="K38" s="546">
        <v>-0.38607167004733112</v>
      </c>
      <c r="L38" s="546">
        <v>0.62885462555066574</v>
      </c>
      <c r="M38" s="546">
        <v>1.3427628992910279E-3</v>
      </c>
      <c r="N38" s="546">
        <v>-1.8890575387259134E-2</v>
      </c>
      <c r="O38" s="546">
        <v>9.048373076716576E-4</v>
      </c>
      <c r="P38" s="546">
        <v>7.0420862766518155E-4</v>
      </c>
      <c r="Q38" s="546">
        <v>1.4937480448864449E-3</v>
      </c>
      <c r="R38" s="546">
        <v>-3.9594209002384972E-2</v>
      </c>
      <c r="S38" s="546">
        <v>-4.1459813105241605E-2</v>
      </c>
      <c r="T38" s="546">
        <v>-5.3392311954030269E-3</v>
      </c>
      <c r="U38" s="546">
        <v>-5.537138497638483E-3</v>
      </c>
      <c r="V38" s="546">
        <v>-4.7373992929604647E-3</v>
      </c>
      <c r="W38" s="546">
        <v>-4.8490986415219428E-3</v>
      </c>
      <c r="X38" s="546">
        <v>-4.9635797637159751E-3</v>
      </c>
      <c r="Y38" s="546">
        <v>-5.0999336722941102E-3</v>
      </c>
      <c r="Z38" s="546">
        <v>-5.1503426585042256E-3</v>
      </c>
    </row>
    <row r="39" spans="1:34" hidden="1" outlineLevel="1">
      <c r="A39" s="528">
        <v>14</v>
      </c>
      <c r="B39" s="529" t="s">
        <v>382</v>
      </c>
      <c r="C39" s="529" t="s">
        <v>1164</v>
      </c>
      <c r="I39" s="545"/>
      <c r="J39" s="546" t="s">
        <v>1169</v>
      </c>
      <c r="K39" s="546">
        <v>-6.3531353135311885E-2</v>
      </c>
      <c r="L39" s="546">
        <v>6.7841409691627996E-2</v>
      </c>
      <c r="M39" s="546">
        <v>1.3427628992910279E-3</v>
      </c>
      <c r="N39" s="546">
        <v>1.1320659313682757E-3</v>
      </c>
      <c r="O39" s="546">
        <v>9.048373076716576E-4</v>
      </c>
      <c r="P39" s="546">
        <v>7.0420862766518155E-4</v>
      </c>
      <c r="Q39" s="546">
        <v>0.10164312284937482</v>
      </c>
      <c r="R39" s="546">
        <v>0.10140153478237157</v>
      </c>
      <c r="S39" s="546">
        <v>0.10125617027686684</v>
      </c>
      <c r="T39" s="546">
        <v>0.10111807153607955</v>
      </c>
      <c r="U39" s="546">
        <v>0.10094393316804862</v>
      </c>
      <c r="V39" s="546">
        <v>0.10187487282161234</v>
      </c>
      <c r="W39" s="546">
        <v>0.10179736603174838</v>
      </c>
      <c r="X39" s="546">
        <v>8.1686149159155397E-2</v>
      </c>
      <c r="Y39" s="546">
        <v>5.1540416638441666E-2</v>
      </c>
      <c r="Z39" s="546">
        <v>1.6481853379037625E-2</v>
      </c>
    </row>
    <row r="40" spans="1:34" hidden="1" outlineLevel="1">
      <c r="A40" s="528">
        <v>15</v>
      </c>
      <c r="B40" s="529" t="s">
        <v>1123</v>
      </c>
      <c r="C40" s="529" t="s">
        <v>1164</v>
      </c>
      <c r="I40" s="545"/>
      <c r="J40" s="546" t="s">
        <v>1169</v>
      </c>
      <c r="K40" s="546">
        <v>-0.34604948333020724</v>
      </c>
      <c r="L40" s="546">
        <v>0.52916768854690299</v>
      </c>
      <c r="M40" s="546">
        <v>1.3427628992910279E-3</v>
      </c>
      <c r="N40" s="546">
        <v>1.1320659313682757E-3</v>
      </c>
      <c r="O40" s="546">
        <v>9.048373076716576E-4</v>
      </c>
      <c r="P40" s="546">
        <v>7.0420862766518155E-4</v>
      </c>
      <c r="Q40" s="546">
        <v>1.4937480448862228E-3</v>
      </c>
      <c r="R40" s="546">
        <v>1.2741225294286007E-3</v>
      </c>
      <c r="S40" s="546">
        <v>1.1419729789698962E-3</v>
      </c>
      <c r="T40" s="546">
        <v>1.016428669163183E-3</v>
      </c>
      <c r="U40" s="546">
        <v>8.5812106186211601E-4</v>
      </c>
      <c r="V40" s="546">
        <v>1.7044298378294798E-3</v>
      </c>
      <c r="W40" s="546">
        <v>1.6339691197710948E-3</v>
      </c>
      <c r="X40" s="546">
        <v>1.5612492214400753E-3</v>
      </c>
      <c r="Y40" s="546">
        <v>1.4670634651825498E-3</v>
      </c>
      <c r="Z40" s="546">
        <v>1.4599540680173551E-3</v>
      </c>
    </row>
    <row r="41" spans="1:34" hidden="1" outlineLevel="1">
      <c r="A41" s="528">
        <v>16</v>
      </c>
      <c r="B41" s="529" t="s">
        <v>1124</v>
      </c>
      <c r="C41" s="529" t="s">
        <v>1164</v>
      </c>
      <c r="I41" s="545"/>
      <c r="J41" s="546" t="s">
        <v>1169</v>
      </c>
      <c r="K41" s="546">
        <v>-0.26480263157894779</v>
      </c>
      <c r="L41" s="546">
        <v>0.36017897091722673</v>
      </c>
      <c r="M41" s="546">
        <v>1.3427628992910279E-3</v>
      </c>
      <c r="N41" s="546">
        <v>1.1320659313682757E-3</v>
      </c>
      <c r="O41" s="546">
        <v>9.048373076716576E-4</v>
      </c>
      <c r="P41" s="546">
        <v>7.0420862766518155E-4</v>
      </c>
      <c r="Q41" s="546">
        <v>1.4937480448862228E-3</v>
      </c>
      <c r="R41" s="546">
        <v>1.6368681970704895</v>
      </c>
      <c r="S41" s="546">
        <v>1.1419729789698962E-3</v>
      </c>
      <c r="T41" s="546">
        <v>1.016428669163183E-3</v>
      </c>
      <c r="U41" s="546">
        <v>8.5812106186211601E-4</v>
      </c>
      <c r="V41" s="546">
        <v>1.7044298378294798E-3</v>
      </c>
      <c r="W41" s="546">
        <v>1.6339691197710948E-3</v>
      </c>
      <c r="X41" s="546">
        <v>1.5612492214400753E-3</v>
      </c>
      <c r="Y41" s="546">
        <v>1.4670634651825498E-3</v>
      </c>
      <c r="Z41" s="546">
        <v>1.4599540680173551E-3</v>
      </c>
    </row>
    <row r="42" spans="1:34" hidden="1" outlineLevel="1">
      <c r="A42" s="528">
        <v>17</v>
      </c>
      <c r="B42" s="529">
        <v>0</v>
      </c>
      <c r="C42" s="529" t="s">
        <v>1164</v>
      </c>
      <c r="I42" s="545"/>
      <c r="J42" s="546"/>
      <c r="K42" s="546"/>
      <c r="L42" s="546"/>
      <c r="M42" s="546"/>
      <c r="N42" s="546"/>
      <c r="O42" s="546"/>
      <c r="P42" s="546"/>
      <c r="Q42" s="546"/>
      <c r="R42" s="546"/>
      <c r="S42" s="546"/>
      <c r="T42" s="546"/>
      <c r="U42" s="546"/>
      <c r="V42" s="546"/>
      <c r="W42" s="546"/>
      <c r="X42" s="546"/>
      <c r="Y42" s="546"/>
      <c r="Z42" s="546"/>
    </row>
    <row r="43" spans="1:34" hidden="1" outlineLevel="1">
      <c r="A43" s="528">
        <v>18</v>
      </c>
      <c r="B43" s="529">
        <v>0</v>
      </c>
      <c r="C43" s="529" t="s">
        <v>1164</v>
      </c>
      <c r="I43" s="545"/>
      <c r="J43" s="546"/>
      <c r="K43" s="546"/>
      <c r="L43" s="546"/>
      <c r="M43" s="546"/>
      <c r="N43" s="546"/>
      <c r="O43" s="546"/>
      <c r="P43" s="546"/>
      <c r="Q43" s="546"/>
      <c r="R43" s="546"/>
      <c r="S43" s="546"/>
      <c r="T43" s="546"/>
      <c r="U43" s="546"/>
      <c r="V43" s="546"/>
      <c r="W43" s="546"/>
      <c r="X43" s="546"/>
      <c r="Y43" s="546"/>
      <c r="Z43" s="546"/>
    </row>
    <row r="44" spans="1:34" hidden="1" outlineLevel="1">
      <c r="A44" s="528">
        <v>19</v>
      </c>
      <c r="B44" s="529">
        <v>0</v>
      </c>
      <c r="C44" s="529" t="s">
        <v>1164</v>
      </c>
      <c r="I44" s="545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  <c r="U44" s="546"/>
      <c r="V44" s="546"/>
      <c r="W44" s="546"/>
      <c r="X44" s="546"/>
      <c r="Y44" s="546"/>
      <c r="Z44" s="546"/>
    </row>
    <row r="45" spans="1:34" hidden="1" outlineLevel="1">
      <c r="A45" s="528">
        <v>20</v>
      </c>
      <c r="B45" s="529">
        <v>0</v>
      </c>
      <c r="C45" s="529" t="s">
        <v>1164</v>
      </c>
      <c r="I45" s="545"/>
      <c r="J45" s="546"/>
      <c r="K45" s="546"/>
      <c r="L45" s="546"/>
      <c r="M45" s="546"/>
      <c r="N45" s="546"/>
      <c r="O45" s="546"/>
      <c r="P45" s="546"/>
      <c r="Q45" s="546"/>
      <c r="R45" s="546"/>
      <c r="S45" s="546"/>
      <c r="T45" s="546"/>
      <c r="U45" s="546"/>
      <c r="V45" s="546"/>
      <c r="W45" s="546"/>
      <c r="X45" s="546"/>
      <c r="Y45" s="546"/>
      <c r="Z45" s="546"/>
    </row>
    <row r="46" spans="1:34" collapsed="1">
      <c r="A46" s="542" t="s">
        <v>1165</v>
      </c>
      <c r="B46" s="542"/>
      <c r="C46" s="542"/>
      <c r="D46" s="542"/>
      <c r="E46" s="542"/>
      <c r="F46" s="542"/>
      <c r="G46" s="542"/>
      <c r="H46" s="542"/>
      <c r="I46" s="543"/>
      <c r="J46" s="547" t="s">
        <v>1169</v>
      </c>
      <c r="K46" s="547">
        <f>K25/J25-1</f>
        <v>-0.16486489619797662</v>
      </c>
      <c r="L46" s="547">
        <f t="shared" ref="L46:Z46" si="25">L25/K25-1</f>
        <v>0.19741104816144728</v>
      </c>
      <c r="M46" s="547">
        <f t="shared" si="25"/>
        <v>-9.2923605553685285E-5</v>
      </c>
      <c r="N46" s="547">
        <f t="shared" si="25"/>
        <v>-1.2463391900730869E-2</v>
      </c>
      <c r="O46" s="547">
        <f t="shared" si="25"/>
        <v>-3.0347120599494293E-4</v>
      </c>
      <c r="P46" s="547">
        <f t="shared" si="25"/>
        <v>-1.5545250954918099E-4</v>
      </c>
      <c r="Q46" s="547">
        <f t="shared" si="25"/>
        <v>3.9796262520159775E-3</v>
      </c>
      <c r="R46" s="547">
        <f t="shared" si="25"/>
        <v>-2.3747012541847301E-2</v>
      </c>
      <c r="S46" s="547">
        <f t="shared" si="25"/>
        <v>-2.0376869953707355E-2</v>
      </c>
      <c r="T46" s="547">
        <f t="shared" si="25"/>
        <v>-8.2492972374470508E-4</v>
      </c>
      <c r="U46" s="547">
        <f t="shared" si="25"/>
        <v>-1.0968514400733209E-3</v>
      </c>
      <c r="V46" s="547">
        <f t="shared" si="25"/>
        <v>-1.9364417801970291E-4</v>
      </c>
      <c r="W46" s="547">
        <f t="shared" si="25"/>
        <v>1.8433450894184134E-4</v>
      </c>
      <c r="X46" s="547">
        <f t="shared" si="25"/>
        <v>-2.2039544738183814E-4</v>
      </c>
      <c r="Y46" s="547">
        <f t="shared" si="25"/>
        <v>-1.2460380783345659E-3</v>
      </c>
      <c r="Z46" s="547">
        <f t="shared" si="25"/>
        <v>-2.0777402716180005E-3</v>
      </c>
    </row>
    <row r="48" spans="1:34">
      <c r="A48" s="525" t="s">
        <v>1166</v>
      </c>
      <c r="B48" s="526"/>
      <c r="C48" s="526"/>
      <c r="D48" s="526"/>
      <c r="E48" s="526"/>
      <c r="F48" s="526"/>
      <c r="G48" s="526"/>
      <c r="H48" s="527"/>
      <c r="I48" s="519"/>
      <c r="J48" s="519"/>
      <c r="K48" s="519"/>
      <c r="L48" s="519"/>
      <c r="M48" s="519"/>
      <c r="N48" s="519"/>
      <c r="O48" s="519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D48" s="519"/>
      <c r="AE48" s="519"/>
      <c r="AF48" s="519"/>
      <c r="AG48" s="519"/>
      <c r="AH48" s="519"/>
    </row>
    <row r="49" spans="1:38">
      <c r="A49" s="528">
        <v>1</v>
      </c>
      <c r="B49" s="529" t="s">
        <v>1125</v>
      </c>
      <c r="C49" s="529" t="s">
        <v>1167</v>
      </c>
      <c r="D49" s="530">
        <f t="shared" ref="D49:D68" si="26">Z49-L49</f>
        <v>-22.090818029505499</v>
      </c>
      <c r="E49" s="531">
        <f t="shared" ref="E49:E68" si="27">IFERROR(D49/L49,"n/a")</f>
        <v>-8.2366957604420206E-3</v>
      </c>
      <c r="F49" s="532"/>
      <c r="G49" s="532"/>
      <c r="I49" s="533"/>
      <c r="J49" s="534">
        <v>2682</v>
      </c>
      <c r="K49" s="534">
        <v>2101</v>
      </c>
      <c r="L49" s="535">
        <f>K49*(1+L70)</f>
        <v>2682</v>
      </c>
      <c r="M49" s="535">
        <f t="shared" ref="M49:R49" si="28">L49*(1+M70)</f>
        <v>2685.6012900958985</v>
      </c>
      <c r="N49" s="535">
        <f t="shared" si="28"/>
        <v>2661.7551521434384</v>
      </c>
      <c r="O49" s="535">
        <f t="shared" si="28"/>
        <v>2690.805243584075</v>
      </c>
      <c r="P49" s="535">
        <f t="shared" si="28"/>
        <v>2719.6271331704938</v>
      </c>
      <c r="Q49" s="535">
        <f t="shared" si="28"/>
        <v>2778.1633623011562</v>
      </c>
      <c r="R49" s="535">
        <f t="shared" si="28"/>
        <v>2751.3572310187897</v>
      </c>
      <c r="S49" s="535">
        <f t="shared" ref="S49:Z49" si="29">R49*(1+S70)</f>
        <v>2760.3094783960964</v>
      </c>
      <c r="T49" s="535">
        <f t="shared" si="29"/>
        <v>2768.7719072304435</v>
      </c>
      <c r="U49" s="535">
        <f t="shared" si="29"/>
        <v>2749.1546118249307</v>
      </c>
      <c r="V49" s="535">
        <f t="shared" si="29"/>
        <v>2731.8096301503388</v>
      </c>
      <c r="W49" s="535">
        <f t="shared" si="29"/>
        <v>2714.2066023825246</v>
      </c>
      <c r="X49" s="535">
        <f t="shared" si="29"/>
        <v>2696.3429833327909</v>
      </c>
      <c r="Y49" s="535">
        <f t="shared" si="29"/>
        <v>2678.1650937967374</v>
      </c>
      <c r="Z49" s="535">
        <f t="shared" si="29"/>
        <v>2659.9091819704945</v>
      </c>
      <c r="AD49" s="536">
        <f>Z49-J49</f>
        <v>-22.090818029505499</v>
      </c>
      <c r="AE49" s="537">
        <f>J49</f>
        <v>2682</v>
      </c>
      <c r="AF49" s="537">
        <v>-22.090818029505499</v>
      </c>
      <c r="AG49" s="537">
        <v>0</v>
      </c>
      <c r="AH49" s="537">
        <v>0</v>
      </c>
      <c r="AI49" s="538"/>
      <c r="AJ49" s="539"/>
      <c r="AL49" s="540">
        <v>305.82123075299251</v>
      </c>
    </row>
    <row r="50" spans="1:38">
      <c r="A50" s="528">
        <v>2</v>
      </c>
      <c r="B50" s="529" t="s">
        <v>1168</v>
      </c>
      <c r="C50" s="529" t="s">
        <v>1167</v>
      </c>
      <c r="D50" s="530">
        <f t="shared" si="26"/>
        <v>30.803495456596011</v>
      </c>
      <c r="E50" s="531">
        <f t="shared" si="27"/>
        <v>1.7840405136428407E-2</v>
      </c>
      <c r="F50" s="532"/>
      <c r="G50" s="532"/>
      <c r="I50" s="533"/>
      <c r="J50" s="534">
        <v>1726.6141223272004</v>
      </c>
      <c r="K50" s="534">
        <v>1464.2767008935045</v>
      </c>
      <c r="L50" s="535">
        <f t="shared" ref="L50:L68" si="30">K50*(1+L71)</f>
        <v>1726.6141223272004</v>
      </c>
      <c r="M50" s="535">
        <f t="shared" ref="M50:R50" si="31">L50*(1+M71)</f>
        <v>1728.9325557120533</v>
      </c>
      <c r="N50" s="535">
        <f t="shared" si="31"/>
        <v>1730.8898213560083</v>
      </c>
      <c r="O50" s="535">
        <f t="shared" si="31"/>
        <v>1732.4559950418404</v>
      </c>
      <c r="P50" s="535">
        <f t="shared" si="31"/>
        <v>1733.6760055005991</v>
      </c>
      <c r="Q50" s="535">
        <f t="shared" si="31"/>
        <v>1736.2656806442817</v>
      </c>
      <c r="R50" s="535">
        <f t="shared" si="31"/>
        <v>1738.4778958650643</v>
      </c>
      <c r="S50" s="535">
        <f t="shared" ref="S50:Z50" si="32">R50*(1+S71)</f>
        <v>1740.4631906466786</v>
      </c>
      <c r="T50" s="535">
        <f t="shared" si="32"/>
        <v>1742.2322473312752</v>
      </c>
      <c r="U50" s="535">
        <f t="shared" si="32"/>
        <v>1743.7272935173655</v>
      </c>
      <c r="V50" s="535">
        <f t="shared" si="32"/>
        <v>1746.6993543454741</v>
      </c>
      <c r="W50" s="535">
        <f t="shared" si="32"/>
        <v>1749.5534071519987</v>
      </c>
      <c r="X50" s="535">
        <f t="shared" si="32"/>
        <v>1752.2848960467827</v>
      </c>
      <c r="Y50" s="535">
        <f t="shared" si="32"/>
        <v>1754.8556091983642</v>
      </c>
      <c r="Z50" s="535">
        <f t="shared" si="32"/>
        <v>1757.4176177837965</v>
      </c>
      <c r="AD50" s="536">
        <f t="shared" ref="AD50:AD68" si="33">Z50-J50</f>
        <v>30.803495456596011</v>
      </c>
      <c r="AE50" s="537">
        <f t="shared" ref="AE50:AE69" si="34">J50</f>
        <v>1726.6141223272004</v>
      </c>
      <c r="AF50" s="537">
        <v>30.803495456596011</v>
      </c>
      <c r="AG50" s="537">
        <v>0</v>
      </c>
      <c r="AH50" s="537">
        <v>0</v>
      </c>
      <c r="AI50" s="538"/>
      <c r="AJ50" s="539"/>
      <c r="AL50" s="540">
        <v>0</v>
      </c>
    </row>
    <row r="51" spans="1:38">
      <c r="A51" s="528">
        <v>3</v>
      </c>
      <c r="B51" s="529" t="s">
        <v>1123</v>
      </c>
      <c r="C51" s="529" t="s">
        <v>1167</v>
      </c>
      <c r="D51" s="530">
        <f t="shared" si="26"/>
        <v>27.293863469660437</v>
      </c>
      <c r="E51" s="531">
        <f t="shared" si="27"/>
        <v>1.78404051364284E-2</v>
      </c>
      <c r="F51" s="532"/>
      <c r="G51" s="532"/>
      <c r="I51" s="533"/>
      <c r="J51" s="534">
        <v>1529.8903394255874</v>
      </c>
      <c r="K51" s="534">
        <v>953.8207347589198</v>
      </c>
      <c r="L51" s="535">
        <f t="shared" si="30"/>
        <v>1529.8903394255874</v>
      </c>
      <c r="M51" s="535">
        <f t="shared" ref="M51:R51" si="35">L51*(1+M72)</f>
        <v>1531.9446194133518</v>
      </c>
      <c r="N51" s="535">
        <f t="shared" si="35"/>
        <v>1533.6788817257327</v>
      </c>
      <c r="O51" s="535">
        <f t="shared" si="35"/>
        <v>1535.0666115959064</v>
      </c>
      <c r="P51" s="535">
        <f t="shared" si="35"/>
        <v>1536.1476187478329</v>
      </c>
      <c r="Q51" s="535">
        <f t="shared" si="35"/>
        <v>1538.442236249994</v>
      </c>
      <c r="R51" s="535">
        <f t="shared" si="35"/>
        <v>1540.4024001634248</v>
      </c>
      <c r="S51" s="535">
        <f t="shared" ref="S51:Z51" si="36">R51*(1+S72)</f>
        <v>1542.1614980811519</v>
      </c>
      <c r="T51" s="535">
        <f t="shared" si="36"/>
        <v>1543.7289952402812</v>
      </c>
      <c r="U51" s="535">
        <f t="shared" si="36"/>
        <v>1545.0537016049041</v>
      </c>
      <c r="V51" s="535">
        <f t="shared" si="36"/>
        <v>1547.6871372349683</v>
      </c>
      <c r="W51" s="535">
        <f t="shared" si="36"/>
        <v>1550.2160102242772</v>
      </c>
      <c r="X51" s="535">
        <f t="shared" si="36"/>
        <v>1552.6362837633037</v>
      </c>
      <c r="Y51" s="535">
        <f t="shared" si="36"/>
        <v>1554.9140997299296</v>
      </c>
      <c r="Z51" s="535">
        <f t="shared" si="36"/>
        <v>1557.1842028952478</v>
      </c>
      <c r="AD51" s="536">
        <f t="shared" si="33"/>
        <v>27.293863469660437</v>
      </c>
      <c r="AE51" s="537">
        <f t="shared" si="34"/>
        <v>1529.8903394255874</v>
      </c>
      <c r="AF51" s="537">
        <v>27.293863469660437</v>
      </c>
      <c r="AG51" s="537">
        <v>0</v>
      </c>
      <c r="AH51" s="537">
        <v>0</v>
      </c>
      <c r="AI51" s="538"/>
      <c r="AJ51" s="539"/>
      <c r="AL51" s="540">
        <v>0</v>
      </c>
    </row>
    <row r="52" spans="1:38">
      <c r="A52" s="528">
        <v>4</v>
      </c>
      <c r="B52" s="529" t="s">
        <v>1126</v>
      </c>
      <c r="C52" s="529" t="s">
        <v>1167</v>
      </c>
      <c r="D52" s="530">
        <f t="shared" si="26"/>
        <v>-82.024471541397929</v>
      </c>
      <c r="E52" s="531">
        <f t="shared" si="27"/>
        <v>-0.12465725158267163</v>
      </c>
      <c r="F52" s="532"/>
      <c r="G52" s="532"/>
      <c r="I52" s="533"/>
      <c r="J52" s="534">
        <v>658</v>
      </c>
      <c r="K52" s="534">
        <v>486.00000000000028</v>
      </c>
      <c r="L52" s="535">
        <f t="shared" si="30"/>
        <v>658</v>
      </c>
      <c r="M52" s="535">
        <f t="shared" ref="M52:R52" si="37">L52*(1+M73)</f>
        <v>658.88353798773346</v>
      </c>
      <c r="N52" s="535">
        <f t="shared" si="37"/>
        <v>646.43684884195227</v>
      </c>
      <c r="O52" s="535">
        <f t="shared" si="37"/>
        <v>647.02176901983808</v>
      </c>
      <c r="P52" s="535">
        <f t="shared" si="37"/>
        <v>647.47740733186913</v>
      </c>
      <c r="Q52" s="535">
        <f t="shared" si="37"/>
        <v>648.44457544317902</v>
      </c>
      <c r="R52" s="535">
        <f t="shared" si="37"/>
        <v>622.7699253966191</v>
      </c>
      <c r="S52" s="535">
        <f t="shared" ref="S52:Z52" si="38">R52*(1+S73)</f>
        <v>616.84833403818038</v>
      </c>
      <c r="T52" s="535">
        <f t="shared" si="38"/>
        <v>610.83579683856829</v>
      </c>
      <c r="U52" s="535">
        <f t="shared" si="38"/>
        <v>604.71475085877069</v>
      </c>
      <c r="V52" s="535">
        <f t="shared" si="38"/>
        <v>599.08890137489993</v>
      </c>
      <c r="W52" s="535">
        <f t="shared" si="38"/>
        <v>593.40037420485805</v>
      </c>
      <c r="X52" s="535">
        <f t="shared" si="38"/>
        <v>587.64899063801931</v>
      </c>
      <c r="Y52" s="535">
        <f t="shared" si="38"/>
        <v>581.82348276387052</v>
      </c>
      <c r="Z52" s="535">
        <f t="shared" si="38"/>
        <v>575.97552845860207</v>
      </c>
      <c r="AD52" s="536">
        <f t="shared" si="33"/>
        <v>-82.024471541397929</v>
      </c>
      <c r="AE52" s="537">
        <f t="shared" si="34"/>
        <v>658</v>
      </c>
      <c r="AF52" s="537">
        <v>-82.024471541397929</v>
      </c>
      <c r="AG52" s="537">
        <v>0</v>
      </c>
      <c r="AH52" s="537">
        <v>0</v>
      </c>
      <c r="AI52" s="538"/>
      <c r="AJ52" s="539"/>
      <c r="AL52" s="540">
        <v>97.357936104495224</v>
      </c>
    </row>
    <row r="53" spans="1:38">
      <c r="A53" s="528">
        <v>5</v>
      </c>
      <c r="B53" s="529" t="s">
        <v>1120</v>
      </c>
      <c r="C53" s="529" t="s">
        <v>1167</v>
      </c>
      <c r="D53" s="530">
        <f t="shared" si="26"/>
        <v>-60.308599038000011</v>
      </c>
      <c r="E53" s="531">
        <f t="shared" si="27"/>
        <v>-4.32300191717572E-2</v>
      </c>
      <c r="F53" s="532"/>
      <c r="G53" s="532"/>
      <c r="I53" s="533"/>
      <c r="J53" s="534">
        <v>1395.0629722921913</v>
      </c>
      <c r="K53" s="534">
        <v>1090.3788997669549</v>
      </c>
      <c r="L53" s="535">
        <f t="shared" si="30"/>
        <v>1395.0629722921913</v>
      </c>
      <c r="M53" s="535">
        <f t="shared" ref="M53:R53" si="39">L53*(1+M74)</f>
        <v>1396.9362110935599</v>
      </c>
      <c r="N53" s="535">
        <f t="shared" si="39"/>
        <v>1384.5324586365693</v>
      </c>
      <c r="O53" s="535">
        <f t="shared" si="39"/>
        <v>1385.7852352588259</v>
      </c>
      <c r="P53" s="535">
        <f t="shared" si="39"/>
        <v>1386.7611171775866</v>
      </c>
      <c r="Q53" s="535">
        <f t="shared" si="39"/>
        <v>1388.8325888850948</v>
      </c>
      <c r="R53" s="535">
        <f t="shared" si="39"/>
        <v>1362.5091594170829</v>
      </c>
      <c r="S53" s="535">
        <f t="shared" ref="S53:Z53" si="40">R53*(1+S74)</f>
        <v>1358.7916604780273</v>
      </c>
      <c r="T53" s="535">
        <f t="shared" si="40"/>
        <v>1354.8939676111395</v>
      </c>
      <c r="U53" s="535">
        <f t="shared" si="40"/>
        <v>1350.7732931392793</v>
      </c>
      <c r="V53" s="535">
        <f t="shared" si="40"/>
        <v>1347.7832488440761</v>
      </c>
      <c r="W53" s="535">
        <f t="shared" si="40"/>
        <v>1344.6844949282788</v>
      </c>
      <c r="X53" s="535">
        <f t="shared" si="40"/>
        <v>1341.4746162578103</v>
      </c>
      <c r="Y53" s="535">
        <f t="shared" si="40"/>
        <v>1338.1255893349314</v>
      </c>
      <c r="Z53" s="535">
        <f t="shared" si="40"/>
        <v>1334.7543732541913</v>
      </c>
      <c r="AD53" s="536">
        <f t="shared" si="33"/>
        <v>-60.308599038000011</v>
      </c>
      <c r="AE53" s="537">
        <f t="shared" si="34"/>
        <v>1395.0629722921913</v>
      </c>
      <c r="AF53" s="537">
        <v>-60.308599038000239</v>
      </c>
      <c r="AG53" s="537">
        <v>0</v>
      </c>
      <c r="AH53" s="537">
        <v>0</v>
      </c>
      <c r="AI53" s="538"/>
      <c r="AJ53" s="539"/>
      <c r="AL53" s="540">
        <v>86.228424479287114</v>
      </c>
    </row>
    <row r="54" spans="1:38">
      <c r="A54" s="528">
        <v>6</v>
      </c>
      <c r="B54" s="529" t="s">
        <v>1128</v>
      </c>
      <c r="C54" s="529" t="s">
        <v>1167</v>
      </c>
      <c r="D54" s="530">
        <f t="shared" si="26"/>
        <v>20.454024488915138</v>
      </c>
      <c r="E54" s="531">
        <f t="shared" si="27"/>
        <v>1.7840405136428379E-2</v>
      </c>
      <c r="F54" s="532"/>
      <c r="G54" s="532"/>
      <c r="I54" s="533"/>
      <c r="J54" s="534">
        <v>1146.5</v>
      </c>
      <c r="K54" s="534">
        <v>1518.4999999999975</v>
      </c>
      <c r="L54" s="535">
        <f t="shared" si="30"/>
        <v>1146.5</v>
      </c>
      <c r="M54" s="535">
        <f t="shared" ref="M54:R54" si="41">L54*(1+M75)</f>
        <v>1148.0394776640371</v>
      </c>
      <c r="N54" s="535">
        <f t="shared" si="41"/>
        <v>1149.3391340445664</v>
      </c>
      <c r="O54" s="535">
        <f t="shared" si="41"/>
        <v>1150.379098972217</v>
      </c>
      <c r="P54" s="535">
        <f t="shared" si="41"/>
        <v>1151.1892058587989</v>
      </c>
      <c r="Q54" s="535">
        <f t="shared" si="41"/>
        <v>1152.9087924843445</v>
      </c>
      <c r="R54" s="535">
        <f t="shared" si="41"/>
        <v>1154.3777395512252</v>
      </c>
      <c r="S54" s="535">
        <f t="shared" ref="S54:Z54" si="42">R54*(1+S75)</f>
        <v>1155.6960077373171</v>
      </c>
      <c r="T54" s="535">
        <f t="shared" si="42"/>
        <v>1156.8706902924189</v>
      </c>
      <c r="U54" s="535">
        <f t="shared" si="42"/>
        <v>1157.8634253976097</v>
      </c>
      <c r="V54" s="535">
        <f t="shared" si="42"/>
        <v>1159.8369223679888</v>
      </c>
      <c r="W54" s="535">
        <f t="shared" si="42"/>
        <v>1161.7320600831085</v>
      </c>
      <c r="X54" s="535">
        <f t="shared" si="42"/>
        <v>1163.5458133574352</v>
      </c>
      <c r="Y54" s="535">
        <f t="shared" si="42"/>
        <v>1165.252808910278</v>
      </c>
      <c r="Z54" s="535">
        <f t="shared" si="42"/>
        <v>1166.9540244889151</v>
      </c>
      <c r="AD54" s="536">
        <f t="shared" si="33"/>
        <v>20.454024488915138</v>
      </c>
      <c r="AE54" s="537">
        <f t="shared" si="34"/>
        <v>1146.5</v>
      </c>
      <c r="AF54" s="537">
        <v>20.454024488915138</v>
      </c>
      <c r="AG54" s="537">
        <v>0</v>
      </c>
      <c r="AH54" s="537">
        <v>0</v>
      </c>
      <c r="AI54" s="538"/>
      <c r="AJ54" s="539"/>
      <c r="AL54" s="540">
        <v>0</v>
      </c>
    </row>
    <row r="55" spans="1:38">
      <c r="A55" s="528">
        <v>7</v>
      </c>
      <c r="B55" s="529" t="s">
        <v>1129</v>
      </c>
      <c r="C55" s="529" t="s">
        <v>1167</v>
      </c>
      <c r="D55" s="530">
        <f t="shared" si="26"/>
        <v>83.556353395110591</v>
      </c>
      <c r="E55" s="531">
        <f t="shared" si="27"/>
        <v>7.4107630505641328E-2</v>
      </c>
      <c r="F55" s="532"/>
      <c r="G55" s="532"/>
      <c r="I55" s="533"/>
      <c r="J55" s="534">
        <v>1127.5</v>
      </c>
      <c r="K55" s="534">
        <v>1027.9999999999959</v>
      </c>
      <c r="L55" s="535">
        <f t="shared" si="30"/>
        <v>1127.5</v>
      </c>
      <c r="M55" s="535">
        <f t="shared" ref="M55:R55" si="43">L55*(1+M76)</f>
        <v>1129.0139651689506</v>
      </c>
      <c r="N55" s="535">
        <f t="shared" si="43"/>
        <v>1132.5526675817871</v>
      </c>
      <c r="O55" s="535">
        <f t="shared" si="43"/>
        <v>1138.1117532622713</v>
      </c>
      <c r="P55" s="535">
        <f t="shared" si="43"/>
        <v>1148.0245271491913</v>
      </c>
      <c r="Q55" s="535">
        <f t="shared" si="43"/>
        <v>1161.2367804075227</v>
      </c>
      <c r="R55" s="535">
        <f t="shared" si="43"/>
        <v>1174.3435017349552</v>
      </c>
      <c r="S55" s="535">
        <f t="shared" ref="S55:Z55" si="44">R55*(1+S76)</f>
        <v>1185.0900468442212</v>
      </c>
      <c r="T55" s="535">
        <f t="shared" si="44"/>
        <v>1191.0397847687468</v>
      </c>
      <c r="U55" s="535">
        <f t="shared" si="44"/>
        <v>1196.8300884579469</v>
      </c>
      <c r="V55" s="535">
        <f t="shared" si="44"/>
        <v>1201.2677413742699</v>
      </c>
      <c r="W55" s="535">
        <f t="shared" si="44"/>
        <v>1205.6370369197891</v>
      </c>
      <c r="X55" s="535">
        <f t="shared" si="44"/>
        <v>1207.5193368050195</v>
      </c>
      <c r="Y55" s="535">
        <f t="shared" si="44"/>
        <v>1209.2908443075476</v>
      </c>
      <c r="Z55" s="535">
        <f t="shared" si="44"/>
        <v>1211.0563533951106</v>
      </c>
      <c r="AD55" s="536">
        <f t="shared" si="33"/>
        <v>83.556353395110591</v>
      </c>
      <c r="AE55" s="537">
        <f t="shared" si="34"/>
        <v>1127.5</v>
      </c>
      <c r="AF55" s="537">
        <v>83.556353395111046</v>
      </c>
      <c r="AG55" s="537">
        <v>0</v>
      </c>
      <c r="AH55" s="537">
        <v>0</v>
      </c>
      <c r="AI55" s="538"/>
      <c r="AJ55" s="539"/>
      <c r="AL55" s="540">
        <v>0</v>
      </c>
    </row>
    <row r="56" spans="1:38">
      <c r="A56" s="528">
        <v>8</v>
      </c>
      <c r="B56" s="529" t="s">
        <v>1130</v>
      </c>
      <c r="C56" s="529" t="s">
        <v>1167</v>
      </c>
      <c r="D56" s="530">
        <f t="shared" si="26"/>
        <v>-3.1700018832781325</v>
      </c>
      <c r="E56" s="531">
        <f t="shared" si="27"/>
        <v>-3.3298339110064412E-3</v>
      </c>
      <c r="F56" s="532"/>
      <c r="G56" s="532"/>
      <c r="I56" s="533"/>
      <c r="J56" s="534">
        <v>952.00000000000011</v>
      </c>
      <c r="K56" s="534">
        <v>433.99999999999983</v>
      </c>
      <c r="L56" s="535">
        <f t="shared" si="30"/>
        <v>952.00000000000011</v>
      </c>
      <c r="M56" s="535">
        <f t="shared" ref="M56:R56" si="45">L56*(1+M77)</f>
        <v>953.2783102801252</v>
      </c>
      <c r="N56" s="535">
        <f t="shared" si="45"/>
        <v>952.44876920994898</v>
      </c>
      <c r="O56" s="535">
        <f t="shared" si="45"/>
        <v>951.40395922919606</v>
      </c>
      <c r="P56" s="535">
        <f t="shared" si="45"/>
        <v>950.16979821346877</v>
      </c>
      <c r="Q56" s="535">
        <f t="shared" si="45"/>
        <v>950.63752337936819</v>
      </c>
      <c r="R56" s="535">
        <f t="shared" si="45"/>
        <v>950.89690331316092</v>
      </c>
      <c r="S56" s="535">
        <f t="shared" ref="S56:Z56" si="46">R56*(1+S77)</f>
        <v>951.03081908064814</v>
      </c>
      <c r="T56" s="535">
        <f t="shared" si="46"/>
        <v>951.04547659634909</v>
      </c>
      <c r="U56" s="535">
        <f t="shared" si="46"/>
        <v>949.95786557310396</v>
      </c>
      <c r="V56" s="535">
        <f t="shared" si="46"/>
        <v>949.67384809965984</v>
      </c>
      <c r="W56" s="535">
        <f t="shared" si="46"/>
        <v>949.32313466962626</v>
      </c>
      <c r="X56" s="535">
        <f t="shared" si="46"/>
        <v>949.8544594098496</v>
      </c>
      <c r="Y56" s="535">
        <f t="shared" si="46"/>
        <v>949.3454602721215</v>
      </c>
      <c r="Z56" s="535">
        <f t="shared" si="46"/>
        <v>948.82999811672198</v>
      </c>
      <c r="AD56" s="536">
        <f t="shared" si="33"/>
        <v>-3.1700018832781325</v>
      </c>
      <c r="AE56" s="537">
        <f t="shared" si="34"/>
        <v>952.00000000000011</v>
      </c>
      <c r="AF56" s="537">
        <v>-3.1700018832781325</v>
      </c>
      <c r="AG56" s="537">
        <v>0</v>
      </c>
      <c r="AH56" s="537">
        <v>0</v>
      </c>
      <c r="AI56" s="538"/>
      <c r="AJ56" s="539"/>
      <c r="AL56" s="540">
        <v>0</v>
      </c>
    </row>
    <row r="57" spans="1:38">
      <c r="A57" s="528">
        <v>9</v>
      </c>
      <c r="B57" s="529" t="s">
        <v>1127</v>
      </c>
      <c r="C57" s="529" t="s">
        <v>1167</v>
      </c>
      <c r="D57" s="530">
        <f t="shared" si="26"/>
        <v>15.039461530009248</v>
      </c>
      <c r="E57" s="531">
        <f t="shared" si="27"/>
        <v>1.7840405136428528E-2</v>
      </c>
      <c r="F57" s="532"/>
      <c r="G57" s="532"/>
      <c r="I57" s="533"/>
      <c r="J57" s="534">
        <v>843</v>
      </c>
      <c r="K57" s="534">
        <v>579.0000000000008</v>
      </c>
      <c r="L57" s="535">
        <f t="shared" si="30"/>
        <v>843</v>
      </c>
      <c r="M57" s="535">
        <f t="shared" ref="M57:R57" si="47">L57*(1+M78)</f>
        <v>844.13194912410233</v>
      </c>
      <c r="N57" s="535">
        <f t="shared" si="47"/>
        <v>845.08756214528523</v>
      </c>
      <c r="O57" s="535">
        <f t="shared" si="47"/>
        <v>845.85222889976353</v>
      </c>
      <c r="P57" s="535">
        <f t="shared" si="47"/>
        <v>846.44788533708459</v>
      </c>
      <c r="Q57" s="535">
        <f t="shared" si="47"/>
        <v>847.71226521090489</v>
      </c>
      <c r="R57" s="535">
        <f t="shared" si="47"/>
        <v>848.79235450648309</v>
      </c>
      <c r="S57" s="535">
        <f t="shared" ref="S57:Z57" si="48">R57*(1+S78)</f>
        <v>849.76165244008575</v>
      </c>
      <c r="T57" s="535">
        <f t="shared" si="48"/>
        <v>850.62537454558139</v>
      </c>
      <c r="U57" s="535">
        <f t="shared" si="48"/>
        <v>851.35531409523333</v>
      </c>
      <c r="V57" s="535">
        <f t="shared" si="48"/>
        <v>852.80638949517197</v>
      </c>
      <c r="W57" s="535">
        <f t="shared" si="48"/>
        <v>854.1998488007506</v>
      </c>
      <c r="X57" s="535">
        <f t="shared" si="48"/>
        <v>855.53346764964499</v>
      </c>
      <c r="Y57" s="535">
        <f t="shared" si="48"/>
        <v>856.78858954327472</v>
      </c>
      <c r="Z57" s="535">
        <f t="shared" si="48"/>
        <v>858.03946153000925</v>
      </c>
      <c r="AD57" s="536"/>
      <c r="AE57" s="537">
        <f t="shared" si="34"/>
        <v>843</v>
      </c>
      <c r="AF57" s="537">
        <v>0</v>
      </c>
      <c r="AG57" s="537">
        <v>0</v>
      </c>
      <c r="AH57" s="537">
        <v>0</v>
      </c>
      <c r="AI57" s="538"/>
      <c r="AJ57" s="539"/>
      <c r="AL57" s="540">
        <v>0</v>
      </c>
    </row>
    <row r="58" spans="1:38">
      <c r="A58" s="528">
        <v>10</v>
      </c>
      <c r="B58" s="529" t="s">
        <v>1131</v>
      </c>
      <c r="C58" s="529" t="s">
        <v>1167</v>
      </c>
      <c r="D58" s="530">
        <f t="shared" si="26"/>
        <v>-24.835646014174699</v>
      </c>
      <c r="E58" s="531">
        <f t="shared" si="27"/>
        <v>-4.3230019171757526E-2</v>
      </c>
      <c r="F58" s="532"/>
      <c r="G58" s="532"/>
      <c r="I58" s="533"/>
      <c r="J58" s="534">
        <v>574.5</v>
      </c>
      <c r="K58" s="534">
        <v>481.50000000000017</v>
      </c>
      <c r="L58" s="535">
        <f t="shared" si="30"/>
        <v>574.5</v>
      </c>
      <c r="M58" s="535">
        <f t="shared" ref="M58:R58" si="49">L58*(1+M79)</f>
        <v>575.27141728564266</v>
      </c>
      <c r="N58" s="535">
        <f t="shared" si="49"/>
        <v>570.16343583385719</v>
      </c>
      <c r="O58" s="535">
        <f t="shared" si="49"/>
        <v>570.6793409820699</v>
      </c>
      <c r="P58" s="535">
        <f t="shared" si="49"/>
        <v>571.08121829761978</v>
      </c>
      <c r="Q58" s="535">
        <f t="shared" si="49"/>
        <v>571.93426975092314</v>
      </c>
      <c r="R58" s="535">
        <f t="shared" si="49"/>
        <v>561.09403491584249</v>
      </c>
      <c r="S58" s="535">
        <f t="shared" ref="S58:Z58" si="50">R58*(1+S79)</f>
        <v>559.56313402971375</v>
      </c>
      <c r="T58" s="535">
        <f t="shared" si="50"/>
        <v>557.95802759616856</v>
      </c>
      <c r="U58" s="535">
        <f t="shared" si="50"/>
        <v>556.26109524895412</v>
      </c>
      <c r="V58" s="535">
        <f t="shared" si="50"/>
        <v>555.02976699946885</v>
      </c>
      <c r="W58" s="535">
        <f t="shared" si="50"/>
        <v>553.75367110990453</v>
      </c>
      <c r="X58" s="535">
        <f t="shared" si="50"/>
        <v>552.43181300542483</v>
      </c>
      <c r="Y58" s="535">
        <f t="shared" si="50"/>
        <v>551.05265234715523</v>
      </c>
      <c r="Z58" s="535">
        <f t="shared" si="50"/>
        <v>549.6643539858253</v>
      </c>
      <c r="AD58" s="536">
        <f t="shared" si="33"/>
        <v>-24.835646014174699</v>
      </c>
      <c r="AE58" s="537">
        <f t="shared" si="34"/>
        <v>574.5</v>
      </c>
      <c r="AF58" s="537">
        <v>-24.835646014174699</v>
      </c>
      <c r="AG58" s="537">
        <v>0</v>
      </c>
      <c r="AH58" s="537">
        <v>0</v>
      </c>
      <c r="AI58" s="538"/>
      <c r="AJ58" s="539"/>
      <c r="AL58" s="540">
        <v>35.961612362672504</v>
      </c>
    </row>
    <row r="59" spans="1:38">
      <c r="A59" s="528">
        <v>11</v>
      </c>
      <c r="B59" s="529" t="s">
        <v>1132</v>
      </c>
      <c r="C59" s="529" t="s">
        <v>1167</v>
      </c>
      <c r="D59" s="530">
        <f t="shared" si="26"/>
        <v>503.92559212593824</v>
      </c>
      <c r="E59" s="531" t="str">
        <f t="shared" si="27"/>
        <v>n/a</v>
      </c>
      <c r="F59" s="532"/>
      <c r="G59" s="532"/>
      <c r="I59" s="533"/>
      <c r="J59" s="534">
        <v>0</v>
      </c>
      <c r="K59" s="534">
        <v>0</v>
      </c>
      <c r="L59" s="535">
        <f t="shared" si="30"/>
        <v>0</v>
      </c>
      <c r="M59" s="535">
        <f t="shared" ref="M59:Q59" si="51">L59*(1+M80)</f>
        <v>0</v>
      </c>
      <c r="N59" s="535">
        <f t="shared" si="51"/>
        <v>0</v>
      </c>
      <c r="O59" s="535">
        <f t="shared" si="51"/>
        <v>0</v>
      </c>
      <c r="P59" s="535">
        <f t="shared" si="51"/>
        <v>0</v>
      </c>
      <c r="Q59" s="535">
        <f t="shared" si="51"/>
        <v>0</v>
      </c>
      <c r="R59" s="548">
        <v>150</v>
      </c>
      <c r="S59" s="535">
        <f t="shared" ref="S59:Z59" si="52">R59*(1+S80)</f>
        <v>300</v>
      </c>
      <c r="T59" s="535">
        <f t="shared" si="52"/>
        <v>450</v>
      </c>
      <c r="U59" s="535">
        <f t="shared" si="52"/>
        <v>500</v>
      </c>
      <c r="V59" s="535">
        <f t="shared" si="52"/>
        <v>500.85221491891474</v>
      </c>
      <c r="W59" s="535">
        <f t="shared" si="52"/>
        <v>501.67059197166122</v>
      </c>
      <c r="X59" s="535">
        <f t="shared" si="52"/>
        <v>502.45382479279635</v>
      </c>
      <c r="Y59" s="535">
        <f t="shared" si="52"/>
        <v>503.19095644209108</v>
      </c>
      <c r="Z59" s="535">
        <f t="shared" si="52"/>
        <v>503.92559212593824</v>
      </c>
      <c r="AD59" s="536">
        <f t="shared" si="33"/>
        <v>503.92559212593824</v>
      </c>
      <c r="AE59" s="537">
        <f t="shared" si="34"/>
        <v>0</v>
      </c>
      <c r="AF59" s="537">
        <v>503.92559212593824</v>
      </c>
      <c r="AG59" s="537">
        <v>0</v>
      </c>
      <c r="AH59" s="537">
        <v>0</v>
      </c>
      <c r="AI59" s="538"/>
      <c r="AJ59" s="539"/>
      <c r="AL59" s="540">
        <v>0</v>
      </c>
    </row>
    <row r="60" spans="1:38">
      <c r="A60" s="528">
        <v>12</v>
      </c>
      <c r="B60" s="529" t="s">
        <v>1133</v>
      </c>
      <c r="C60" s="529" t="s">
        <v>1167</v>
      </c>
      <c r="D60" s="530">
        <f t="shared" si="26"/>
        <v>65.838534369954445</v>
      </c>
      <c r="E60" s="531" t="str">
        <f t="shared" si="27"/>
        <v>n/a</v>
      </c>
      <c r="F60" s="532"/>
      <c r="G60" s="532"/>
      <c r="I60" s="533"/>
      <c r="J60" s="534">
        <v>0</v>
      </c>
      <c r="K60" s="534">
        <v>0</v>
      </c>
      <c r="L60" s="535">
        <f t="shared" si="30"/>
        <v>0</v>
      </c>
      <c r="M60" s="535">
        <f t="shared" ref="M60:Q60" si="53">L60*(1+M81)</f>
        <v>0</v>
      </c>
      <c r="N60" s="535">
        <f t="shared" si="53"/>
        <v>0</v>
      </c>
      <c r="O60" s="535">
        <f t="shared" si="53"/>
        <v>0</v>
      </c>
      <c r="P60" s="535">
        <f t="shared" si="53"/>
        <v>0</v>
      </c>
      <c r="Q60" s="535">
        <f t="shared" si="53"/>
        <v>0</v>
      </c>
      <c r="R60" s="548">
        <v>10</v>
      </c>
      <c r="S60" s="535">
        <f t="shared" ref="S60:Z60" si="54">R60*(1+S81)</f>
        <v>25</v>
      </c>
      <c r="T60" s="535">
        <f t="shared" si="54"/>
        <v>45</v>
      </c>
      <c r="U60" s="535">
        <f t="shared" si="54"/>
        <v>65</v>
      </c>
      <c r="V60" s="535">
        <f t="shared" si="54"/>
        <v>65.175898727398362</v>
      </c>
      <c r="W60" s="535">
        <f t="shared" si="54"/>
        <v>65.347676527405525</v>
      </c>
      <c r="X60" s="535">
        <f t="shared" si="54"/>
        <v>65.515150237043358</v>
      </c>
      <c r="Y60" s="535">
        <f t="shared" si="54"/>
        <v>65.676876385492434</v>
      </c>
      <c r="Z60" s="535">
        <f t="shared" si="54"/>
        <v>65.838534369954445</v>
      </c>
      <c r="AD60" s="536">
        <f t="shared" si="33"/>
        <v>65.838534369954445</v>
      </c>
      <c r="AE60" s="537">
        <f t="shared" si="34"/>
        <v>0</v>
      </c>
      <c r="AF60" s="537">
        <v>65.838534369954445</v>
      </c>
      <c r="AG60" s="537">
        <v>0</v>
      </c>
      <c r="AH60" s="537">
        <v>0</v>
      </c>
      <c r="AI60" s="538"/>
      <c r="AJ60" s="539"/>
      <c r="AL60" s="540">
        <v>0</v>
      </c>
    </row>
    <row r="61" spans="1:38">
      <c r="A61" s="528">
        <v>13</v>
      </c>
      <c r="B61" s="529">
        <v>0</v>
      </c>
      <c r="C61" s="529" t="s">
        <v>1167</v>
      </c>
      <c r="D61" s="530">
        <f t="shared" si="26"/>
        <v>0</v>
      </c>
      <c r="E61" s="531" t="str">
        <f t="shared" si="27"/>
        <v>n/a</v>
      </c>
      <c r="F61" s="532"/>
      <c r="G61" s="532"/>
      <c r="I61" s="533"/>
      <c r="J61" s="534">
        <v>0</v>
      </c>
      <c r="K61" s="534">
        <v>0</v>
      </c>
      <c r="L61" s="535">
        <f t="shared" si="30"/>
        <v>0</v>
      </c>
      <c r="M61" s="535">
        <f t="shared" ref="M61:R61" si="55">L61*(1+M82)</f>
        <v>0</v>
      </c>
      <c r="N61" s="535">
        <f t="shared" si="55"/>
        <v>0</v>
      </c>
      <c r="O61" s="535">
        <f t="shared" si="55"/>
        <v>0</v>
      </c>
      <c r="P61" s="535">
        <f t="shared" si="55"/>
        <v>0</v>
      </c>
      <c r="Q61" s="535">
        <f t="shared" si="55"/>
        <v>0</v>
      </c>
      <c r="R61" s="535">
        <f t="shared" si="55"/>
        <v>0</v>
      </c>
      <c r="S61" s="535">
        <f t="shared" ref="S61:Z61" si="56">R61*(1+S82)</f>
        <v>0</v>
      </c>
      <c r="T61" s="535">
        <f t="shared" si="56"/>
        <v>0</v>
      </c>
      <c r="U61" s="535">
        <f t="shared" si="56"/>
        <v>0</v>
      </c>
      <c r="V61" s="535">
        <f t="shared" si="56"/>
        <v>0</v>
      </c>
      <c r="W61" s="535">
        <f t="shared" si="56"/>
        <v>0</v>
      </c>
      <c r="X61" s="535">
        <f t="shared" si="56"/>
        <v>0</v>
      </c>
      <c r="Y61" s="535">
        <f t="shared" si="56"/>
        <v>0</v>
      </c>
      <c r="Z61" s="535">
        <f t="shared" si="56"/>
        <v>0</v>
      </c>
      <c r="AD61" s="536">
        <f t="shared" si="33"/>
        <v>0</v>
      </c>
      <c r="AE61" s="537">
        <f t="shared" si="34"/>
        <v>0</v>
      </c>
      <c r="AF61" s="537">
        <v>0</v>
      </c>
      <c r="AG61" s="537">
        <v>0</v>
      </c>
      <c r="AH61" s="537">
        <v>0</v>
      </c>
      <c r="AI61" s="538"/>
      <c r="AJ61" s="539"/>
      <c r="AL61" s="540">
        <v>0</v>
      </c>
    </row>
    <row r="62" spans="1:38">
      <c r="A62" s="528">
        <v>14</v>
      </c>
      <c r="B62" s="529">
        <v>0</v>
      </c>
      <c r="C62" s="529" t="s">
        <v>1167</v>
      </c>
      <c r="D62" s="530">
        <f t="shared" si="26"/>
        <v>0</v>
      </c>
      <c r="E62" s="531" t="str">
        <f t="shared" si="27"/>
        <v>n/a</v>
      </c>
      <c r="F62" s="532"/>
      <c r="G62" s="532"/>
      <c r="I62" s="533"/>
      <c r="J62" s="534">
        <v>0</v>
      </c>
      <c r="K62" s="534">
        <v>0</v>
      </c>
      <c r="L62" s="535">
        <f t="shared" si="30"/>
        <v>0</v>
      </c>
      <c r="M62" s="535">
        <f t="shared" ref="M62:R62" si="57">L62*(1+M83)</f>
        <v>0</v>
      </c>
      <c r="N62" s="535">
        <f t="shared" si="57"/>
        <v>0</v>
      </c>
      <c r="O62" s="535">
        <f t="shared" si="57"/>
        <v>0</v>
      </c>
      <c r="P62" s="535">
        <f t="shared" si="57"/>
        <v>0</v>
      </c>
      <c r="Q62" s="535">
        <f t="shared" si="57"/>
        <v>0</v>
      </c>
      <c r="R62" s="535">
        <f t="shared" si="57"/>
        <v>0</v>
      </c>
      <c r="S62" s="535">
        <f t="shared" ref="S62:Z62" si="58">R62*(1+S83)</f>
        <v>0</v>
      </c>
      <c r="T62" s="535">
        <f t="shared" si="58"/>
        <v>0</v>
      </c>
      <c r="U62" s="535">
        <f t="shared" si="58"/>
        <v>0</v>
      </c>
      <c r="V62" s="535">
        <f t="shared" si="58"/>
        <v>0</v>
      </c>
      <c r="W62" s="535">
        <f t="shared" si="58"/>
        <v>0</v>
      </c>
      <c r="X62" s="535">
        <f t="shared" si="58"/>
        <v>0</v>
      </c>
      <c r="Y62" s="535">
        <f t="shared" si="58"/>
        <v>0</v>
      </c>
      <c r="Z62" s="535">
        <f t="shared" si="58"/>
        <v>0</v>
      </c>
      <c r="AD62" s="536">
        <f t="shared" si="33"/>
        <v>0</v>
      </c>
      <c r="AE62" s="537">
        <f t="shared" si="34"/>
        <v>0</v>
      </c>
      <c r="AF62" s="537">
        <v>0</v>
      </c>
      <c r="AG62" s="537">
        <v>0</v>
      </c>
      <c r="AH62" s="537">
        <v>0</v>
      </c>
      <c r="AI62" s="538"/>
      <c r="AJ62" s="539"/>
      <c r="AL62" s="540">
        <v>0</v>
      </c>
    </row>
    <row r="63" spans="1:38">
      <c r="A63" s="528">
        <v>15</v>
      </c>
      <c r="B63" s="529">
        <v>0</v>
      </c>
      <c r="C63" s="529" t="s">
        <v>1167</v>
      </c>
      <c r="D63" s="530">
        <f t="shared" si="26"/>
        <v>0</v>
      </c>
      <c r="E63" s="531" t="str">
        <f t="shared" si="27"/>
        <v>n/a</v>
      </c>
      <c r="F63" s="532"/>
      <c r="G63" s="532"/>
      <c r="I63" s="533"/>
      <c r="J63" s="534">
        <v>0</v>
      </c>
      <c r="K63" s="534">
        <v>0</v>
      </c>
      <c r="L63" s="535">
        <f t="shared" si="30"/>
        <v>0</v>
      </c>
      <c r="M63" s="535">
        <f t="shared" ref="M63:R63" si="59">L63*(1+M84)</f>
        <v>0</v>
      </c>
      <c r="N63" s="535">
        <f t="shared" si="59"/>
        <v>0</v>
      </c>
      <c r="O63" s="535">
        <f t="shared" si="59"/>
        <v>0</v>
      </c>
      <c r="P63" s="535">
        <f t="shared" si="59"/>
        <v>0</v>
      </c>
      <c r="Q63" s="535">
        <f t="shared" si="59"/>
        <v>0</v>
      </c>
      <c r="R63" s="535">
        <f t="shared" si="59"/>
        <v>0</v>
      </c>
      <c r="S63" s="535">
        <f t="shared" ref="S63:Z63" si="60">R63*(1+S84)</f>
        <v>0</v>
      </c>
      <c r="T63" s="535">
        <f t="shared" si="60"/>
        <v>0</v>
      </c>
      <c r="U63" s="535">
        <f t="shared" si="60"/>
        <v>0</v>
      </c>
      <c r="V63" s="535">
        <f t="shared" si="60"/>
        <v>0</v>
      </c>
      <c r="W63" s="535">
        <f t="shared" si="60"/>
        <v>0</v>
      </c>
      <c r="X63" s="535">
        <f t="shared" si="60"/>
        <v>0</v>
      </c>
      <c r="Y63" s="535">
        <f t="shared" si="60"/>
        <v>0</v>
      </c>
      <c r="Z63" s="535">
        <f t="shared" si="60"/>
        <v>0</v>
      </c>
      <c r="AD63" s="536">
        <f t="shared" si="33"/>
        <v>0</v>
      </c>
      <c r="AE63" s="537">
        <f t="shared" si="34"/>
        <v>0</v>
      </c>
      <c r="AF63" s="537">
        <v>0</v>
      </c>
      <c r="AG63" s="537">
        <v>0</v>
      </c>
      <c r="AH63" s="537">
        <v>0</v>
      </c>
      <c r="AI63" s="538"/>
      <c r="AJ63" s="539"/>
      <c r="AL63" s="540">
        <v>0</v>
      </c>
    </row>
    <row r="64" spans="1:38">
      <c r="A64" s="528">
        <v>16</v>
      </c>
      <c r="B64" s="529">
        <v>0</v>
      </c>
      <c r="C64" s="529" t="s">
        <v>1167</v>
      </c>
      <c r="D64" s="530">
        <f t="shared" si="26"/>
        <v>0</v>
      </c>
      <c r="E64" s="531" t="str">
        <f t="shared" si="27"/>
        <v>n/a</v>
      </c>
      <c r="F64" s="532"/>
      <c r="G64" s="532"/>
      <c r="I64" s="533"/>
      <c r="J64" s="534">
        <v>0</v>
      </c>
      <c r="K64" s="534">
        <v>0</v>
      </c>
      <c r="L64" s="535">
        <f t="shared" si="30"/>
        <v>0</v>
      </c>
      <c r="M64" s="535">
        <f t="shared" ref="M64:R64" si="61">L64*(1+M85)</f>
        <v>0</v>
      </c>
      <c r="N64" s="535">
        <f t="shared" si="61"/>
        <v>0</v>
      </c>
      <c r="O64" s="535">
        <f t="shared" si="61"/>
        <v>0</v>
      </c>
      <c r="P64" s="535">
        <f t="shared" si="61"/>
        <v>0</v>
      </c>
      <c r="Q64" s="535">
        <f t="shared" si="61"/>
        <v>0</v>
      </c>
      <c r="R64" s="535">
        <f t="shared" si="61"/>
        <v>0</v>
      </c>
      <c r="S64" s="535">
        <f t="shared" ref="S64:Z64" si="62">R64*(1+S85)</f>
        <v>0</v>
      </c>
      <c r="T64" s="535">
        <f t="shared" si="62"/>
        <v>0</v>
      </c>
      <c r="U64" s="535">
        <f t="shared" si="62"/>
        <v>0</v>
      </c>
      <c r="V64" s="535">
        <f t="shared" si="62"/>
        <v>0</v>
      </c>
      <c r="W64" s="535">
        <f t="shared" si="62"/>
        <v>0</v>
      </c>
      <c r="X64" s="535">
        <f t="shared" si="62"/>
        <v>0</v>
      </c>
      <c r="Y64" s="535">
        <f t="shared" si="62"/>
        <v>0</v>
      </c>
      <c r="Z64" s="535">
        <f t="shared" si="62"/>
        <v>0</v>
      </c>
      <c r="AD64" s="536">
        <f t="shared" si="33"/>
        <v>0</v>
      </c>
      <c r="AE64" s="537">
        <f t="shared" si="34"/>
        <v>0</v>
      </c>
      <c r="AF64" s="537">
        <v>0</v>
      </c>
      <c r="AG64" s="537">
        <v>0</v>
      </c>
      <c r="AH64" s="537">
        <v>0</v>
      </c>
      <c r="AI64" s="538"/>
      <c r="AJ64" s="539"/>
      <c r="AL64" s="540">
        <v>0</v>
      </c>
    </row>
    <row r="65" spans="1:38">
      <c r="A65" s="528">
        <v>17</v>
      </c>
      <c r="B65" s="529">
        <v>0</v>
      </c>
      <c r="C65" s="529" t="s">
        <v>1167</v>
      </c>
      <c r="D65" s="530">
        <f t="shared" si="26"/>
        <v>0</v>
      </c>
      <c r="E65" s="531" t="str">
        <f t="shared" si="27"/>
        <v>n/a</v>
      </c>
      <c r="F65" s="532"/>
      <c r="G65" s="532"/>
      <c r="I65" s="533"/>
      <c r="J65" s="534">
        <v>0</v>
      </c>
      <c r="K65" s="534">
        <v>0</v>
      </c>
      <c r="L65" s="535">
        <f t="shared" si="30"/>
        <v>0</v>
      </c>
      <c r="M65" s="535">
        <f t="shared" ref="M65:R65" si="63">L65*(1+M86)</f>
        <v>0</v>
      </c>
      <c r="N65" s="535">
        <f t="shared" si="63"/>
        <v>0</v>
      </c>
      <c r="O65" s="535">
        <f t="shared" si="63"/>
        <v>0</v>
      </c>
      <c r="P65" s="535">
        <f t="shared" si="63"/>
        <v>0</v>
      </c>
      <c r="Q65" s="535">
        <f t="shared" si="63"/>
        <v>0</v>
      </c>
      <c r="R65" s="535">
        <f t="shared" si="63"/>
        <v>0</v>
      </c>
      <c r="S65" s="535">
        <f t="shared" ref="S65:Z65" si="64">R65*(1+S86)</f>
        <v>0</v>
      </c>
      <c r="T65" s="535">
        <f t="shared" si="64"/>
        <v>0</v>
      </c>
      <c r="U65" s="535">
        <f t="shared" si="64"/>
        <v>0</v>
      </c>
      <c r="V65" s="535">
        <f t="shared" si="64"/>
        <v>0</v>
      </c>
      <c r="W65" s="535">
        <f t="shared" si="64"/>
        <v>0</v>
      </c>
      <c r="X65" s="535">
        <f t="shared" si="64"/>
        <v>0</v>
      </c>
      <c r="Y65" s="535">
        <f t="shared" si="64"/>
        <v>0</v>
      </c>
      <c r="Z65" s="535">
        <f t="shared" si="64"/>
        <v>0</v>
      </c>
      <c r="AD65" s="536">
        <f t="shared" si="33"/>
        <v>0</v>
      </c>
      <c r="AE65" s="537">
        <f t="shared" si="34"/>
        <v>0</v>
      </c>
      <c r="AF65" s="537">
        <v>0</v>
      </c>
      <c r="AG65" s="537">
        <v>0</v>
      </c>
      <c r="AH65" s="537">
        <v>0</v>
      </c>
      <c r="AI65" s="538"/>
      <c r="AJ65" s="539"/>
      <c r="AL65" s="540">
        <v>0</v>
      </c>
    </row>
    <row r="66" spans="1:38">
      <c r="A66" s="528">
        <v>18</v>
      </c>
      <c r="B66" s="529">
        <v>0</v>
      </c>
      <c r="C66" s="529" t="s">
        <v>1167</v>
      </c>
      <c r="D66" s="530">
        <f t="shared" si="26"/>
        <v>0</v>
      </c>
      <c r="E66" s="531" t="str">
        <f t="shared" si="27"/>
        <v>n/a</v>
      </c>
      <c r="F66" s="532"/>
      <c r="G66" s="532"/>
      <c r="I66" s="533"/>
      <c r="J66" s="534">
        <v>0</v>
      </c>
      <c r="K66" s="534">
        <v>0</v>
      </c>
      <c r="L66" s="535">
        <f t="shared" si="30"/>
        <v>0</v>
      </c>
      <c r="M66" s="535">
        <f t="shared" ref="M66:R66" si="65">L66*(1+M87)</f>
        <v>0</v>
      </c>
      <c r="N66" s="535">
        <f t="shared" si="65"/>
        <v>0</v>
      </c>
      <c r="O66" s="535">
        <f t="shared" si="65"/>
        <v>0</v>
      </c>
      <c r="P66" s="535">
        <f t="shared" si="65"/>
        <v>0</v>
      </c>
      <c r="Q66" s="535">
        <f t="shared" si="65"/>
        <v>0</v>
      </c>
      <c r="R66" s="535">
        <f t="shared" si="65"/>
        <v>0</v>
      </c>
      <c r="S66" s="535">
        <f t="shared" ref="S66:Z66" si="66">R66*(1+S87)</f>
        <v>0</v>
      </c>
      <c r="T66" s="535">
        <f t="shared" si="66"/>
        <v>0</v>
      </c>
      <c r="U66" s="535">
        <f t="shared" si="66"/>
        <v>0</v>
      </c>
      <c r="V66" s="535">
        <f t="shared" si="66"/>
        <v>0</v>
      </c>
      <c r="W66" s="535">
        <f t="shared" si="66"/>
        <v>0</v>
      </c>
      <c r="X66" s="535">
        <f t="shared" si="66"/>
        <v>0</v>
      </c>
      <c r="Y66" s="535">
        <f t="shared" si="66"/>
        <v>0</v>
      </c>
      <c r="Z66" s="535">
        <f t="shared" si="66"/>
        <v>0</v>
      </c>
      <c r="AD66" s="536">
        <f t="shared" si="33"/>
        <v>0</v>
      </c>
      <c r="AE66" s="537">
        <f t="shared" si="34"/>
        <v>0</v>
      </c>
      <c r="AF66" s="537">
        <v>0</v>
      </c>
      <c r="AG66" s="537">
        <v>0</v>
      </c>
      <c r="AH66" s="537">
        <v>0</v>
      </c>
      <c r="AI66" s="538"/>
      <c r="AJ66" s="539"/>
      <c r="AL66" s="540">
        <v>0</v>
      </c>
    </row>
    <row r="67" spans="1:38">
      <c r="A67" s="528">
        <v>19</v>
      </c>
      <c r="B67" s="529">
        <v>0</v>
      </c>
      <c r="C67" s="529" t="s">
        <v>1167</v>
      </c>
      <c r="D67" s="530">
        <f t="shared" si="26"/>
        <v>0</v>
      </c>
      <c r="E67" s="531" t="str">
        <f t="shared" si="27"/>
        <v>n/a</v>
      </c>
      <c r="F67" s="532"/>
      <c r="G67" s="532"/>
      <c r="I67" s="533"/>
      <c r="J67" s="534">
        <v>0</v>
      </c>
      <c r="K67" s="534">
        <v>0</v>
      </c>
      <c r="L67" s="535">
        <f t="shared" si="30"/>
        <v>0</v>
      </c>
      <c r="M67" s="535">
        <f t="shared" ref="M67:R67" si="67">L67*(1+M88)</f>
        <v>0</v>
      </c>
      <c r="N67" s="535">
        <f t="shared" si="67"/>
        <v>0</v>
      </c>
      <c r="O67" s="535">
        <f t="shared" si="67"/>
        <v>0</v>
      </c>
      <c r="P67" s="535">
        <f t="shared" si="67"/>
        <v>0</v>
      </c>
      <c r="Q67" s="535">
        <f t="shared" si="67"/>
        <v>0</v>
      </c>
      <c r="R67" s="535">
        <f t="shared" si="67"/>
        <v>0</v>
      </c>
      <c r="S67" s="535">
        <f t="shared" ref="S67:Z67" si="68">R67*(1+S88)</f>
        <v>0</v>
      </c>
      <c r="T67" s="535">
        <f t="shared" si="68"/>
        <v>0</v>
      </c>
      <c r="U67" s="535">
        <f t="shared" si="68"/>
        <v>0</v>
      </c>
      <c r="V67" s="535">
        <f t="shared" si="68"/>
        <v>0</v>
      </c>
      <c r="W67" s="535">
        <f t="shared" si="68"/>
        <v>0</v>
      </c>
      <c r="X67" s="535">
        <f t="shared" si="68"/>
        <v>0</v>
      </c>
      <c r="Y67" s="535">
        <f t="shared" si="68"/>
        <v>0</v>
      </c>
      <c r="Z67" s="535">
        <f t="shared" si="68"/>
        <v>0</v>
      </c>
      <c r="AD67" s="536">
        <f t="shared" si="33"/>
        <v>0</v>
      </c>
      <c r="AE67" s="537">
        <f t="shared" si="34"/>
        <v>0</v>
      </c>
      <c r="AF67" s="537">
        <v>0</v>
      </c>
      <c r="AG67" s="537">
        <v>0</v>
      </c>
      <c r="AH67" s="537">
        <v>0</v>
      </c>
      <c r="AI67" s="538"/>
      <c r="AJ67" s="539"/>
      <c r="AL67" s="540">
        <v>0</v>
      </c>
    </row>
    <row r="68" spans="1:38">
      <c r="A68" s="528">
        <v>20</v>
      </c>
      <c r="B68" s="529">
        <v>0</v>
      </c>
      <c r="C68" s="529" t="s">
        <v>1167</v>
      </c>
      <c r="D68" s="530">
        <f t="shared" si="26"/>
        <v>0</v>
      </c>
      <c r="E68" s="531" t="str">
        <f t="shared" si="27"/>
        <v>n/a</v>
      </c>
      <c r="F68" s="541"/>
      <c r="G68" s="541"/>
      <c r="I68" s="533"/>
      <c r="J68" s="534">
        <v>0</v>
      </c>
      <c r="K68" s="534">
        <v>0</v>
      </c>
      <c r="L68" s="535">
        <f t="shared" si="30"/>
        <v>0</v>
      </c>
      <c r="M68" s="535">
        <f t="shared" ref="M68:R68" si="69">L68*(1+M89)</f>
        <v>0</v>
      </c>
      <c r="N68" s="535">
        <f t="shared" si="69"/>
        <v>0</v>
      </c>
      <c r="O68" s="535">
        <f t="shared" si="69"/>
        <v>0</v>
      </c>
      <c r="P68" s="535">
        <f t="shared" si="69"/>
        <v>0</v>
      </c>
      <c r="Q68" s="535">
        <f t="shared" si="69"/>
        <v>0</v>
      </c>
      <c r="R68" s="535">
        <f t="shared" si="69"/>
        <v>0</v>
      </c>
      <c r="S68" s="535">
        <f t="shared" ref="S68:Z68" si="70">R68*(1+S89)</f>
        <v>0</v>
      </c>
      <c r="T68" s="535">
        <f t="shared" si="70"/>
        <v>0</v>
      </c>
      <c r="U68" s="535">
        <f t="shared" si="70"/>
        <v>0</v>
      </c>
      <c r="V68" s="535">
        <f t="shared" si="70"/>
        <v>0</v>
      </c>
      <c r="W68" s="535">
        <f t="shared" si="70"/>
        <v>0</v>
      </c>
      <c r="X68" s="535">
        <f t="shared" si="70"/>
        <v>0</v>
      </c>
      <c r="Y68" s="535">
        <f t="shared" si="70"/>
        <v>0</v>
      </c>
      <c r="Z68" s="535">
        <f t="shared" si="70"/>
        <v>0</v>
      </c>
      <c r="AD68" s="536">
        <f t="shared" si="33"/>
        <v>0</v>
      </c>
      <c r="AE68" s="537">
        <f t="shared" si="34"/>
        <v>0</v>
      </c>
      <c r="AF68" s="537">
        <v>0</v>
      </c>
      <c r="AG68" s="537">
        <v>0</v>
      </c>
      <c r="AH68" s="537">
        <v>0</v>
      </c>
      <c r="AI68" s="538"/>
      <c r="AJ68" s="539"/>
      <c r="AL68" s="540">
        <v>0</v>
      </c>
    </row>
    <row r="69" spans="1:38" collapsed="1">
      <c r="A69" s="542" t="s">
        <v>317</v>
      </c>
      <c r="B69" s="542"/>
      <c r="C69" s="542"/>
      <c r="D69" s="542"/>
      <c r="E69" s="542"/>
      <c r="F69" s="542"/>
      <c r="G69" s="542"/>
      <c r="H69" s="542"/>
      <c r="I69" s="543"/>
      <c r="J69" s="543">
        <v>12635.06743404498</v>
      </c>
      <c r="K69" s="543">
        <v>10136.476335419371</v>
      </c>
      <c r="L69" s="543">
        <f>SUM(L49:L68)</f>
        <v>12635.06743404498</v>
      </c>
      <c r="M69" s="543">
        <f t="shared" ref="M69:Z69" si="71">SUM(M49:M68)</f>
        <v>12652.033333825455</v>
      </c>
      <c r="N69" s="543">
        <f t="shared" si="71"/>
        <v>12606.884731519147</v>
      </c>
      <c r="O69" s="543">
        <f t="shared" si="71"/>
        <v>12647.561235846002</v>
      </c>
      <c r="P69" s="543">
        <f t="shared" si="71"/>
        <v>12690.601916784544</v>
      </c>
      <c r="Q69" s="543">
        <f t="shared" si="71"/>
        <v>12774.578074756768</v>
      </c>
      <c r="R69" s="543">
        <f t="shared" si="71"/>
        <v>12865.021145882647</v>
      </c>
      <c r="S69" s="543">
        <f t="shared" si="71"/>
        <v>13044.715821772121</v>
      </c>
      <c r="T69" s="543">
        <f t="shared" si="71"/>
        <v>13223.002268050974</v>
      </c>
      <c r="U69" s="543">
        <f t="shared" si="71"/>
        <v>13270.691439718097</v>
      </c>
      <c r="V69" s="543">
        <f t="shared" si="71"/>
        <v>13257.71105393263</v>
      </c>
      <c r="W69" s="543">
        <f t="shared" si="71"/>
        <v>13243.724908974182</v>
      </c>
      <c r="X69" s="543">
        <f t="shared" si="71"/>
        <v>13227.241635295921</v>
      </c>
      <c r="Y69" s="543">
        <f t="shared" si="71"/>
        <v>13208.482063031794</v>
      </c>
      <c r="Z69" s="543">
        <f t="shared" si="71"/>
        <v>13189.549222374806</v>
      </c>
      <c r="AD69" s="544">
        <f>SUM(AD49:AD68)</f>
        <v>539.4423267998186</v>
      </c>
      <c r="AE69" s="544">
        <f t="shared" si="34"/>
        <v>12635.06743404498</v>
      </c>
      <c r="AF69" s="544">
        <v>539.44232679981883</v>
      </c>
      <c r="AG69" s="544">
        <v>0</v>
      </c>
      <c r="AH69" s="544">
        <v>0</v>
      </c>
    </row>
    <row r="70" spans="1:38" outlineLevel="1">
      <c r="A70" s="528">
        <v>1</v>
      </c>
      <c r="B70" s="529" t="s">
        <v>1125</v>
      </c>
      <c r="C70" s="529" t="s">
        <v>1167</v>
      </c>
      <c r="I70" s="545"/>
      <c r="J70" s="546"/>
      <c r="K70" s="546">
        <v>-0.21662938105891127</v>
      </c>
      <c r="L70" s="546">
        <v>0.27653498334126603</v>
      </c>
      <c r="M70" s="546">
        <v>1.3427628992910279E-3</v>
      </c>
      <c r="N70" s="546">
        <v>-8.8792547279453737E-3</v>
      </c>
      <c r="O70" s="546">
        <v>1.091388568074847E-2</v>
      </c>
      <c r="P70" s="546">
        <v>1.0711250713941967E-2</v>
      </c>
      <c r="Q70" s="546">
        <v>2.152362300578381E-2</v>
      </c>
      <c r="R70" s="546">
        <v>-9.6488678981653253E-3</v>
      </c>
      <c r="S70" s="546">
        <v>3.2537568282224871E-3</v>
      </c>
      <c r="T70" s="546">
        <v>3.0657536412417308E-3</v>
      </c>
      <c r="U70" s="546">
        <v>-7.0851973592637174E-3</v>
      </c>
      <c r="V70" s="546">
        <v>-6.3092056008731134E-3</v>
      </c>
      <c r="W70" s="546">
        <v>-6.4437241795818334E-3</v>
      </c>
      <c r="X70" s="546">
        <v>-6.5815251624740112E-3</v>
      </c>
      <c r="Y70" s="546">
        <v>-6.7416829566633307E-3</v>
      </c>
      <c r="Z70" s="546">
        <v>-6.8165744779991044E-3</v>
      </c>
      <c r="AL70" s="540"/>
    </row>
    <row r="71" spans="1:38" outlineLevel="1">
      <c r="A71" s="528">
        <v>2</v>
      </c>
      <c r="B71" s="529" t="s">
        <v>1168</v>
      </c>
      <c r="C71" s="529" t="s">
        <v>1167</v>
      </c>
      <c r="I71" s="545"/>
      <c r="J71" s="546"/>
      <c r="K71" s="546">
        <v>-0.15193749317890837</v>
      </c>
      <c r="L71" s="546">
        <v>0.17915836622519299</v>
      </c>
      <c r="M71" s="546">
        <v>1.3427628992910279E-3</v>
      </c>
      <c r="N71" s="546">
        <v>1.1320659313682757E-3</v>
      </c>
      <c r="O71" s="546">
        <v>9.048373076716576E-4</v>
      </c>
      <c r="P71" s="546">
        <v>7.0420862766518155E-4</v>
      </c>
      <c r="Q71" s="546">
        <v>1.4937480448862228E-3</v>
      </c>
      <c r="R71" s="546">
        <v>1.2741225294286007E-3</v>
      </c>
      <c r="S71" s="546">
        <v>1.1419729789698962E-3</v>
      </c>
      <c r="T71" s="546">
        <v>1.016428669163183E-3</v>
      </c>
      <c r="U71" s="546">
        <v>8.5812106186211601E-4</v>
      </c>
      <c r="V71" s="546">
        <v>1.7044298378294798E-3</v>
      </c>
      <c r="W71" s="546">
        <v>1.6339691197710948E-3</v>
      </c>
      <c r="X71" s="546">
        <v>1.5612492214400753E-3</v>
      </c>
      <c r="Y71" s="546">
        <v>1.4670634651825498E-3</v>
      </c>
      <c r="Z71" s="546">
        <v>1.4599540680173551E-3</v>
      </c>
    </row>
    <row r="72" spans="1:38" outlineLevel="1">
      <c r="A72" s="528">
        <v>3</v>
      </c>
      <c r="B72" s="529" t="s">
        <v>1123</v>
      </c>
      <c r="C72" s="529" t="s">
        <v>1167</v>
      </c>
      <c r="I72" s="545"/>
      <c r="J72" s="546"/>
      <c r="K72" s="546">
        <v>-0.37654306967057438</v>
      </c>
      <c r="L72" s="546">
        <v>0.60396003533333809</v>
      </c>
      <c r="M72" s="546">
        <v>1.3427628992910279E-3</v>
      </c>
      <c r="N72" s="546">
        <v>1.1320659313682757E-3</v>
      </c>
      <c r="O72" s="546">
        <v>9.048373076716576E-4</v>
      </c>
      <c r="P72" s="546">
        <v>7.0420862766518155E-4</v>
      </c>
      <c r="Q72" s="546">
        <v>1.4937480448862228E-3</v>
      </c>
      <c r="R72" s="546">
        <v>1.2741225294286007E-3</v>
      </c>
      <c r="S72" s="546">
        <v>1.1419729789698962E-3</v>
      </c>
      <c r="T72" s="546">
        <v>1.016428669163183E-3</v>
      </c>
      <c r="U72" s="546">
        <v>8.5812106186211601E-4</v>
      </c>
      <c r="V72" s="546">
        <v>1.7044298378294798E-3</v>
      </c>
      <c r="W72" s="546">
        <v>1.6339691197710948E-3</v>
      </c>
      <c r="X72" s="546">
        <v>1.5612492214400753E-3</v>
      </c>
      <c r="Y72" s="546">
        <v>1.4670634651825498E-3</v>
      </c>
      <c r="Z72" s="546">
        <v>1.4599540680173551E-3</v>
      </c>
    </row>
    <row r="73" spans="1:38" outlineLevel="1">
      <c r="A73" s="528">
        <v>4</v>
      </c>
      <c r="B73" s="529" t="s">
        <v>1126</v>
      </c>
      <c r="C73" s="529" t="s">
        <v>1167</v>
      </c>
      <c r="I73" s="545"/>
      <c r="J73" s="546"/>
      <c r="K73" s="546">
        <v>-0.26139817629179285</v>
      </c>
      <c r="L73" s="546">
        <v>0.35390946502057541</v>
      </c>
      <c r="M73" s="546">
        <v>1.3427628992910279E-3</v>
      </c>
      <c r="N73" s="546">
        <v>-1.8890575387259023E-2</v>
      </c>
      <c r="O73" s="546">
        <v>9.0483730767143555E-4</v>
      </c>
      <c r="P73" s="546">
        <v>7.042086276654036E-4</v>
      </c>
      <c r="Q73" s="546">
        <v>1.4937480448860008E-3</v>
      </c>
      <c r="R73" s="546">
        <v>-3.9594209002384861E-2</v>
      </c>
      <c r="S73" s="546">
        <v>-9.5084735420829514E-3</v>
      </c>
      <c r="T73" s="546">
        <v>-9.7471888434085274E-3</v>
      </c>
      <c r="U73" s="546">
        <v>-1.0020771558375552E-2</v>
      </c>
      <c r="V73" s="546">
        <v>-9.3033111493995291E-3</v>
      </c>
      <c r="W73" s="546">
        <v>-9.4952972037819494E-3</v>
      </c>
      <c r="X73" s="546">
        <v>-9.6922479608231304E-3</v>
      </c>
      <c r="Y73" s="546">
        <v>-9.9132440741945826E-3</v>
      </c>
      <c r="Z73" s="546">
        <v>-1.0051079886787218E-2</v>
      </c>
    </row>
    <row r="74" spans="1:38" outlineLevel="1">
      <c r="A74" s="528">
        <v>5</v>
      </c>
      <c r="B74" s="529" t="s">
        <v>1120</v>
      </c>
      <c r="C74" s="529" t="s">
        <v>1167</v>
      </c>
      <c r="I74" s="545"/>
      <c r="J74" s="546"/>
      <c r="K74" s="546">
        <v>-0.21840166256052085</v>
      </c>
      <c r="L74" s="546">
        <v>0.27942953829201578</v>
      </c>
      <c r="M74" s="546">
        <v>1.3427628992910279E-3</v>
      </c>
      <c r="N74" s="546">
        <v>-8.8792547279453737E-3</v>
      </c>
      <c r="O74" s="546">
        <v>9.0483730767143555E-4</v>
      </c>
      <c r="P74" s="546">
        <v>7.042086276654036E-4</v>
      </c>
      <c r="Q74" s="546">
        <v>1.4937480448862228E-3</v>
      </c>
      <c r="R74" s="546">
        <v>-1.8953637521670896E-2</v>
      </c>
      <c r="S74" s="546">
        <v>-2.7284212464641078E-3</v>
      </c>
      <c r="T74" s="546">
        <v>-2.8684992558142275E-3</v>
      </c>
      <c r="U74" s="546">
        <v>-3.0413261630543031E-3</v>
      </c>
      <c r="V74" s="546">
        <v>-2.2135796660993634E-3</v>
      </c>
      <c r="W74" s="546">
        <v>-2.2991485600187822E-3</v>
      </c>
      <c r="X74" s="546">
        <v>-2.3870868464499484E-3</v>
      </c>
      <c r="Y74" s="546">
        <v>-2.4965264957613753E-3</v>
      </c>
      <c r="Z74" s="546">
        <v>-2.5193570077497451E-3</v>
      </c>
    </row>
    <row r="75" spans="1:38" outlineLevel="1">
      <c r="A75" s="528">
        <v>6</v>
      </c>
      <c r="B75" s="529" t="s">
        <v>1128</v>
      </c>
      <c r="C75" s="529" t="s">
        <v>1167</v>
      </c>
      <c r="I75" s="545"/>
      <c r="J75" s="546"/>
      <c r="K75" s="546">
        <v>0.32446576537287175</v>
      </c>
      <c r="L75" s="546">
        <v>-0.24497859729996585</v>
      </c>
      <c r="M75" s="546">
        <v>1.3427628992910279E-3</v>
      </c>
      <c r="N75" s="546">
        <v>1.1320659313682757E-3</v>
      </c>
      <c r="O75" s="546">
        <v>9.048373076716576E-4</v>
      </c>
      <c r="P75" s="546">
        <v>7.0420862766518155E-4</v>
      </c>
      <c r="Q75" s="546">
        <v>1.4937480448862228E-3</v>
      </c>
      <c r="R75" s="546">
        <v>1.2741225294286007E-3</v>
      </c>
      <c r="S75" s="546">
        <v>1.1419729789698962E-3</v>
      </c>
      <c r="T75" s="546">
        <v>1.016428669163183E-3</v>
      </c>
      <c r="U75" s="546">
        <v>8.5812106186211601E-4</v>
      </c>
      <c r="V75" s="546">
        <v>1.7044298378294798E-3</v>
      </c>
      <c r="W75" s="546">
        <v>1.6339691197710948E-3</v>
      </c>
      <c r="X75" s="546">
        <v>1.5612492214400753E-3</v>
      </c>
      <c r="Y75" s="546">
        <v>1.4670634651825498E-3</v>
      </c>
      <c r="Z75" s="546">
        <v>1.4599540680173551E-3</v>
      </c>
    </row>
    <row r="76" spans="1:38" outlineLevel="1">
      <c r="A76" s="528">
        <v>7</v>
      </c>
      <c r="B76" s="529" t="s">
        <v>1129</v>
      </c>
      <c r="C76" s="529" t="s">
        <v>1167</v>
      </c>
      <c r="I76" s="545"/>
      <c r="J76" s="546"/>
      <c r="K76" s="546">
        <v>-8.8248337028828505E-2</v>
      </c>
      <c r="L76" s="546">
        <v>9.6789883268486809E-2</v>
      </c>
      <c r="M76" s="546">
        <v>1.3427628992910279E-3</v>
      </c>
      <c r="N76" s="546">
        <v>3.134330063230939E-3</v>
      </c>
      <c r="O76" s="546">
        <v>4.9084566569022048E-3</v>
      </c>
      <c r="P76" s="546">
        <v>8.7098422966866984E-3</v>
      </c>
      <c r="Q76" s="546">
        <v>1.1508685525335016E-2</v>
      </c>
      <c r="R76" s="546">
        <v>1.1286863754722765E-2</v>
      </c>
      <c r="S76" s="546">
        <v>9.1511087628017851E-3</v>
      </c>
      <c r="T76" s="546">
        <v>5.0204943838396687E-3</v>
      </c>
      <c r="U76" s="546">
        <v>4.8615535461096204E-3</v>
      </c>
      <c r="V76" s="546">
        <v>3.7078386975053501E-3</v>
      </c>
      <c r="W76" s="546">
        <v>3.6372370580106672E-3</v>
      </c>
      <c r="X76" s="546">
        <v>1.5612492214400753E-3</v>
      </c>
      <c r="Y76" s="546">
        <v>1.4670634651825498E-3</v>
      </c>
      <c r="Z76" s="546">
        <v>1.4599540680173551E-3</v>
      </c>
    </row>
    <row r="77" spans="1:38" outlineLevel="1">
      <c r="A77" s="528">
        <v>8</v>
      </c>
      <c r="B77" s="529" t="s">
        <v>1130</v>
      </c>
      <c r="C77" s="529" t="s">
        <v>1167</v>
      </c>
      <c r="I77" s="545"/>
      <c r="J77" s="546"/>
      <c r="K77" s="546">
        <v>-0.54411764705882382</v>
      </c>
      <c r="L77" s="546">
        <v>1.1935483870967754</v>
      </c>
      <c r="M77" s="546">
        <v>1.3427628992910279E-3</v>
      </c>
      <c r="N77" s="546">
        <v>-8.7019820049449859E-4</v>
      </c>
      <c r="O77" s="546">
        <v>-1.096972366943727E-3</v>
      </c>
      <c r="P77" s="546">
        <v>-1.2971997895900866E-3</v>
      </c>
      <c r="Q77" s="546">
        <v>4.9225429684129907E-4</v>
      </c>
      <c r="R77" s="546">
        <v>2.7284840689922873E-4</v>
      </c>
      <c r="S77" s="546">
        <v>1.408310059909379E-4</v>
      </c>
      <c r="T77" s="546">
        <v>1.5412240494061535E-5</v>
      </c>
      <c r="U77" s="546">
        <v>-1.1435951802615252E-3</v>
      </c>
      <c r="V77" s="546">
        <v>-2.9897902184616854E-4</v>
      </c>
      <c r="W77" s="546">
        <v>-3.6929881846847756E-4</v>
      </c>
      <c r="X77" s="546">
        <v>5.596879722185033E-4</v>
      </c>
      <c r="Y77" s="546">
        <v>-5.3587066174787257E-4</v>
      </c>
      <c r="Z77" s="546">
        <v>-5.4296584011870319E-4</v>
      </c>
    </row>
    <row r="78" spans="1:38" outlineLevel="1">
      <c r="A78" s="528">
        <v>9</v>
      </c>
      <c r="B78" s="529" t="s">
        <v>1127</v>
      </c>
      <c r="C78" s="529" t="s">
        <v>1167</v>
      </c>
      <c r="I78" s="545"/>
      <c r="J78" s="546"/>
      <c r="K78" s="546">
        <v>-0.31316725978647597</v>
      </c>
      <c r="L78" s="546">
        <v>0.45595854922279599</v>
      </c>
      <c r="M78" s="546">
        <v>1.3427628992910279E-3</v>
      </c>
      <c r="N78" s="546">
        <v>1.1320659313682757E-3</v>
      </c>
      <c r="O78" s="546">
        <v>9.048373076716576E-4</v>
      </c>
      <c r="P78" s="546">
        <v>7.0420862766518155E-4</v>
      </c>
      <c r="Q78" s="546">
        <v>1.4937480448862228E-3</v>
      </c>
      <c r="R78" s="546">
        <v>1.2741225294286007E-3</v>
      </c>
      <c r="S78" s="546">
        <v>1.1419729789698962E-3</v>
      </c>
      <c r="T78" s="546">
        <v>1.016428669163183E-3</v>
      </c>
      <c r="U78" s="546">
        <v>8.5812106186211601E-4</v>
      </c>
      <c r="V78" s="546">
        <v>1.7044298378294798E-3</v>
      </c>
      <c r="W78" s="546">
        <v>1.6339691197710948E-3</v>
      </c>
      <c r="X78" s="546">
        <v>1.5612492214400753E-3</v>
      </c>
      <c r="Y78" s="546">
        <v>1.4670634651825498E-3</v>
      </c>
      <c r="Z78" s="546">
        <v>1.4599540680173551E-3</v>
      </c>
    </row>
    <row r="79" spans="1:38" outlineLevel="1">
      <c r="A79" s="528">
        <v>10</v>
      </c>
      <c r="B79" s="529" t="s">
        <v>1131</v>
      </c>
      <c r="C79" s="529" t="s">
        <v>1167</v>
      </c>
      <c r="I79" s="545"/>
      <c r="J79" s="546"/>
      <c r="K79" s="546">
        <v>-0.1618798955613574</v>
      </c>
      <c r="L79" s="546">
        <v>0.19314641744548244</v>
      </c>
      <c r="M79" s="546">
        <v>1.3427628992910279E-3</v>
      </c>
      <c r="N79" s="546">
        <v>-8.8792547279454848E-3</v>
      </c>
      <c r="O79" s="546">
        <v>9.048373076716576E-4</v>
      </c>
      <c r="P79" s="546">
        <v>7.0420862766518155E-4</v>
      </c>
      <c r="Q79" s="546">
        <v>1.4937480448862228E-3</v>
      </c>
      <c r="R79" s="546">
        <v>-1.8953637521671118E-2</v>
      </c>
      <c r="S79" s="546">
        <v>-2.7284212464642188E-3</v>
      </c>
      <c r="T79" s="546">
        <v>-2.8684992558140054E-3</v>
      </c>
      <c r="U79" s="546">
        <v>-3.0413261630544142E-3</v>
      </c>
      <c r="V79" s="546">
        <v>-2.2135796660993634E-3</v>
      </c>
      <c r="W79" s="546">
        <v>-2.2991485600186712E-3</v>
      </c>
      <c r="X79" s="546">
        <v>-2.3870868464497264E-3</v>
      </c>
      <c r="Y79" s="546">
        <v>-2.4965264957614863E-3</v>
      </c>
      <c r="Z79" s="546">
        <v>-2.5193570077498562E-3</v>
      </c>
    </row>
    <row r="80" spans="1:38" outlineLevel="1">
      <c r="A80" s="528">
        <v>11</v>
      </c>
      <c r="B80" s="529" t="s">
        <v>1132</v>
      </c>
      <c r="C80" s="529" t="s">
        <v>1167</v>
      </c>
      <c r="I80" s="545"/>
      <c r="J80" s="546"/>
      <c r="K80" s="546"/>
      <c r="L80" s="546"/>
      <c r="M80" s="546"/>
      <c r="N80" s="546"/>
      <c r="O80" s="546"/>
      <c r="P80" s="546"/>
      <c r="Q80" s="546"/>
      <c r="R80" s="546"/>
      <c r="S80" s="546">
        <v>1</v>
      </c>
      <c r="T80" s="546">
        <v>0.5</v>
      </c>
      <c r="U80" s="546">
        <v>0.11111111111111116</v>
      </c>
      <c r="V80" s="546">
        <v>1.7044298378294798E-3</v>
      </c>
      <c r="W80" s="546">
        <v>1.6339691197710948E-3</v>
      </c>
      <c r="X80" s="546">
        <v>1.5612492214400753E-3</v>
      </c>
      <c r="Y80" s="546">
        <v>1.4670634651825498E-3</v>
      </c>
      <c r="Z80" s="546">
        <v>1.4599540680173551E-3</v>
      </c>
    </row>
    <row r="81" spans="1:26" outlineLevel="1">
      <c r="A81" s="528">
        <v>12</v>
      </c>
      <c r="B81" s="529" t="s">
        <v>1133</v>
      </c>
      <c r="C81" s="529" t="s">
        <v>1167</v>
      </c>
      <c r="I81" s="545"/>
      <c r="J81" s="546"/>
      <c r="K81" s="546"/>
      <c r="L81" s="546"/>
      <c r="M81" s="546"/>
      <c r="N81" s="546"/>
      <c r="O81" s="546"/>
      <c r="P81" s="546"/>
      <c r="Q81" s="546"/>
      <c r="R81" s="546"/>
      <c r="S81" s="546">
        <v>1.5</v>
      </c>
      <c r="T81" s="546">
        <v>0.8</v>
      </c>
      <c r="U81" s="546">
        <v>0.44444444444444442</v>
      </c>
      <c r="V81" s="546">
        <v>2.7061342676670819E-3</v>
      </c>
      <c r="W81" s="546">
        <v>2.63560308889077E-3</v>
      </c>
      <c r="X81" s="546">
        <v>2.5628104706614252E-3</v>
      </c>
      <c r="Y81" s="546">
        <v>2.4685305286475945E-3</v>
      </c>
      <c r="Z81" s="546">
        <v>2.4614140220853287E-3</v>
      </c>
    </row>
    <row r="82" spans="1:26" outlineLevel="1">
      <c r="A82" s="528">
        <v>13</v>
      </c>
      <c r="B82" s="529"/>
      <c r="C82" s="529" t="s">
        <v>1167</v>
      </c>
      <c r="I82" s="545"/>
      <c r="J82" s="546"/>
      <c r="K82" s="546"/>
      <c r="L82" s="546"/>
      <c r="M82" s="546"/>
      <c r="N82" s="546"/>
      <c r="O82" s="546"/>
      <c r="P82" s="546"/>
      <c r="Q82" s="546"/>
      <c r="R82" s="546"/>
      <c r="S82" s="546"/>
      <c r="T82" s="546"/>
      <c r="U82" s="546"/>
      <c r="V82" s="546"/>
      <c r="W82" s="546"/>
      <c r="X82" s="546"/>
      <c r="Y82" s="546"/>
      <c r="Z82" s="546"/>
    </row>
    <row r="83" spans="1:26" outlineLevel="1">
      <c r="A83" s="528">
        <v>14</v>
      </c>
      <c r="B83" s="529"/>
      <c r="C83" s="529" t="s">
        <v>1167</v>
      </c>
      <c r="I83" s="545"/>
      <c r="J83" s="546"/>
      <c r="K83" s="546"/>
      <c r="L83" s="546"/>
      <c r="M83" s="546"/>
      <c r="N83" s="546"/>
      <c r="O83" s="546"/>
      <c r="P83" s="546"/>
      <c r="Q83" s="546"/>
      <c r="R83" s="546"/>
      <c r="S83" s="546"/>
      <c r="T83" s="546"/>
      <c r="U83" s="546"/>
      <c r="V83" s="546"/>
      <c r="W83" s="546"/>
      <c r="X83" s="546"/>
      <c r="Y83" s="546"/>
      <c r="Z83" s="546"/>
    </row>
    <row r="84" spans="1:26" outlineLevel="1">
      <c r="A84" s="528">
        <v>15</v>
      </c>
      <c r="B84" s="529"/>
      <c r="C84" s="529" t="s">
        <v>1167</v>
      </c>
      <c r="I84" s="545"/>
      <c r="J84" s="546"/>
      <c r="K84" s="546"/>
      <c r="L84" s="546"/>
      <c r="M84" s="546"/>
      <c r="N84" s="546"/>
      <c r="O84" s="546"/>
      <c r="P84" s="546"/>
      <c r="Q84" s="546"/>
      <c r="R84" s="546"/>
      <c r="S84" s="546"/>
      <c r="T84" s="546"/>
      <c r="U84" s="546"/>
      <c r="V84" s="546"/>
      <c r="W84" s="546"/>
      <c r="X84" s="546"/>
      <c r="Y84" s="546"/>
      <c r="Z84" s="546"/>
    </row>
    <row r="85" spans="1:26" outlineLevel="1">
      <c r="A85" s="528">
        <v>16</v>
      </c>
      <c r="B85" s="529"/>
      <c r="C85" s="529" t="s">
        <v>1167</v>
      </c>
      <c r="I85" s="545"/>
      <c r="J85" s="546"/>
      <c r="K85" s="546"/>
      <c r="L85" s="546"/>
      <c r="M85" s="546"/>
      <c r="N85" s="546"/>
      <c r="O85" s="546"/>
      <c r="P85" s="546"/>
      <c r="Q85" s="546"/>
      <c r="R85" s="546"/>
      <c r="S85" s="546"/>
      <c r="T85" s="546"/>
      <c r="U85" s="546"/>
      <c r="V85" s="546"/>
      <c r="W85" s="546"/>
      <c r="X85" s="546"/>
      <c r="Y85" s="546"/>
      <c r="Z85" s="546"/>
    </row>
    <row r="86" spans="1:26" outlineLevel="1">
      <c r="A86" s="528">
        <v>17</v>
      </c>
      <c r="B86" s="529"/>
      <c r="C86" s="529" t="s">
        <v>1167</v>
      </c>
      <c r="I86" s="545"/>
      <c r="J86" s="546"/>
      <c r="K86" s="546"/>
      <c r="L86" s="546"/>
      <c r="M86" s="546"/>
      <c r="N86" s="546"/>
      <c r="O86" s="546"/>
      <c r="P86" s="546"/>
      <c r="Q86" s="546"/>
      <c r="R86" s="546"/>
      <c r="S86" s="546"/>
      <c r="T86" s="546"/>
      <c r="U86" s="546"/>
      <c r="V86" s="546"/>
      <c r="W86" s="546"/>
      <c r="X86" s="546"/>
      <c r="Y86" s="546"/>
      <c r="Z86" s="546"/>
    </row>
    <row r="87" spans="1:26" outlineLevel="1">
      <c r="A87" s="528">
        <v>18</v>
      </c>
      <c r="B87" s="529"/>
      <c r="C87" s="529" t="s">
        <v>1167</v>
      </c>
      <c r="I87" s="545"/>
      <c r="J87" s="546"/>
      <c r="K87" s="546"/>
      <c r="L87" s="546"/>
      <c r="M87" s="546"/>
      <c r="N87" s="546"/>
      <c r="O87" s="546"/>
      <c r="P87" s="546"/>
      <c r="Q87" s="546"/>
      <c r="R87" s="546"/>
      <c r="S87" s="546"/>
      <c r="T87" s="546"/>
      <c r="U87" s="546"/>
      <c r="V87" s="546"/>
      <c r="W87" s="546"/>
      <c r="X87" s="546"/>
      <c r="Y87" s="546"/>
      <c r="Z87" s="546"/>
    </row>
    <row r="88" spans="1:26" outlineLevel="1">
      <c r="A88" s="528">
        <v>19</v>
      </c>
      <c r="B88" s="529"/>
      <c r="C88" s="529" t="s">
        <v>1167</v>
      </c>
      <c r="I88" s="545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/>
    </row>
    <row r="89" spans="1:26" outlineLevel="1">
      <c r="A89" s="528">
        <v>20</v>
      </c>
      <c r="B89" s="529"/>
      <c r="C89" s="529" t="s">
        <v>1167</v>
      </c>
      <c r="I89" s="545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  <c r="Y89" s="546"/>
      <c r="Z89" s="546"/>
    </row>
    <row r="90" spans="1:26">
      <c r="A90" s="542" t="s">
        <v>1165</v>
      </c>
      <c r="B90" s="542"/>
      <c r="C90" s="542"/>
      <c r="D90" s="542"/>
      <c r="E90" s="542"/>
      <c r="F90" s="542"/>
      <c r="G90" s="542"/>
      <c r="H90" s="542"/>
      <c r="I90" s="543"/>
      <c r="J90" s="547"/>
      <c r="K90" s="547"/>
      <c r="L90" s="547"/>
      <c r="M90" s="547"/>
      <c r="N90" s="547"/>
      <c r="O90" s="547"/>
      <c r="P90" s="547"/>
      <c r="Q90" s="547"/>
      <c r="R90" s="547"/>
      <c r="S90" s="547"/>
      <c r="T90" s="547"/>
      <c r="U90" s="547"/>
      <c r="V90" s="547"/>
      <c r="W90" s="547"/>
      <c r="X90" s="547"/>
      <c r="Y90" s="547"/>
      <c r="Z90" s="547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F0109-0CA3-483D-82E9-3A726FB26000}">
  <sheetPr>
    <tabColor theme="0"/>
  </sheetPr>
  <dimension ref="A1:AL95"/>
  <sheetViews>
    <sheetView workbookViewId="0"/>
  </sheetViews>
  <sheetFormatPr baseColWidth="10" defaultColWidth="9.1640625" defaultRowHeight="15" outlineLevelRow="1"/>
  <cols>
    <col min="1" max="1" width="3.6640625" style="515" customWidth="1"/>
    <col min="2" max="2" width="32.5" style="515" customWidth="1"/>
    <col min="3" max="3" width="8" style="515" customWidth="1"/>
    <col min="4" max="4" width="12.6640625" style="515" customWidth="1"/>
    <col min="5" max="5" width="12.83203125" style="515" customWidth="1"/>
    <col min="6" max="7" width="2.5" style="515" customWidth="1"/>
    <col min="8" max="8" width="3.33203125" style="515" bestFit="1" customWidth="1"/>
    <col min="9" max="26" width="10.6640625" style="515" customWidth="1"/>
    <col min="27" max="27" width="2.83203125" style="515" customWidth="1"/>
    <col min="28" max="28" width="9.33203125" style="1013" customWidth="1"/>
    <col min="29" max="29" width="2.83203125" style="515" customWidth="1"/>
    <col min="30" max="34" width="11.5" style="532" customWidth="1"/>
    <col min="35" max="16384" width="9.1640625" style="515"/>
  </cols>
  <sheetData>
    <row r="1" spans="1:38">
      <c r="A1" s="514"/>
      <c r="B1" s="514"/>
      <c r="C1" s="514"/>
      <c r="D1" s="514"/>
      <c r="E1" s="514"/>
      <c r="F1" s="514"/>
      <c r="G1" s="514"/>
      <c r="H1" s="514"/>
      <c r="I1" s="514"/>
      <c r="J1" s="549">
        <v>0</v>
      </c>
      <c r="K1" s="549">
        <v>0</v>
      </c>
      <c r="L1" s="549">
        <v>0</v>
      </c>
      <c r="M1" s="549">
        <v>0</v>
      </c>
      <c r="N1" s="549">
        <v>0</v>
      </c>
      <c r="O1" s="549">
        <v>0.2</v>
      </c>
      <c r="P1" s="549">
        <v>0.6</v>
      </c>
      <c r="Q1" s="549">
        <v>0.85</v>
      </c>
      <c r="R1" s="549">
        <v>1</v>
      </c>
      <c r="S1" s="549">
        <v>1</v>
      </c>
      <c r="T1" s="549">
        <v>1</v>
      </c>
      <c r="U1" s="549">
        <v>1</v>
      </c>
      <c r="V1" s="549">
        <v>1</v>
      </c>
      <c r="W1" s="549">
        <v>1</v>
      </c>
      <c r="X1" s="549">
        <v>1</v>
      </c>
      <c r="Y1" s="549">
        <v>1</v>
      </c>
      <c r="Z1" s="549">
        <v>1</v>
      </c>
      <c r="AD1" s="516" t="s">
        <v>1134</v>
      </c>
      <c r="AE1" s="516"/>
      <c r="AF1" s="516"/>
      <c r="AG1" s="516"/>
      <c r="AH1" s="516"/>
    </row>
    <row r="2" spans="1:38">
      <c r="A2" s="517" t="s">
        <v>1135</v>
      </c>
      <c r="B2" s="517" t="s">
        <v>1136</v>
      </c>
      <c r="C2" s="517" t="s">
        <v>1137</v>
      </c>
      <c r="D2" s="517" t="s">
        <v>1138</v>
      </c>
      <c r="E2" s="517" t="s">
        <v>1139</v>
      </c>
      <c r="F2" s="517"/>
      <c r="G2" s="517"/>
      <c r="H2" s="518"/>
      <c r="I2" s="519" t="s">
        <v>1140</v>
      </c>
      <c r="J2" s="519" t="s">
        <v>1141</v>
      </c>
      <c r="K2" s="519" t="s">
        <v>1142</v>
      </c>
      <c r="L2" s="520" t="s">
        <v>1143</v>
      </c>
      <c r="M2" s="520" t="s">
        <v>1144</v>
      </c>
      <c r="N2" s="520" t="s">
        <v>1145</v>
      </c>
      <c r="O2" s="520" t="s">
        <v>1146</v>
      </c>
      <c r="P2" s="520" t="s">
        <v>1147</v>
      </c>
      <c r="Q2" s="520" t="s">
        <v>1148</v>
      </c>
      <c r="R2" s="520" t="s">
        <v>1149</v>
      </c>
      <c r="S2" s="520" t="s">
        <v>1150</v>
      </c>
      <c r="T2" s="520" t="s">
        <v>1151</v>
      </c>
      <c r="U2" s="520" t="s">
        <v>1152</v>
      </c>
      <c r="V2" s="520" t="s">
        <v>1153</v>
      </c>
      <c r="W2" s="520" t="s">
        <v>1154</v>
      </c>
      <c r="X2" s="520" t="s">
        <v>1155</v>
      </c>
      <c r="Y2" s="520" t="s">
        <v>1156</v>
      </c>
      <c r="Z2" s="520" t="s">
        <v>1157</v>
      </c>
      <c r="AD2" s="516" t="s">
        <v>1158</v>
      </c>
      <c r="AE2" s="516" t="s">
        <v>1159</v>
      </c>
      <c r="AF2" s="516" t="s">
        <v>1160</v>
      </c>
      <c r="AG2" s="516" t="s">
        <v>1161</v>
      </c>
      <c r="AH2" s="516" t="s">
        <v>1162</v>
      </c>
    </row>
    <row r="3" spans="1:38">
      <c r="A3" s="521"/>
      <c r="B3" s="521"/>
      <c r="C3" s="521"/>
      <c r="D3" s="521"/>
      <c r="E3" s="521"/>
      <c r="F3" s="521"/>
      <c r="G3" s="521"/>
      <c r="H3" s="522"/>
      <c r="I3" s="523"/>
      <c r="J3" s="524">
        <f>SUM(J26,J70)</f>
        <v>50878.308301205587</v>
      </c>
      <c r="K3" s="524">
        <f t="shared" ref="K3:L3" si="0">SUM(K26,K70)</f>
        <v>42074.749266741324</v>
      </c>
      <c r="L3" s="524">
        <f t="shared" si="0"/>
        <v>50878.308301205587</v>
      </c>
      <c r="M3" s="1107">
        <f>M4-Hospit_OSN!C3</f>
        <v>50891.720501156626</v>
      </c>
      <c r="N3" s="1107">
        <f>N4-Hospit_OSN!D3</f>
        <v>50369.975691522515</v>
      </c>
      <c r="O3" s="1107">
        <f>O4-Hospit_OSN!E3</f>
        <v>51825.327759011285</v>
      </c>
      <c r="P3" s="1107">
        <f>P4-Hospit_OSN!F3</f>
        <v>54721.114578471912</v>
      </c>
      <c r="Q3" s="1107">
        <f>Q4-Hospit_OSN!G3</f>
        <v>56775.418463833557</v>
      </c>
      <c r="R3" s="1107">
        <f>R4-Hospit_OSN!H3</f>
        <v>56908.97119929672</v>
      </c>
      <c r="S3" s="1107">
        <f>S4-Hospit_OSN!I3</f>
        <v>56260.24363726467</v>
      </c>
      <c r="T3" s="1107">
        <f>T4-Hospit_OSN!J3</f>
        <v>56401.097197323194</v>
      </c>
      <c r="U3" s="1107">
        <f>U4-Hospit_OSN!K3</f>
        <v>56398.921563877535</v>
      </c>
      <c r="V3" s="1107">
        <f>V4-Hospit_OSN!L3</f>
        <v>56360.623216737746</v>
      </c>
      <c r="W3" s="1107">
        <f>W4-Hospit_OSN!M3</f>
        <v>56334.152802319819</v>
      </c>
      <c r="X3" s="1107">
        <f>X4-Hospit_OSN!N3</f>
        <v>56286.856579866311</v>
      </c>
      <c r="Y3" s="1107">
        <f>Y4-Hospit_OSN!O3</f>
        <v>56199.625016329883</v>
      </c>
      <c r="Z3" s="1107">
        <f>Z4-Hospit_OSN!P3</f>
        <v>56081.73947783684</v>
      </c>
      <c r="AD3" s="523"/>
      <c r="AE3" s="523"/>
      <c r="AF3" s="523"/>
      <c r="AG3" s="523"/>
      <c r="AH3" s="523"/>
    </row>
    <row r="4" spans="1:38" s="1106" customFormat="1">
      <c r="A4" s="1102"/>
      <c r="B4" s="1102"/>
      <c r="C4" s="1102"/>
      <c r="D4" s="1102"/>
      <c r="E4" s="1102"/>
      <c r="F4" s="1102"/>
      <c r="G4" s="1102"/>
      <c r="H4" s="1103"/>
      <c r="I4" s="1104"/>
      <c r="J4" s="1105">
        <f>SUM(J26,J70)</f>
        <v>50878.308301205587</v>
      </c>
      <c r="K4" s="1105">
        <f t="shared" ref="K4:Z4" si="1">SUM(K26,K70)</f>
        <v>42074.749266741324</v>
      </c>
      <c r="L4" s="1105">
        <f t="shared" si="1"/>
        <v>50878.308301205587</v>
      </c>
      <c r="M4" s="1105">
        <f t="shared" si="1"/>
        <v>50891.720501156626</v>
      </c>
      <c r="N4" s="1105">
        <f t="shared" si="1"/>
        <v>50369.975691522515</v>
      </c>
      <c r="O4" s="1105">
        <f t="shared" si="1"/>
        <v>51825.327759011285</v>
      </c>
      <c r="P4" s="1105">
        <f t="shared" si="1"/>
        <v>54721.114578471912</v>
      </c>
      <c r="Q4" s="1105">
        <f t="shared" si="1"/>
        <v>56775.418463833557</v>
      </c>
      <c r="R4" s="1105">
        <f t="shared" si="1"/>
        <v>56908.97119929672</v>
      </c>
      <c r="S4" s="1105">
        <f t="shared" si="1"/>
        <v>56260.24363726467</v>
      </c>
      <c r="T4" s="1105">
        <f t="shared" si="1"/>
        <v>56401.097197323194</v>
      </c>
      <c r="U4" s="1105">
        <f t="shared" si="1"/>
        <v>56398.921563877535</v>
      </c>
      <c r="V4" s="1105">
        <f t="shared" si="1"/>
        <v>56360.623216737746</v>
      </c>
      <c r="W4" s="1105">
        <f t="shared" si="1"/>
        <v>56334.152802319819</v>
      </c>
      <c r="X4" s="1105">
        <f t="shared" si="1"/>
        <v>56286.856579866311</v>
      </c>
      <c r="Y4" s="1105">
        <f t="shared" si="1"/>
        <v>56199.625016329883</v>
      </c>
      <c r="Z4" s="1105">
        <f t="shared" si="1"/>
        <v>56081.73947783684</v>
      </c>
      <c r="AD4" s="1104"/>
      <c r="AE4" s="1104"/>
      <c r="AF4" s="1104"/>
      <c r="AG4" s="1104"/>
      <c r="AH4" s="1104"/>
    </row>
    <row r="5" spans="1:38">
      <c r="A5" s="525" t="s">
        <v>1163</v>
      </c>
      <c r="B5" s="526"/>
      <c r="C5" s="526"/>
      <c r="D5" s="526"/>
      <c r="E5" s="526"/>
      <c r="F5" s="526"/>
      <c r="G5" s="526"/>
      <c r="H5" s="527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519"/>
      <c r="AD5" s="519"/>
      <c r="AE5" s="519"/>
      <c r="AF5" s="519"/>
      <c r="AG5" s="519"/>
      <c r="AH5" s="519"/>
    </row>
    <row r="6" spans="1:38">
      <c r="A6" s="528">
        <v>1</v>
      </c>
      <c r="B6" s="529" t="s">
        <v>1112</v>
      </c>
      <c r="C6" s="529" t="s">
        <v>1164</v>
      </c>
      <c r="D6" s="530">
        <f t="shared" ref="D6:D25" si="2">Z6-L6</f>
        <v>-629.5424096238421</v>
      </c>
      <c r="E6" s="531">
        <f t="shared" ref="E6:E25" si="3">IFERROR(D6/L6,"n/a")</f>
        <v>-7.4089962295379799E-2</v>
      </c>
      <c r="F6" s="532"/>
      <c r="G6" s="532"/>
      <c r="I6" s="533">
        <f>Y6-M6</f>
        <v>-599.92655741693852</v>
      </c>
      <c r="J6" s="534">
        <v>8497</v>
      </c>
      <c r="K6" s="534">
        <v>7057.0000000000073</v>
      </c>
      <c r="L6" s="535">
        <f>K6*(1+L27)</f>
        <v>8497</v>
      </c>
      <c r="M6" s="535">
        <f t="shared" ref="M6:Z6" si="4">L6*(1+M27)</f>
        <v>8508.4094563552753</v>
      </c>
      <c r="N6" s="535">
        <f t="shared" si="4"/>
        <v>8356.0283868004208</v>
      </c>
      <c r="O6" s="535">
        <f t="shared" si="4"/>
        <v>8451.4112832594674</v>
      </c>
      <c r="P6" s="535">
        <f t="shared" si="4"/>
        <v>8625.0347511776654</v>
      </c>
      <c r="Q6" s="535">
        <f t="shared" si="4"/>
        <v>8781.2330458579563</v>
      </c>
      <c r="R6" s="535">
        <f t="shared" si="4"/>
        <v>8499.7253880112385</v>
      </c>
      <c r="S6" s="535">
        <f t="shared" si="4"/>
        <v>8151.3575934551391</v>
      </c>
      <c r="T6" s="535">
        <f t="shared" si="4"/>
        <v>8111.83672253641</v>
      </c>
      <c r="U6" s="535">
        <f t="shared" si="4"/>
        <v>8066.8535914341492</v>
      </c>
      <c r="V6" s="535">
        <f t="shared" si="4"/>
        <v>8028.3990954600076</v>
      </c>
      <c r="W6" s="535">
        <f t="shared" si="4"/>
        <v>7989.2127276292849</v>
      </c>
      <c r="X6" s="535">
        <f t="shared" si="4"/>
        <v>7949.2924593349635</v>
      </c>
      <c r="Y6" s="535">
        <f t="shared" si="4"/>
        <v>7908.4828989383368</v>
      </c>
      <c r="Z6" s="535">
        <f t="shared" si="4"/>
        <v>7867.4575903761579</v>
      </c>
      <c r="AB6" s="1014">
        <f>Z6-'Hospit_Data_"0"'!Z5</f>
        <v>355.02973827766345</v>
      </c>
      <c r="AD6" s="536">
        <f>Z6-J6</f>
        <v>-629.5424096238421</v>
      </c>
      <c r="AE6" s="537">
        <f>J6</f>
        <v>8497</v>
      </c>
      <c r="AF6" s="537">
        <v>-984.57214790150556</v>
      </c>
      <c r="AG6" s="537">
        <v>401.77507987220446</v>
      </c>
      <c r="AH6" s="537">
        <v>-46.745341594540832</v>
      </c>
      <c r="AI6" s="538" t="b">
        <v>0</v>
      </c>
      <c r="AJ6" s="539"/>
      <c r="AL6" s="540">
        <v>1280.7489100612352</v>
      </c>
    </row>
    <row r="7" spans="1:38">
      <c r="A7" s="528">
        <v>2</v>
      </c>
      <c r="B7" s="529" t="s">
        <v>1113</v>
      </c>
      <c r="C7" s="529" t="s">
        <v>1164</v>
      </c>
      <c r="D7" s="530">
        <f t="shared" si="2"/>
        <v>242.14002718166739</v>
      </c>
      <c r="E7" s="531">
        <f t="shared" si="3"/>
        <v>4.3351540091606369E-2</v>
      </c>
      <c r="F7" s="532"/>
      <c r="G7" s="532"/>
      <c r="I7" s="533">
        <f t="shared" ref="I7:I21" si="5">Y7-M7</f>
        <v>245.21421561479838</v>
      </c>
      <c r="J7" s="534">
        <v>5585.5</v>
      </c>
      <c r="K7" s="534">
        <v>4295.5000000000091</v>
      </c>
      <c r="L7" s="535">
        <f t="shared" ref="L7:Z22" si="6">K7*(1+L28)</f>
        <v>5585.5</v>
      </c>
      <c r="M7" s="535">
        <f t="shared" si="6"/>
        <v>5593.0000021739897</v>
      </c>
      <c r="N7" s="535">
        <f t="shared" si="6"/>
        <v>5543.338330461288</v>
      </c>
      <c r="O7" s="535">
        <f t="shared" si="6"/>
        <v>5705.2264648060836</v>
      </c>
      <c r="P7" s="535">
        <f t="shared" si="6"/>
        <v>6023.2623405573941</v>
      </c>
      <c r="Q7" s="535">
        <f t="shared" si="6"/>
        <v>6227.5076333325514</v>
      </c>
      <c r="R7" s="535">
        <f t="shared" si="6"/>
        <v>6159.6851816561657</v>
      </c>
      <c r="S7" s="535">
        <f t="shared" si="6"/>
        <v>5908.5027297154356</v>
      </c>
      <c r="T7" s="535">
        <f t="shared" si="6"/>
        <v>5894.8561230822033</v>
      </c>
      <c r="U7" s="535">
        <f t="shared" si="6"/>
        <v>5880.225459127053</v>
      </c>
      <c r="V7" s="535">
        <f t="shared" si="6"/>
        <v>5870.1895281873976</v>
      </c>
      <c r="W7" s="535">
        <f t="shared" si="6"/>
        <v>5859.6639217782649</v>
      </c>
      <c r="X7" s="535">
        <f t="shared" si="6"/>
        <v>5848.6533748770062</v>
      </c>
      <c r="Y7" s="535">
        <f t="shared" si="6"/>
        <v>5838.2142177887881</v>
      </c>
      <c r="Z7" s="535">
        <f t="shared" si="6"/>
        <v>5827.6400271816674</v>
      </c>
      <c r="AB7" s="1014">
        <f>Z7-'Hospit_Data_"0"'!Z6</f>
        <v>719.1880867633754</v>
      </c>
      <c r="AD7" s="536">
        <f t="shared" ref="AD7:AD25" si="7">Z7-J7</f>
        <v>242.14002718166739</v>
      </c>
      <c r="AE7" s="537">
        <f t="shared" ref="AE7:AE26" si="8">J7</f>
        <v>5585.5</v>
      </c>
      <c r="AF7" s="537">
        <v>-477.04805958170709</v>
      </c>
      <c r="AG7" s="537">
        <v>786.77071921621041</v>
      </c>
      <c r="AH7" s="537">
        <v>-67.582632452837061</v>
      </c>
      <c r="AI7" s="538" t="b">
        <v>0</v>
      </c>
      <c r="AJ7" s="539"/>
      <c r="AL7" s="540">
        <v>647.51555857574067</v>
      </c>
    </row>
    <row r="8" spans="1:38">
      <c r="A8" s="528">
        <v>3</v>
      </c>
      <c r="B8" s="529" t="s">
        <v>1114</v>
      </c>
      <c r="C8" s="529" t="s">
        <v>1164</v>
      </c>
      <c r="D8" s="530">
        <f t="shared" si="2"/>
        <v>668.58268201327928</v>
      </c>
      <c r="E8" s="531">
        <f t="shared" si="3"/>
        <v>0.18472338936787</v>
      </c>
      <c r="F8" s="532"/>
      <c r="G8" s="532"/>
      <c r="I8" s="533">
        <f t="shared" si="5"/>
        <v>675.64415739424521</v>
      </c>
      <c r="J8" s="534">
        <v>3619.3721017202693</v>
      </c>
      <c r="K8" s="534">
        <v>3350.90183906316</v>
      </c>
      <c r="L8" s="535">
        <f t="shared" si="6"/>
        <v>3619.3721017202693</v>
      </c>
      <c r="M8" s="535">
        <f t="shared" si="6"/>
        <v>3624.2320602971881</v>
      </c>
      <c r="N8" s="535">
        <f t="shared" si="6"/>
        <v>3592.0515806406229</v>
      </c>
      <c r="O8" s="535">
        <f t="shared" si="6"/>
        <v>3869.4617777645781</v>
      </c>
      <c r="P8" s="535">
        <f t="shared" si="6"/>
        <v>4420.9847545715429</v>
      </c>
      <c r="Q8" s="535">
        <f t="shared" si="6"/>
        <v>4770.9935911126531</v>
      </c>
      <c r="R8" s="535">
        <f t="shared" si="6"/>
        <v>4382.6709347222131</v>
      </c>
      <c r="S8" s="535">
        <f t="shared" si="6"/>
        <v>4370.5514461431976</v>
      </c>
      <c r="T8" s="535">
        <f t="shared" si="6"/>
        <v>4357.8219502350867</v>
      </c>
      <c r="U8" s="535">
        <f t="shared" si="6"/>
        <v>4344.3242934224445</v>
      </c>
      <c r="V8" s="535">
        <f t="shared" si="6"/>
        <v>4333.8333040634316</v>
      </c>
      <c r="W8" s="535">
        <f t="shared" si="6"/>
        <v>4322.9289609945554</v>
      </c>
      <c r="X8" s="535">
        <f t="shared" si="6"/>
        <v>4311.6328224243189</v>
      </c>
      <c r="Y8" s="535">
        <f t="shared" si="6"/>
        <v>4299.8762176914333</v>
      </c>
      <c r="Z8" s="535">
        <f t="shared" si="6"/>
        <v>4287.9547837335485</v>
      </c>
      <c r="AB8" s="1014">
        <f>Z8-'Hospit_Data_"0"'!Z7</f>
        <v>1314.8630332016996</v>
      </c>
      <c r="AD8" s="536">
        <f t="shared" si="7"/>
        <v>668.58268201327928</v>
      </c>
      <c r="AE8" s="537">
        <f t="shared" si="8"/>
        <v>3619.3721017202693</v>
      </c>
      <c r="AF8" s="537">
        <v>-646.28035118842035</v>
      </c>
      <c r="AG8" s="537">
        <v>1375.0102468212415</v>
      </c>
      <c r="AH8" s="537">
        <v>-60.147213619541617</v>
      </c>
      <c r="AI8" s="538" t="b">
        <v>0</v>
      </c>
      <c r="AJ8" s="539"/>
      <c r="AL8" s="540">
        <v>273.69924151490738</v>
      </c>
    </row>
    <row r="9" spans="1:38">
      <c r="A9" s="528">
        <v>4</v>
      </c>
      <c r="B9" s="529" t="s">
        <v>1115</v>
      </c>
      <c r="C9" s="529" t="s">
        <v>1164</v>
      </c>
      <c r="D9" s="530">
        <f t="shared" si="2"/>
        <v>176.98511739350857</v>
      </c>
      <c r="E9" s="531">
        <f t="shared" si="3"/>
        <v>0.42379478381937208</v>
      </c>
      <c r="F9" s="532"/>
      <c r="G9" s="532"/>
      <c r="I9" s="533">
        <f t="shared" si="5"/>
        <v>178.07282722664866</v>
      </c>
      <c r="J9" s="534">
        <v>417.61985789080029</v>
      </c>
      <c r="K9" s="534">
        <v>378.57155436236764</v>
      </c>
      <c r="L9" s="535">
        <f t="shared" si="6"/>
        <v>417.61985789080023</v>
      </c>
      <c r="M9" s="535">
        <f t="shared" si="6"/>
        <v>418.18062234198317</v>
      </c>
      <c r="N9" s="535">
        <f t="shared" si="6"/>
        <v>414.88195756399182</v>
      </c>
      <c r="O9" s="535">
        <f t="shared" si="6"/>
        <v>450.97582369986208</v>
      </c>
      <c r="P9" s="535">
        <f t="shared" si="6"/>
        <v>522.48334906511218</v>
      </c>
      <c r="Q9" s="535">
        <f t="shared" si="6"/>
        <v>573.20310154661865</v>
      </c>
      <c r="R9" s="535">
        <f t="shared" si="6"/>
        <v>594.5366422521372</v>
      </c>
      <c r="S9" s="535">
        <f t="shared" si="6"/>
        <v>598.82216440143327</v>
      </c>
      <c r="T9" s="535">
        <f t="shared" si="6"/>
        <v>600.0642636050884</v>
      </c>
      <c r="U9" s="535">
        <f t="shared" si="6"/>
        <v>601.19772674273656</v>
      </c>
      <c r="V9" s="535">
        <f t="shared" si="6"/>
        <v>600.34937919216623</v>
      </c>
      <c r="W9" s="535">
        <f t="shared" si="6"/>
        <v>599.44168806022458</v>
      </c>
      <c r="X9" s="535">
        <f t="shared" si="6"/>
        <v>597.87946624902145</v>
      </c>
      <c r="Y9" s="535">
        <f t="shared" si="6"/>
        <v>596.25344956863182</v>
      </c>
      <c r="Z9" s="535">
        <f t="shared" si="6"/>
        <v>594.60497528430881</v>
      </c>
      <c r="AB9" s="1014">
        <f>Z9-'Hospit_Data_"0"'!Z8</f>
        <v>176.72138805926443</v>
      </c>
      <c r="AD9" s="536">
        <f t="shared" si="7"/>
        <v>176.98511739350852</v>
      </c>
      <c r="AE9" s="537">
        <f t="shared" si="8"/>
        <v>417.61985789080029</v>
      </c>
      <c r="AF9" s="537">
        <v>0.26372933424420353</v>
      </c>
      <c r="AG9" s="537">
        <v>176.70461854899025</v>
      </c>
      <c r="AH9" s="537">
        <v>1.676951027448581E-2</v>
      </c>
      <c r="AI9" s="538" t="b">
        <v>0</v>
      </c>
      <c r="AJ9" s="539"/>
      <c r="AL9" s="540">
        <v>37.95350906070059</v>
      </c>
    </row>
    <row r="10" spans="1:38">
      <c r="A10" s="528">
        <v>5</v>
      </c>
      <c r="B10" s="529" t="s">
        <v>1116</v>
      </c>
      <c r="C10" s="529" t="s">
        <v>1164</v>
      </c>
      <c r="D10" s="530">
        <f t="shared" si="2"/>
        <v>-358.04393459349649</v>
      </c>
      <c r="E10" s="531">
        <f t="shared" si="3"/>
        <v>-9.9016574832272247E-2</v>
      </c>
      <c r="F10" s="532"/>
      <c r="G10" s="532"/>
      <c r="I10" s="533">
        <f t="shared" si="5"/>
        <v>-314.96321649228048</v>
      </c>
      <c r="J10" s="534">
        <v>3616</v>
      </c>
      <c r="K10" s="534">
        <v>3119.9486007892292</v>
      </c>
      <c r="L10" s="535">
        <f t="shared" si="6"/>
        <v>3616.0000000000005</v>
      </c>
      <c r="M10" s="535">
        <f t="shared" si="6"/>
        <v>3565.9501258293299</v>
      </c>
      <c r="N10" s="535">
        <f t="shared" si="6"/>
        <v>3512.1775337451386</v>
      </c>
      <c r="O10" s="535">
        <f t="shared" si="6"/>
        <v>3467.481717722435</v>
      </c>
      <c r="P10" s="535">
        <f t="shared" si="6"/>
        <v>3445.8753843442805</v>
      </c>
      <c r="Q10" s="535">
        <f t="shared" si="6"/>
        <v>3405.4804260556575</v>
      </c>
      <c r="R10" s="535">
        <f t="shared" si="6"/>
        <v>3380.6250173293079</v>
      </c>
      <c r="S10" s="535">
        <f t="shared" si="6"/>
        <v>3346.4256845959262</v>
      </c>
      <c r="T10" s="535">
        <f t="shared" si="6"/>
        <v>3322.6719504869079</v>
      </c>
      <c r="U10" s="535">
        <f t="shared" si="6"/>
        <v>3290.1839095633859</v>
      </c>
      <c r="V10" s="535">
        <f t="shared" si="6"/>
        <v>3273.6479796487674</v>
      </c>
      <c r="W10" s="535">
        <f t="shared" si="6"/>
        <v>3263.3768733273137</v>
      </c>
      <c r="X10" s="535">
        <f t="shared" si="6"/>
        <v>3259.01030389479</v>
      </c>
      <c r="Y10" s="535">
        <f t="shared" si="6"/>
        <v>3250.9869093370494</v>
      </c>
      <c r="Z10" s="535">
        <f t="shared" si="6"/>
        <v>3257.956065406504</v>
      </c>
      <c r="AB10" s="1014">
        <f>Z10-'Hospit_Data_"0"'!Z9</f>
        <v>50.214129922633219</v>
      </c>
      <c r="AD10" s="536">
        <f t="shared" si="7"/>
        <v>-358.04393459349603</v>
      </c>
      <c r="AE10" s="537">
        <f t="shared" si="8"/>
        <v>3616</v>
      </c>
      <c r="AF10" s="537">
        <v>-408.25806451612971</v>
      </c>
      <c r="AG10" s="537">
        <v>59.999999999999986</v>
      </c>
      <c r="AH10" s="537">
        <v>-9.785870077366404</v>
      </c>
      <c r="AI10" s="538" t="b">
        <v>0</v>
      </c>
      <c r="AJ10" s="539"/>
      <c r="AL10" s="540">
        <v>0</v>
      </c>
    </row>
    <row r="11" spans="1:38">
      <c r="A11" s="528">
        <v>6</v>
      </c>
      <c r="B11" s="529" t="s">
        <v>1117</v>
      </c>
      <c r="C11" s="529" t="s">
        <v>1164</v>
      </c>
      <c r="D11" s="530">
        <f t="shared" si="2"/>
        <v>414.36769061604582</v>
      </c>
      <c r="E11" s="531">
        <f t="shared" si="3"/>
        <v>0.19843119647684426</v>
      </c>
      <c r="F11" s="532"/>
      <c r="G11" s="532"/>
      <c r="I11" s="533">
        <f t="shared" si="5"/>
        <v>425.0810373915142</v>
      </c>
      <c r="J11" s="534">
        <v>2088.2184755883386</v>
      </c>
      <c r="K11" s="534">
        <v>1802.0842602609196</v>
      </c>
      <c r="L11" s="535">
        <f t="shared" si="6"/>
        <v>2088.2184755883386</v>
      </c>
      <c r="M11" s="535">
        <f t="shared" si="6"/>
        <v>2091.0224578829725</v>
      </c>
      <c r="N11" s="535">
        <f t="shared" si="6"/>
        <v>2051.5218405058822</v>
      </c>
      <c r="O11" s="535">
        <f t="shared" si="6"/>
        <v>2205.5874322158784</v>
      </c>
      <c r="P11" s="535">
        <f t="shared" si="6"/>
        <v>2511.8246663353962</v>
      </c>
      <c r="Q11" s="535">
        <f t="shared" si="6"/>
        <v>2706.2297441941296</v>
      </c>
      <c r="R11" s="535">
        <f t="shared" si="6"/>
        <v>2708.9235138451804</v>
      </c>
      <c r="S11" s="535">
        <f t="shared" si="6"/>
        <v>2596.5275715237713</v>
      </c>
      <c r="T11" s="535">
        <f t="shared" si="6"/>
        <v>2582.5637608998613</v>
      </c>
      <c r="U11" s="535">
        <f t="shared" si="6"/>
        <v>2568.1368659607879</v>
      </c>
      <c r="V11" s="535">
        <f t="shared" si="6"/>
        <v>2555.5171736872653</v>
      </c>
      <c r="W11" s="535">
        <f t="shared" si="6"/>
        <v>2542.6389798582159</v>
      </c>
      <c r="X11" s="535">
        <f t="shared" si="6"/>
        <v>2529.5144668026928</v>
      </c>
      <c r="Y11" s="535">
        <f t="shared" si="6"/>
        <v>2516.1034952744867</v>
      </c>
      <c r="Z11" s="535">
        <f t="shared" si="6"/>
        <v>2502.5861662043844</v>
      </c>
      <c r="AB11" s="1014">
        <f>Z11-'Hospit_Data_"0"'!Z10</f>
        <v>674.67926648704565</v>
      </c>
      <c r="AD11" s="536">
        <f t="shared" si="7"/>
        <v>414.36769061604582</v>
      </c>
      <c r="AE11" s="537">
        <f t="shared" si="8"/>
        <v>2088.2184755883386</v>
      </c>
      <c r="AF11" s="537">
        <v>-260.31157587099938</v>
      </c>
      <c r="AG11" s="537">
        <v>771.17365648050566</v>
      </c>
      <c r="AH11" s="537">
        <v>-96.494389993460231</v>
      </c>
      <c r="AI11" s="538" t="b">
        <v>0</v>
      </c>
      <c r="AJ11" s="539"/>
      <c r="AL11" s="540">
        <v>407.39774798676035</v>
      </c>
    </row>
    <row r="12" spans="1:38">
      <c r="A12" s="528">
        <v>7</v>
      </c>
      <c r="B12" s="529" t="s">
        <v>1118</v>
      </c>
      <c r="C12" s="529" t="s">
        <v>1164</v>
      </c>
      <c r="D12" s="530">
        <f t="shared" si="2"/>
        <v>288.32802655460455</v>
      </c>
      <c r="E12" s="531">
        <f t="shared" si="3"/>
        <v>9.8371895787991992E-2</v>
      </c>
      <c r="F12" s="532"/>
      <c r="G12" s="532"/>
      <c r="I12" s="533">
        <f t="shared" si="5"/>
        <v>279.89428859531199</v>
      </c>
      <c r="J12" s="534">
        <v>2931</v>
      </c>
      <c r="K12" s="534">
        <v>2875.0000000000027</v>
      </c>
      <c r="L12" s="535">
        <f t="shared" si="6"/>
        <v>2931</v>
      </c>
      <c r="M12" s="535">
        <f t="shared" si="6"/>
        <v>2934.935638057822</v>
      </c>
      <c r="N12" s="535">
        <f t="shared" si="6"/>
        <v>2938.258178704426</v>
      </c>
      <c r="O12" s="535">
        <f t="shared" si="6"/>
        <v>2987.6470363469602</v>
      </c>
      <c r="P12" s="535">
        <f t="shared" si="6"/>
        <v>3083.292881933301</v>
      </c>
      <c r="Q12" s="535">
        <f t="shared" si="6"/>
        <v>3146.4314812363909</v>
      </c>
      <c r="R12" s="535">
        <f t="shared" si="6"/>
        <v>3185.599239244616</v>
      </c>
      <c r="S12" s="535">
        <f t="shared" si="6"/>
        <v>3189.2088656825808</v>
      </c>
      <c r="T12" s="535">
        <f t="shared" si="6"/>
        <v>3192.4167074804027</v>
      </c>
      <c r="U12" s="535">
        <f t="shared" si="6"/>
        <v>3195.1132250153796</v>
      </c>
      <c r="V12" s="535">
        <f t="shared" si="6"/>
        <v>3200.4045543840389</v>
      </c>
      <c r="W12" s="535">
        <f t="shared" si="6"/>
        <v>3205.467129642182</v>
      </c>
      <c r="X12" s="535">
        <f t="shared" si="6"/>
        <v>3210.2976768715762</v>
      </c>
      <c r="Y12" s="535">
        <f t="shared" si="6"/>
        <v>3214.829926653134</v>
      </c>
      <c r="Z12" s="535">
        <f t="shared" si="6"/>
        <v>3219.3280265546045</v>
      </c>
      <c r="AB12" s="1014">
        <f>Z12-'Hospit_Data_"0"'!Z11</f>
        <v>236.03779909973264</v>
      </c>
      <c r="AD12" s="536">
        <f t="shared" si="7"/>
        <v>288.32802655460455</v>
      </c>
      <c r="AE12" s="537">
        <f t="shared" si="8"/>
        <v>2931</v>
      </c>
      <c r="AF12" s="537">
        <v>52.290227454871911</v>
      </c>
      <c r="AG12" s="537">
        <v>232.02502553626152</v>
      </c>
      <c r="AH12" s="537">
        <v>4.0127735634715975</v>
      </c>
      <c r="AI12" s="538" t="b">
        <v>0</v>
      </c>
      <c r="AJ12" s="539"/>
      <c r="AL12" s="540">
        <v>0</v>
      </c>
    </row>
    <row r="13" spans="1:38">
      <c r="A13" s="528">
        <v>8</v>
      </c>
      <c r="B13" s="529" t="s">
        <v>1119</v>
      </c>
      <c r="C13" s="529" t="s">
        <v>1164</v>
      </c>
      <c r="D13" s="530">
        <f t="shared" si="2"/>
        <v>-230.77763228457843</v>
      </c>
      <c r="E13" s="531">
        <f t="shared" si="3"/>
        <v>-8.3178097777826074E-2</v>
      </c>
      <c r="F13" s="532"/>
      <c r="G13" s="532"/>
      <c r="I13" s="533">
        <f t="shared" si="5"/>
        <v>-221.33114391251456</v>
      </c>
      <c r="J13" s="534">
        <v>2774.5</v>
      </c>
      <c r="K13" s="534">
        <v>2123.5000000000036</v>
      </c>
      <c r="L13" s="535">
        <f t="shared" si="6"/>
        <v>2774.5</v>
      </c>
      <c r="M13" s="535">
        <f t="shared" si="6"/>
        <v>2778.2254956640832</v>
      </c>
      <c r="N13" s="535">
        <f t="shared" si="6"/>
        <v>2728.4689607129308</v>
      </c>
      <c r="O13" s="535">
        <f t="shared" si="6"/>
        <v>2734.4786212099657</v>
      </c>
      <c r="P13" s="535">
        <f t="shared" si="6"/>
        <v>2740.7635069648099</v>
      </c>
      <c r="Q13" s="535">
        <f t="shared" si="6"/>
        <v>2773.331721982192</v>
      </c>
      <c r="R13" s="535">
        <f t="shared" si="6"/>
        <v>2690.7559105767018</v>
      </c>
      <c r="S13" s="535">
        <f t="shared" si="6"/>
        <v>2604.9891865479422</v>
      </c>
      <c r="T13" s="535">
        <f t="shared" si="6"/>
        <v>2604.0353963134871</v>
      </c>
      <c r="U13" s="535">
        <f t="shared" si="6"/>
        <v>2602.5638708618512</v>
      </c>
      <c r="V13" s="535">
        <f t="shared" si="6"/>
        <v>2592.8222055176338</v>
      </c>
      <c r="W13" s="535">
        <f t="shared" si="6"/>
        <v>2582.8269037662585</v>
      </c>
      <c r="X13" s="535">
        <f t="shared" si="6"/>
        <v>2570.0040377356986</v>
      </c>
      <c r="Y13" s="535">
        <f t="shared" si="6"/>
        <v>2556.8943517515686</v>
      </c>
      <c r="Z13" s="535">
        <f t="shared" si="6"/>
        <v>2543.7223677154216</v>
      </c>
      <c r="AB13" s="1014">
        <f>Z13-'Hospit_Data_"0"'!Z12</f>
        <v>3.7470306058103233</v>
      </c>
      <c r="AD13" s="536">
        <f t="shared" si="7"/>
        <v>-230.77763228457843</v>
      </c>
      <c r="AE13" s="537">
        <f t="shared" si="8"/>
        <v>2774.5</v>
      </c>
      <c r="AF13" s="537">
        <v>-234.5246628903883</v>
      </c>
      <c r="AG13" s="537">
        <v>4.0952029520295206</v>
      </c>
      <c r="AH13" s="537">
        <v>-0.34817234621902271</v>
      </c>
      <c r="AI13" s="538" t="b">
        <v>0</v>
      </c>
      <c r="AJ13" s="539"/>
      <c r="AL13" s="540">
        <v>414.09433893041762</v>
      </c>
    </row>
    <row r="14" spans="1:38">
      <c r="A14" s="528">
        <v>9</v>
      </c>
      <c r="B14" s="529" t="s">
        <v>387</v>
      </c>
      <c r="C14" s="529" t="s">
        <v>1164</v>
      </c>
      <c r="D14" s="530">
        <f t="shared" si="2"/>
        <v>-329.6912829052385</v>
      </c>
      <c r="E14" s="531">
        <f t="shared" si="3"/>
        <v>-0.17311172638762848</v>
      </c>
      <c r="F14" s="532"/>
      <c r="G14" s="532"/>
      <c r="I14" s="533">
        <f t="shared" si="5"/>
        <v>-309.95368491735485</v>
      </c>
      <c r="J14" s="534">
        <v>1904.5</v>
      </c>
      <c r="K14" s="534">
        <v>1357.5000000000009</v>
      </c>
      <c r="L14" s="535">
        <f t="shared" si="6"/>
        <v>1904.5000000000002</v>
      </c>
      <c r="M14" s="535">
        <f t="shared" si="6"/>
        <v>1907.0572919417</v>
      </c>
      <c r="N14" s="535">
        <f t="shared" si="6"/>
        <v>1851.9397203351425</v>
      </c>
      <c r="O14" s="535">
        <f t="shared" si="6"/>
        <v>1859.3830739971734</v>
      </c>
      <c r="P14" s="535">
        <f t="shared" si="6"/>
        <v>1872.2378250620791</v>
      </c>
      <c r="Q14" s="535">
        <f t="shared" si="6"/>
        <v>1882.258870647853</v>
      </c>
      <c r="R14" s="535">
        <f t="shared" si="6"/>
        <v>1752.6772169474561</v>
      </c>
      <c r="S14" s="535">
        <f t="shared" si="6"/>
        <v>1730.3049998324243</v>
      </c>
      <c r="T14" s="535">
        <f t="shared" si="6"/>
        <v>1707.664708728669</v>
      </c>
      <c r="U14" s="535">
        <f t="shared" si="6"/>
        <v>1684.7092326555885</v>
      </c>
      <c r="V14" s="535">
        <f t="shared" si="6"/>
        <v>1663.1062981701912</v>
      </c>
      <c r="W14" s="535">
        <f t="shared" si="6"/>
        <v>1641.3085805966593</v>
      </c>
      <c r="X14" s="535">
        <f t="shared" si="6"/>
        <v>1619.3174191458581</v>
      </c>
      <c r="Y14" s="535">
        <f t="shared" si="6"/>
        <v>1597.1036070243451</v>
      </c>
      <c r="Z14" s="535">
        <f t="shared" si="6"/>
        <v>1574.8087170947617</v>
      </c>
      <c r="AB14" s="1014">
        <f>Z14-'Hospit_Data_"0"'!Z13</f>
        <v>24.027075828899797</v>
      </c>
      <c r="AD14" s="536">
        <f t="shared" si="7"/>
        <v>-329.69128290523827</v>
      </c>
      <c r="AE14" s="537">
        <f t="shared" si="8"/>
        <v>1904.5</v>
      </c>
      <c r="AF14" s="537">
        <v>-353.71835873413784</v>
      </c>
      <c r="AG14" s="537">
        <v>29.523252758801892</v>
      </c>
      <c r="AH14" s="537">
        <v>-5.4961769299020311</v>
      </c>
      <c r="AI14" s="538" t="b">
        <v>0</v>
      </c>
      <c r="AJ14" s="539"/>
      <c r="AL14" s="540">
        <v>393.70217927369049</v>
      </c>
    </row>
    <row r="15" spans="1:38">
      <c r="A15" s="528">
        <v>10</v>
      </c>
      <c r="B15" s="529" t="s">
        <v>1120</v>
      </c>
      <c r="C15" s="529" t="s">
        <v>1164</v>
      </c>
      <c r="D15" s="530">
        <f t="shared" si="2"/>
        <v>2413.5201214159979</v>
      </c>
      <c r="E15" s="531">
        <f t="shared" si="3"/>
        <v>1.2768852985560029</v>
      </c>
      <c r="F15" s="532"/>
      <c r="G15" s="532"/>
      <c r="I15" s="533">
        <f t="shared" si="5"/>
        <v>2423.8540697831386</v>
      </c>
      <c r="J15" s="534">
        <v>1890.1620405101276</v>
      </c>
      <c r="K15" s="534">
        <v>1720.2971169398309</v>
      </c>
      <c r="L15" s="535">
        <f t="shared" si="6"/>
        <v>1890.1620405101276</v>
      </c>
      <c r="M15" s="535">
        <f t="shared" si="6"/>
        <v>1892.7000799717728</v>
      </c>
      <c r="N15" s="535">
        <f t="shared" si="6"/>
        <v>1877.7702081519387</v>
      </c>
      <c r="O15" s="535">
        <f t="shared" si="6"/>
        <v>2363.253431364818</v>
      </c>
      <c r="P15" s="535">
        <f t="shared" si="6"/>
        <v>3332.8969902269846</v>
      </c>
      <c r="Q15" s="535">
        <f t="shared" si="6"/>
        <v>3981.5202253552507</v>
      </c>
      <c r="R15" s="535">
        <f t="shared" si="6"/>
        <v>4307.8695083579041</v>
      </c>
      <c r="S15" s="535">
        <f t="shared" si="6"/>
        <v>4338.7838213603636</v>
      </c>
      <c r="T15" s="535">
        <f t="shared" si="6"/>
        <v>4347.6188683454138</v>
      </c>
      <c r="U15" s="535">
        <f t="shared" si="6"/>
        <v>4355.6213789112971</v>
      </c>
      <c r="V15" s="535">
        <f t="shared" si="6"/>
        <v>4348.7230706045739</v>
      </c>
      <c r="W15" s="535">
        <f t="shared" si="6"/>
        <v>4341.3384574826032</v>
      </c>
      <c r="X15" s="535">
        <f t="shared" si="6"/>
        <v>4329.1829681284134</v>
      </c>
      <c r="Y15" s="535">
        <f t="shared" si="6"/>
        <v>4316.5541497549111</v>
      </c>
      <c r="Z15" s="535">
        <f t="shared" si="6"/>
        <v>4303.6821619261254</v>
      </c>
      <c r="AB15" s="1014">
        <f>Z15-'Hospit_Data_"0"'!Z14</f>
        <v>2412.3264732521511</v>
      </c>
      <c r="AD15" s="536">
        <f t="shared" si="7"/>
        <v>2413.5201214159979</v>
      </c>
      <c r="AE15" s="537">
        <f t="shared" si="8"/>
        <v>1890.1620405101276</v>
      </c>
      <c r="AF15" s="537">
        <v>1.1936481638465466</v>
      </c>
      <c r="AG15" s="537">
        <v>2412.0975618904727</v>
      </c>
      <c r="AH15" s="537">
        <v>0.22891136167845616</v>
      </c>
      <c r="AI15" s="538" t="b">
        <v>0</v>
      </c>
      <c r="AJ15" s="539"/>
      <c r="AL15" s="540">
        <v>274.70311671868888</v>
      </c>
    </row>
    <row r="16" spans="1:38">
      <c r="A16" s="528">
        <v>11</v>
      </c>
      <c r="B16" s="529" t="s">
        <v>375</v>
      </c>
      <c r="C16" s="529" t="s">
        <v>1164</v>
      </c>
      <c r="D16" s="530">
        <f t="shared" si="2"/>
        <v>62.342538716483205</v>
      </c>
      <c r="E16" s="531">
        <f t="shared" si="3"/>
        <v>3.5911600643135484E-2</v>
      </c>
      <c r="F16" s="532"/>
      <c r="G16" s="532"/>
      <c r="I16" s="533">
        <f t="shared" si="5"/>
        <v>57.415765481399376</v>
      </c>
      <c r="J16" s="534">
        <v>1736</v>
      </c>
      <c r="K16" s="534">
        <v>1464.999999999997</v>
      </c>
      <c r="L16" s="535">
        <f t="shared" si="6"/>
        <v>1736.0000000000002</v>
      </c>
      <c r="M16" s="535">
        <f t="shared" si="6"/>
        <v>1738.3310363931694</v>
      </c>
      <c r="N16" s="535">
        <f t="shared" si="6"/>
        <v>1740.2989417369101</v>
      </c>
      <c r="O16" s="535">
        <f t="shared" si="6"/>
        <v>1748.0845043112818</v>
      </c>
      <c r="P16" s="535">
        <f t="shared" si="6"/>
        <v>1761.7481022301974</v>
      </c>
      <c r="Q16" s="535">
        <f t="shared" si="6"/>
        <v>1772.1592758763406</v>
      </c>
      <c r="R16" s="535">
        <f t="shared" si="6"/>
        <v>1779.0901544635894</v>
      </c>
      <c r="S16" s="535">
        <f t="shared" si="6"/>
        <v>1781.1180737500474</v>
      </c>
      <c r="T16" s="535">
        <f t="shared" si="6"/>
        <v>1782.9239660060155</v>
      </c>
      <c r="U16" s="535">
        <f t="shared" si="6"/>
        <v>1784.4482205040392</v>
      </c>
      <c r="V16" s="535">
        <f t="shared" si="6"/>
        <v>1787.4691505710455</v>
      </c>
      <c r="W16" s="535">
        <f t="shared" si="6"/>
        <v>1790.3676524446817</v>
      </c>
      <c r="X16" s="535">
        <f t="shared" si="6"/>
        <v>1793.1397382302689</v>
      </c>
      <c r="Y16" s="535">
        <f t="shared" si="6"/>
        <v>1795.7468018745687</v>
      </c>
      <c r="Z16" s="535">
        <f t="shared" si="6"/>
        <v>1798.3425387164834</v>
      </c>
      <c r="AB16" s="1014">
        <f>Z16-'Hospit_Data_"0"'!Z15</f>
        <v>31.371595399643411</v>
      </c>
      <c r="AD16" s="536">
        <f t="shared" si="7"/>
        <v>62.342538716483432</v>
      </c>
      <c r="AE16" s="537">
        <f t="shared" si="8"/>
        <v>1736</v>
      </c>
      <c r="AF16" s="537">
        <v>30.970943316839794</v>
      </c>
      <c r="AG16" s="537">
        <v>30.838260869565218</v>
      </c>
      <c r="AH16" s="537">
        <v>0.5333345300784913</v>
      </c>
      <c r="AI16" s="538" t="b">
        <v>0</v>
      </c>
      <c r="AJ16" s="539"/>
      <c r="AL16" s="540">
        <v>0</v>
      </c>
    </row>
    <row r="17" spans="1:38">
      <c r="A17" s="528">
        <v>12</v>
      </c>
      <c r="B17" s="529" t="s">
        <v>1121</v>
      </c>
      <c r="C17" s="529" t="s">
        <v>1164</v>
      </c>
      <c r="D17" s="530">
        <f t="shared" si="2"/>
        <v>-0.55605675324216008</v>
      </c>
      <c r="E17" s="531">
        <f t="shared" si="3"/>
        <v>-5.5550125199017029E-4</v>
      </c>
      <c r="F17" s="532"/>
      <c r="G17" s="532"/>
      <c r="I17" s="533">
        <f t="shared" si="5"/>
        <v>3.3825147965320639</v>
      </c>
      <c r="J17" s="534">
        <v>1000.9999999999993</v>
      </c>
      <c r="K17" s="534">
        <v>799.49999999999989</v>
      </c>
      <c r="L17" s="535">
        <f t="shared" si="6"/>
        <v>1000.9999999999993</v>
      </c>
      <c r="M17" s="535">
        <f t="shared" si="6"/>
        <v>1002.3441056621897</v>
      </c>
      <c r="N17" s="535">
        <f t="shared" si="6"/>
        <v>983.40924877020325</v>
      </c>
      <c r="O17" s="535">
        <f t="shared" si="6"/>
        <v>1012.3247312322211</v>
      </c>
      <c r="P17" s="535">
        <f t="shared" si="6"/>
        <v>1069.1378082975416</v>
      </c>
      <c r="Q17" s="535">
        <f t="shared" si="6"/>
        <v>1105.8389730326353</v>
      </c>
      <c r="R17" s="535">
        <f t="shared" si="6"/>
        <v>1082.2794132668507</v>
      </c>
      <c r="S17" s="535">
        <f t="shared" si="6"/>
        <v>1037.3927561698972</v>
      </c>
      <c r="T17" s="535">
        <f t="shared" si="6"/>
        <v>1031.8353994523868</v>
      </c>
      <c r="U17" s="535">
        <f t="shared" si="6"/>
        <v>1026.098621742821</v>
      </c>
      <c r="V17" s="535">
        <f t="shared" si="6"/>
        <v>1021.1540997646539</v>
      </c>
      <c r="W17" s="535">
        <f t="shared" si="6"/>
        <v>1016.1128936721506</v>
      </c>
      <c r="X17" s="535">
        <f t="shared" si="6"/>
        <v>1010.9765513007684</v>
      </c>
      <c r="Y17" s="535">
        <f t="shared" si="6"/>
        <v>1005.7266204587218</v>
      </c>
      <c r="Z17" s="535">
        <f t="shared" si="6"/>
        <v>1000.4439432467572</v>
      </c>
      <c r="AB17" s="1014">
        <f>Z17-'Hospit_Data_"0"'!Z16</f>
        <v>124.22585208101191</v>
      </c>
      <c r="AD17" s="536">
        <f t="shared" si="7"/>
        <v>-0.55605675324216008</v>
      </c>
      <c r="AE17" s="537">
        <f t="shared" si="8"/>
        <v>1000.9999999999993</v>
      </c>
      <c r="AF17" s="537">
        <v>-124.78190883425407</v>
      </c>
      <c r="AG17" s="537">
        <v>141.99295774647888</v>
      </c>
      <c r="AH17" s="537">
        <v>-17.767105665466929</v>
      </c>
      <c r="AI17" s="538" t="b">
        <v>0</v>
      </c>
      <c r="AJ17" s="539"/>
      <c r="AL17" s="540">
        <v>162.86296750528606</v>
      </c>
    </row>
    <row r="18" spans="1:38">
      <c r="A18" s="528">
        <v>13</v>
      </c>
      <c r="B18" s="529" t="s">
        <v>1122</v>
      </c>
      <c r="C18" s="529" t="s">
        <v>1164</v>
      </c>
      <c r="D18" s="530">
        <f t="shared" si="2"/>
        <v>70.439598652488598</v>
      </c>
      <c r="E18" s="531">
        <f t="shared" si="3"/>
        <v>9.525300696753021E-2</v>
      </c>
      <c r="F18" s="532"/>
      <c r="G18" s="532"/>
      <c r="I18" s="533">
        <f t="shared" si="5"/>
        <v>73.775012771668685</v>
      </c>
      <c r="J18" s="534">
        <v>739.50000000000011</v>
      </c>
      <c r="K18" s="534">
        <v>453.99999999999869</v>
      </c>
      <c r="L18" s="535">
        <f t="shared" si="6"/>
        <v>739.50000000000011</v>
      </c>
      <c r="M18" s="535">
        <f t="shared" si="6"/>
        <v>740.49297316402578</v>
      </c>
      <c r="N18" s="535">
        <f t="shared" si="6"/>
        <v>726.50463483073509</v>
      </c>
      <c r="O18" s="535">
        <f t="shared" si="6"/>
        <v>763.85029474011333</v>
      </c>
      <c r="P18" s="535">
        <f t="shared" si="6"/>
        <v>837.82876973767202</v>
      </c>
      <c r="Q18" s="535">
        <f t="shared" si="6"/>
        <v>885.03498681455596</v>
      </c>
      <c r="R18" s="535">
        <f t="shared" si="6"/>
        <v>876.46954450596263</v>
      </c>
      <c r="S18" s="535">
        <f t="shared" si="6"/>
        <v>840.11091813836174</v>
      </c>
      <c r="T18" s="535">
        <f t="shared" si="6"/>
        <v>835.60118360240403</v>
      </c>
      <c r="U18" s="535">
        <f t="shared" si="6"/>
        <v>830.94376074943955</v>
      </c>
      <c r="V18" s="535">
        <f t="shared" si="6"/>
        <v>826.89796093450411</v>
      </c>
      <c r="W18" s="535">
        <f t="shared" si="6"/>
        <v>822.77104887298538</v>
      </c>
      <c r="X18" s="535">
        <f t="shared" si="6"/>
        <v>818.56569465299822</v>
      </c>
      <c r="Y18" s="535">
        <f t="shared" si="6"/>
        <v>814.26798593569447</v>
      </c>
      <c r="Z18" s="535">
        <f t="shared" si="6"/>
        <v>809.93959865248871</v>
      </c>
      <c r="AB18" s="1014">
        <f>Z18-'Hospit_Data_"0"'!Z17</f>
        <v>162.62363619787448</v>
      </c>
      <c r="AD18" s="536">
        <f t="shared" si="7"/>
        <v>70.439598652488598</v>
      </c>
      <c r="AE18" s="537">
        <f t="shared" si="8"/>
        <v>739.50000000000011</v>
      </c>
      <c r="AF18" s="537">
        <v>-92.184037545385877</v>
      </c>
      <c r="AG18" s="537">
        <v>185.88249318801093</v>
      </c>
      <c r="AH18" s="537">
        <v>-23.258856990136394</v>
      </c>
      <c r="AI18" s="538" t="b">
        <v>0</v>
      </c>
      <c r="AJ18" s="539"/>
      <c r="AL18" s="540">
        <v>131.85063233877725</v>
      </c>
    </row>
    <row r="19" spans="1:38">
      <c r="A19" s="528">
        <v>14</v>
      </c>
      <c r="B19" s="529" t="s">
        <v>382</v>
      </c>
      <c r="C19" s="529" t="s">
        <v>1164</v>
      </c>
      <c r="D19" s="530">
        <f t="shared" si="2"/>
        <v>777.50331509081138</v>
      </c>
      <c r="E19" s="531">
        <f t="shared" si="3"/>
        <v>1.2830087707769164</v>
      </c>
      <c r="F19" s="532"/>
      <c r="G19" s="532"/>
      <c r="I19" s="533">
        <f t="shared" si="5"/>
        <v>754.25663877561396</v>
      </c>
      <c r="J19" s="534">
        <v>606</v>
      </c>
      <c r="K19" s="534">
        <v>567.50000000000102</v>
      </c>
      <c r="L19" s="535">
        <f t="shared" si="6"/>
        <v>606</v>
      </c>
      <c r="M19" s="535">
        <f t="shared" si="6"/>
        <v>606.81371431697039</v>
      </c>
      <c r="N19" s="535">
        <f t="shared" si="6"/>
        <v>607.50066744963567</v>
      </c>
      <c r="O19" s="535">
        <f t="shared" si="6"/>
        <v>608.05035671797953</v>
      </c>
      <c r="P19" s="535">
        <f t="shared" si="6"/>
        <v>608.47855102523522</v>
      </c>
      <c r="Q19" s="535">
        <f t="shared" si="6"/>
        <v>670.32621113830282</v>
      </c>
      <c r="R19" s="535">
        <f t="shared" si="6"/>
        <v>738.29831775257878</v>
      </c>
      <c r="S19" s="535">
        <f t="shared" si="6"/>
        <v>813.05557793005823</v>
      </c>
      <c r="T19" s="535">
        <f t="shared" si="6"/>
        <v>895.27019002199836</v>
      </c>
      <c r="U19" s="535">
        <f t="shared" si="6"/>
        <v>985.64228425092517</v>
      </c>
      <c r="V19" s="535">
        <f t="shared" si="6"/>
        <v>1086.0544666065916</v>
      </c>
      <c r="W19" s="535">
        <f t="shared" si="6"/>
        <v>1196.6119506741582</v>
      </c>
      <c r="X19" s="535">
        <f t="shared" si="6"/>
        <v>1294.3585729625554</v>
      </c>
      <c r="Y19" s="535">
        <f t="shared" si="6"/>
        <v>1361.0703530925844</v>
      </c>
      <c r="Z19" s="535">
        <f t="shared" si="6"/>
        <v>1383.5033150908114</v>
      </c>
      <c r="AB19" s="1014">
        <f>Z19-'Hospit_Data_"0"'!Z18</f>
        <v>0</v>
      </c>
      <c r="AD19" s="536">
        <f t="shared" si="7"/>
        <v>777.50331509081138</v>
      </c>
      <c r="AE19" s="537">
        <f t="shared" si="8"/>
        <v>606</v>
      </c>
      <c r="AF19" s="537">
        <v>777.50331509081116</v>
      </c>
      <c r="AG19" s="537">
        <v>0</v>
      </c>
      <c r="AH19" s="537">
        <v>0</v>
      </c>
      <c r="AI19" s="538" t="b">
        <v>1</v>
      </c>
      <c r="AJ19" s="539"/>
      <c r="AL19" s="540">
        <v>0</v>
      </c>
    </row>
    <row r="20" spans="1:38">
      <c r="A20" s="528">
        <v>15</v>
      </c>
      <c r="B20" s="529" t="s">
        <v>1123</v>
      </c>
      <c r="C20" s="529" t="s">
        <v>1164</v>
      </c>
      <c r="D20" s="530">
        <f t="shared" si="2"/>
        <v>9.5065879878839041</v>
      </c>
      <c r="E20" s="531">
        <f t="shared" si="3"/>
        <v>1.7840405136428254E-2</v>
      </c>
      <c r="F20" s="532"/>
      <c r="G20" s="532"/>
      <c r="I20" s="533">
        <f t="shared" si="5"/>
        <v>8.0003838924541242</v>
      </c>
      <c r="J20" s="534">
        <v>532.86839145106853</v>
      </c>
      <c r="K20" s="534">
        <v>348.46955990642766</v>
      </c>
      <c r="L20" s="535">
        <f t="shared" si="6"/>
        <v>532.86839145106853</v>
      </c>
      <c r="M20" s="535">
        <f t="shared" si="6"/>
        <v>533.58390735731393</v>
      </c>
      <c r="N20" s="535">
        <f t="shared" si="6"/>
        <v>534.18795952035953</v>
      </c>
      <c r="O20" s="535">
        <f t="shared" si="6"/>
        <v>534.67131271544258</v>
      </c>
      <c r="P20" s="535">
        <f t="shared" si="6"/>
        <v>535.04783286682186</v>
      </c>
      <c r="Q20" s="535">
        <f t="shared" si="6"/>
        <v>535.84705952108732</v>
      </c>
      <c r="R20" s="535">
        <f t="shared" si="6"/>
        <v>536.52979433195117</v>
      </c>
      <c r="S20" s="535">
        <f t="shared" si="6"/>
        <v>537.14249685949051</v>
      </c>
      <c r="T20" s="535">
        <f t="shared" si="6"/>
        <v>537.68846389272437</v>
      </c>
      <c r="U20" s="535">
        <f t="shared" si="6"/>
        <v>538.14986568831102</v>
      </c>
      <c r="V20" s="535">
        <f t="shared" si="6"/>
        <v>539.06710437661411</v>
      </c>
      <c r="W20" s="535">
        <f t="shared" si="6"/>
        <v>539.94792337864988</v>
      </c>
      <c r="X20" s="535">
        <f t="shared" si="6"/>
        <v>540.79091665364297</v>
      </c>
      <c r="Y20" s="535">
        <f t="shared" si="6"/>
        <v>541.58429124976806</v>
      </c>
      <c r="Z20" s="535">
        <f t="shared" si="6"/>
        <v>542.37497943895244</v>
      </c>
      <c r="AB20" s="1014">
        <f>Z20-'Hospit_Data_"0"'!Z19</f>
        <v>0</v>
      </c>
      <c r="AD20" s="536">
        <f t="shared" si="7"/>
        <v>9.5065879878839041</v>
      </c>
      <c r="AE20" s="537">
        <f t="shared" si="8"/>
        <v>532.86839145106853</v>
      </c>
      <c r="AF20" s="537">
        <v>9.5065879878839041</v>
      </c>
      <c r="AG20" s="537">
        <v>0</v>
      </c>
      <c r="AH20" s="537">
        <v>0</v>
      </c>
      <c r="AI20" s="538" t="b">
        <v>1</v>
      </c>
      <c r="AJ20" s="539"/>
      <c r="AL20" s="540">
        <v>0</v>
      </c>
    </row>
    <row r="21" spans="1:38">
      <c r="A21" s="528">
        <v>16</v>
      </c>
      <c r="B21" s="529" t="s">
        <v>1124</v>
      </c>
      <c r="C21" s="529" t="s">
        <v>1164</v>
      </c>
      <c r="D21" s="530">
        <f t="shared" si="2"/>
        <v>511.94824950044961</v>
      </c>
      <c r="E21" s="531">
        <f t="shared" si="3"/>
        <v>1.6840402944093738</v>
      </c>
      <c r="F21" s="532"/>
      <c r="G21" s="532"/>
      <c r="I21" s="533">
        <f t="shared" si="5"/>
        <v>510.35142999577465</v>
      </c>
      <c r="J21" s="534">
        <v>304</v>
      </c>
      <c r="K21" s="534">
        <v>223.49999999999986</v>
      </c>
      <c r="L21" s="535">
        <f t="shared" si="6"/>
        <v>304</v>
      </c>
      <c r="M21" s="535">
        <f t="shared" si="6"/>
        <v>304.40819992138449</v>
      </c>
      <c r="N21" s="535">
        <f t="shared" si="6"/>
        <v>304.75281007374463</v>
      </c>
      <c r="O21" s="535">
        <f t="shared" si="6"/>
        <v>305.24189310033631</v>
      </c>
      <c r="P21" s="535">
        <f t="shared" si="6"/>
        <v>305.88388174099407</v>
      </c>
      <c r="Q21" s="535">
        <f t="shared" si="6"/>
        <v>306.60800793781044</v>
      </c>
      <c r="R21" s="535">
        <f t="shared" si="6"/>
        <v>807.15917005730034</v>
      </c>
      <c r="S21" s="535">
        <f t="shared" si="6"/>
        <v>808.08079509057552</v>
      </c>
      <c r="T21" s="535">
        <f t="shared" si="6"/>
        <v>808.90199745063831</v>
      </c>
      <c r="U21" s="535">
        <f t="shared" si="6"/>
        <v>809.59593716065228</v>
      </c>
      <c r="V21" s="535">
        <f t="shared" si="6"/>
        <v>810.9751312365596</v>
      </c>
      <c r="W21" s="535">
        <f t="shared" si="6"/>
        <v>812.29947814727143</v>
      </c>
      <c r="X21" s="535">
        <f t="shared" si="6"/>
        <v>813.56688580038553</v>
      </c>
      <c r="Y21" s="535">
        <f t="shared" si="6"/>
        <v>814.75962991715915</v>
      </c>
      <c r="Z21" s="535">
        <f t="shared" si="6"/>
        <v>815.94824950044961</v>
      </c>
      <c r="AB21" s="1014">
        <f>Z21-'Hospit_Data_"0"'!Z20</f>
        <v>1.0775524388790245</v>
      </c>
      <c r="AD21" s="536">
        <f t="shared" si="7"/>
        <v>511.94824950044961</v>
      </c>
      <c r="AE21" s="537">
        <f t="shared" si="8"/>
        <v>304</v>
      </c>
      <c r="AF21" s="537">
        <v>510.87069706157058</v>
      </c>
      <c r="AG21" s="537">
        <v>1.0592334494773519</v>
      </c>
      <c r="AH21" s="537">
        <v>1.8318989401180819E-2</v>
      </c>
      <c r="AI21" s="538" t="b">
        <v>0</v>
      </c>
      <c r="AJ21" s="539"/>
      <c r="AL21" s="540">
        <v>0</v>
      </c>
    </row>
    <row r="22" spans="1:38">
      <c r="A22" s="528">
        <v>17</v>
      </c>
      <c r="B22" s="529">
        <v>0</v>
      </c>
      <c r="C22" s="529" t="s">
        <v>1164</v>
      </c>
      <c r="D22" s="530">
        <f t="shared" si="2"/>
        <v>0</v>
      </c>
      <c r="E22" s="531" t="str">
        <f t="shared" si="3"/>
        <v>n/a</v>
      </c>
      <c r="F22" s="532"/>
      <c r="G22" s="532"/>
      <c r="I22" s="533"/>
      <c r="J22" s="534">
        <v>0</v>
      </c>
      <c r="K22" s="534">
        <v>0</v>
      </c>
      <c r="L22" s="535">
        <f t="shared" si="6"/>
        <v>0</v>
      </c>
      <c r="M22" s="535">
        <f t="shared" si="6"/>
        <v>0</v>
      </c>
      <c r="N22" s="535">
        <f t="shared" si="6"/>
        <v>0</v>
      </c>
      <c r="O22" s="535">
        <f t="shared" si="6"/>
        <v>0</v>
      </c>
      <c r="P22" s="535">
        <f t="shared" si="6"/>
        <v>0</v>
      </c>
      <c r="Q22" s="535">
        <f t="shared" si="6"/>
        <v>0</v>
      </c>
      <c r="R22" s="535">
        <f t="shared" si="6"/>
        <v>0</v>
      </c>
      <c r="S22" s="535">
        <f t="shared" si="6"/>
        <v>0</v>
      </c>
      <c r="T22" s="535">
        <f t="shared" si="6"/>
        <v>0</v>
      </c>
      <c r="U22" s="535">
        <f t="shared" si="6"/>
        <v>0</v>
      </c>
      <c r="V22" s="535">
        <f t="shared" si="6"/>
        <v>0</v>
      </c>
      <c r="W22" s="535">
        <f t="shared" si="6"/>
        <v>0</v>
      </c>
      <c r="X22" s="535">
        <f t="shared" si="6"/>
        <v>0</v>
      </c>
      <c r="Y22" s="535">
        <f t="shared" si="6"/>
        <v>0</v>
      </c>
      <c r="Z22" s="535">
        <f t="shared" si="6"/>
        <v>0</v>
      </c>
      <c r="AD22" s="536">
        <f t="shared" si="7"/>
        <v>0</v>
      </c>
      <c r="AE22" s="537">
        <f t="shared" si="8"/>
        <v>0</v>
      </c>
      <c r="AF22" s="537">
        <v>0</v>
      </c>
      <c r="AG22" s="537">
        <v>0</v>
      </c>
      <c r="AH22" s="537">
        <v>0</v>
      </c>
      <c r="AI22" s="538" t="b">
        <v>1</v>
      </c>
      <c r="AJ22" s="539"/>
      <c r="AL22" s="540">
        <v>0</v>
      </c>
    </row>
    <row r="23" spans="1:38">
      <c r="A23" s="528">
        <v>18</v>
      </c>
      <c r="B23" s="529">
        <v>0</v>
      </c>
      <c r="C23" s="529" t="s">
        <v>1164</v>
      </c>
      <c r="D23" s="530">
        <f t="shared" si="2"/>
        <v>0</v>
      </c>
      <c r="E23" s="531" t="str">
        <f t="shared" si="3"/>
        <v>n/a</v>
      </c>
      <c r="F23" s="532"/>
      <c r="G23" s="532"/>
      <c r="I23" s="533"/>
      <c r="J23" s="534">
        <v>0</v>
      </c>
      <c r="K23" s="534">
        <v>0</v>
      </c>
      <c r="L23" s="535">
        <f t="shared" ref="L23:Z25" si="9">K23*(1+L44)</f>
        <v>0</v>
      </c>
      <c r="M23" s="535">
        <f t="shared" si="9"/>
        <v>0</v>
      </c>
      <c r="N23" s="535">
        <f t="shared" si="9"/>
        <v>0</v>
      </c>
      <c r="O23" s="535">
        <f t="shared" si="9"/>
        <v>0</v>
      </c>
      <c r="P23" s="535">
        <f t="shared" si="9"/>
        <v>0</v>
      </c>
      <c r="Q23" s="535">
        <f t="shared" si="9"/>
        <v>0</v>
      </c>
      <c r="R23" s="535">
        <f t="shared" si="9"/>
        <v>0</v>
      </c>
      <c r="S23" s="535">
        <f t="shared" si="9"/>
        <v>0</v>
      </c>
      <c r="T23" s="535">
        <f t="shared" si="9"/>
        <v>0</v>
      </c>
      <c r="U23" s="535">
        <f t="shared" si="9"/>
        <v>0</v>
      </c>
      <c r="V23" s="535">
        <f t="shared" si="9"/>
        <v>0</v>
      </c>
      <c r="W23" s="535">
        <f t="shared" si="9"/>
        <v>0</v>
      </c>
      <c r="X23" s="535">
        <f t="shared" si="9"/>
        <v>0</v>
      </c>
      <c r="Y23" s="535">
        <f t="shared" si="9"/>
        <v>0</v>
      </c>
      <c r="Z23" s="535">
        <f t="shared" si="9"/>
        <v>0</v>
      </c>
      <c r="AD23" s="536">
        <f t="shared" si="7"/>
        <v>0</v>
      </c>
      <c r="AE23" s="537">
        <f t="shared" si="8"/>
        <v>0</v>
      </c>
      <c r="AF23" s="537">
        <v>0</v>
      </c>
      <c r="AG23" s="537">
        <v>0</v>
      </c>
      <c r="AH23" s="537">
        <v>0</v>
      </c>
      <c r="AI23" s="538" t="b">
        <v>1</v>
      </c>
      <c r="AJ23" s="539"/>
      <c r="AL23" s="540">
        <v>0</v>
      </c>
    </row>
    <row r="24" spans="1:38">
      <c r="A24" s="528">
        <v>19</v>
      </c>
      <c r="B24" s="529">
        <v>0</v>
      </c>
      <c r="C24" s="529" t="s">
        <v>1164</v>
      </c>
      <c r="D24" s="530">
        <f t="shared" si="2"/>
        <v>0</v>
      </c>
      <c r="E24" s="531" t="str">
        <f t="shared" si="3"/>
        <v>n/a</v>
      </c>
      <c r="F24" s="541"/>
      <c r="G24" s="541"/>
      <c r="I24" s="533"/>
      <c r="J24" s="534">
        <v>0</v>
      </c>
      <c r="K24" s="534">
        <v>0</v>
      </c>
      <c r="L24" s="535">
        <f t="shared" si="9"/>
        <v>0</v>
      </c>
      <c r="M24" s="535">
        <f t="shared" si="9"/>
        <v>0</v>
      </c>
      <c r="N24" s="535">
        <f t="shared" si="9"/>
        <v>0</v>
      </c>
      <c r="O24" s="535">
        <f t="shared" si="9"/>
        <v>0</v>
      </c>
      <c r="P24" s="535">
        <f t="shared" si="9"/>
        <v>0</v>
      </c>
      <c r="Q24" s="535">
        <f t="shared" si="9"/>
        <v>0</v>
      </c>
      <c r="R24" s="535">
        <f t="shared" si="9"/>
        <v>0</v>
      </c>
      <c r="S24" s="535">
        <f t="shared" si="9"/>
        <v>0</v>
      </c>
      <c r="T24" s="535">
        <f t="shared" si="9"/>
        <v>0</v>
      </c>
      <c r="U24" s="535">
        <f t="shared" si="9"/>
        <v>0</v>
      </c>
      <c r="V24" s="535">
        <f t="shared" si="9"/>
        <v>0</v>
      </c>
      <c r="W24" s="535">
        <f t="shared" si="9"/>
        <v>0</v>
      </c>
      <c r="X24" s="535">
        <f t="shared" si="9"/>
        <v>0</v>
      </c>
      <c r="Y24" s="535">
        <f t="shared" si="9"/>
        <v>0</v>
      </c>
      <c r="Z24" s="535">
        <f t="shared" si="9"/>
        <v>0</v>
      </c>
      <c r="AD24" s="536">
        <f t="shared" si="7"/>
        <v>0</v>
      </c>
      <c r="AE24" s="537">
        <f t="shared" si="8"/>
        <v>0</v>
      </c>
      <c r="AF24" s="537">
        <v>0</v>
      </c>
      <c r="AG24" s="537">
        <v>0</v>
      </c>
      <c r="AH24" s="537">
        <v>0</v>
      </c>
      <c r="AI24" s="538" t="b">
        <v>1</v>
      </c>
      <c r="AJ24" s="539"/>
      <c r="AL24" s="540">
        <v>0</v>
      </c>
    </row>
    <row r="25" spans="1:38">
      <c r="A25" s="528">
        <v>20</v>
      </c>
      <c r="B25" s="529">
        <v>0</v>
      </c>
      <c r="C25" s="529" t="s">
        <v>1164</v>
      </c>
      <c r="D25" s="530">
        <f t="shared" si="2"/>
        <v>0</v>
      </c>
      <c r="E25" s="531" t="str">
        <f t="shared" si="3"/>
        <v>n/a</v>
      </c>
      <c r="F25" s="541"/>
      <c r="G25" s="541"/>
      <c r="I25" s="533"/>
      <c r="J25" s="534">
        <v>0</v>
      </c>
      <c r="K25" s="534">
        <v>0</v>
      </c>
      <c r="L25" s="535">
        <f t="shared" si="9"/>
        <v>0</v>
      </c>
      <c r="M25" s="535">
        <f t="shared" si="9"/>
        <v>0</v>
      </c>
      <c r="N25" s="535">
        <f t="shared" si="9"/>
        <v>0</v>
      </c>
      <c r="O25" s="535">
        <f t="shared" si="9"/>
        <v>0</v>
      </c>
      <c r="P25" s="535">
        <f t="shared" si="9"/>
        <v>0</v>
      </c>
      <c r="Q25" s="535">
        <f t="shared" si="9"/>
        <v>0</v>
      </c>
      <c r="R25" s="535">
        <f t="shared" si="9"/>
        <v>0</v>
      </c>
      <c r="S25" s="535">
        <f t="shared" si="9"/>
        <v>0</v>
      </c>
      <c r="T25" s="535">
        <f t="shared" si="9"/>
        <v>0</v>
      </c>
      <c r="U25" s="535">
        <f t="shared" si="9"/>
        <v>0</v>
      </c>
      <c r="V25" s="535">
        <f t="shared" si="9"/>
        <v>0</v>
      </c>
      <c r="W25" s="535">
        <f t="shared" si="9"/>
        <v>0</v>
      </c>
      <c r="X25" s="535">
        <f t="shared" si="9"/>
        <v>0</v>
      </c>
      <c r="Y25" s="535">
        <f t="shared" si="9"/>
        <v>0</v>
      </c>
      <c r="Z25" s="535">
        <f t="shared" si="9"/>
        <v>0</v>
      </c>
      <c r="AD25" s="536">
        <f t="shared" si="7"/>
        <v>0</v>
      </c>
      <c r="AE25" s="537">
        <f t="shared" si="8"/>
        <v>0</v>
      </c>
      <c r="AF25" s="537">
        <v>0</v>
      </c>
      <c r="AG25" s="537">
        <v>0</v>
      </c>
      <c r="AH25" s="537">
        <v>0</v>
      </c>
      <c r="AI25" s="538" t="b">
        <v>1</v>
      </c>
      <c r="AJ25" s="539"/>
      <c r="AL25" s="540">
        <v>0</v>
      </c>
    </row>
    <row r="26" spans="1:38" collapsed="1">
      <c r="A26" s="542" t="s">
        <v>317</v>
      </c>
      <c r="B26" s="542"/>
      <c r="C26" s="542"/>
      <c r="D26" s="542"/>
      <c r="E26" s="542"/>
      <c r="F26" s="542"/>
      <c r="G26" s="542"/>
      <c r="H26" s="542"/>
      <c r="I26" s="543"/>
      <c r="J26" s="543">
        <f>SUM(J6:J25)</f>
        <v>38243.240867160603</v>
      </c>
      <c r="K26" s="543">
        <f t="shared" ref="K26:Z26" si="10">SUM(K6:K25)</f>
        <v>31938.272931321953</v>
      </c>
      <c r="L26" s="543">
        <f t="shared" si="10"/>
        <v>38243.240867160603</v>
      </c>
      <c r="M26" s="543">
        <f t="shared" si="10"/>
        <v>38239.687167331169</v>
      </c>
      <c r="N26" s="543">
        <f t="shared" si="10"/>
        <v>37763.09096000337</v>
      </c>
      <c r="O26" s="543">
        <f t="shared" si="10"/>
        <v>39067.129755204587</v>
      </c>
      <c r="P26" s="543">
        <f t="shared" si="10"/>
        <v>41696.781396137027</v>
      </c>
      <c r="Q26" s="543">
        <f t="shared" si="10"/>
        <v>43524.004355641991</v>
      </c>
      <c r="R26" s="543">
        <f t="shared" si="10"/>
        <v>43482.894947321154</v>
      </c>
      <c r="S26" s="543">
        <f t="shared" si="10"/>
        <v>42652.374681196641</v>
      </c>
      <c r="T26" s="543">
        <f t="shared" si="10"/>
        <v>42613.771652139694</v>
      </c>
      <c r="U26" s="543">
        <f t="shared" si="10"/>
        <v>42563.80824379086</v>
      </c>
      <c r="V26" s="543">
        <f t="shared" si="10"/>
        <v>42538.610502405434</v>
      </c>
      <c r="W26" s="543">
        <f t="shared" si="10"/>
        <v>42526.315170325463</v>
      </c>
      <c r="X26" s="543">
        <f t="shared" si="10"/>
        <v>42496.183355064946</v>
      </c>
      <c r="Y26" s="543">
        <f t="shared" si="10"/>
        <v>42428.454906311177</v>
      </c>
      <c r="Z26" s="543">
        <f t="shared" si="10"/>
        <v>42330.293506123431</v>
      </c>
      <c r="AD26" s="544">
        <f>SUM(AD6:AD25)</f>
        <v>4087.052638962823</v>
      </c>
      <c r="AE26" s="544">
        <f t="shared" si="8"/>
        <v>38243.240867160603</v>
      </c>
      <c r="AF26" s="544">
        <v>-2199.0800186528595</v>
      </c>
      <c r="AG26" s="544">
        <v>6608.9483093302515</v>
      </c>
      <c r="AH26" s="544">
        <v>-322.81565171456634</v>
      </c>
    </row>
    <row r="27" spans="1:38" hidden="1" outlineLevel="1">
      <c r="A27" s="528">
        <v>1</v>
      </c>
      <c r="B27" s="529" t="s">
        <v>1112</v>
      </c>
      <c r="C27" s="529" t="s">
        <v>1164</v>
      </c>
      <c r="I27" s="545"/>
      <c r="J27" s="546" t="s">
        <v>1169</v>
      </c>
      <c r="K27" s="546">
        <v>-0.16947157820407122</v>
      </c>
      <c r="L27" s="546">
        <v>0.20405271361768329</v>
      </c>
      <c r="M27" s="546">
        <v>1.3427628992910279E-3</v>
      </c>
      <c r="N27" s="546">
        <v>-1.7909465962646531E-2</v>
      </c>
      <c r="O27" s="546">
        <v>1.1414860271384164E-2</v>
      </c>
      <c r="P27" s="546">
        <v>2.0543724840620614E-2</v>
      </c>
      <c r="Q27" s="546">
        <v>1.8109874242415502E-2</v>
      </c>
      <c r="R27" s="546">
        <v>-3.2057873464536146E-2</v>
      </c>
      <c r="S27" s="546">
        <v>-4.0985770557654511E-2</v>
      </c>
      <c r="T27" s="546">
        <v>-4.848378992778013E-3</v>
      </c>
      <c r="U27" s="546">
        <v>-5.5453693954771177E-3</v>
      </c>
      <c r="V27" s="546">
        <v>-4.7669758150780117E-3</v>
      </c>
      <c r="W27" s="546">
        <v>-4.8809690904482173E-3</v>
      </c>
      <c r="X27" s="546">
        <v>-4.9967712283168764E-3</v>
      </c>
      <c r="Y27" s="546">
        <v>-5.1337349336925131E-3</v>
      </c>
      <c r="Z27" s="546">
        <v>-5.1875067679145737E-3</v>
      </c>
    </row>
    <row r="28" spans="1:38" hidden="1" outlineLevel="1">
      <c r="A28" s="528">
        <v>2</v>
      </c>
      <c r="B28" s="529" t="s">
        <v>1113</v>
      </c>
      <c r="C28" s="529" t="s">
        <v>1164</v>
      </c>
      <c r="I28" s="545"/>
      <c r="J28" s="546" t="s">
        <v>1169</v>
      </c>
      <c r="K28" s="546">
        <v>-0.23095515173216197</v>
      </c>
      <c r="L28" s="546">
        <v>0.30031428238854341</v>
      </c>
      <c r="M28" s="546">
        <v>1.3427628992910279E-3</v>
      </c>
      <c r="N28" s="546">
        <v>-8.8792547279453737E-3</v>
      </c>
      <c r="O28" s="546">
        <v>2.9204086904672799E-2</v>
      </c>
      <c r="P28" s="546">
        <v>5.5744654083967227E-2</v>
      </c>
      <c r="Q28" s="546">
        <v>3.3909413408723665E-2</v>
      </c>
      <c r="R28" s="546">
        <v>-1.0890785795808267E-2</v>
      </c>
      <c r="S28" s="546">
        <v>-4.0778456127719576E-2</v>
      </c>
      <c r="T28" s="546">
        <v>-2.3096556365456156E-3</v>
      </c>
      <c r="U28" s="546">
        <v>-2.4819374128338678E-3</v>
      </c>
      <c r="V28" s="546">
        <v>-1.706725534490805E-3</v>
      </c>
      <c r="W28" s="546">
        <v>-1.7930607450732383E-3</v>
      </c>
      <c r="X28" s="546">
        <v>-1.8790406836024509E-3</v>
      </c>
      <c r="Y28" s="546">
        <v>-1.7848821633129619E-3</v>
      </c>
      <c r="Z28" s="546">
        <v>-1.8112029145661568E-3</v>
      </c>
    </row>
    <row r="29" spans="1:38" hidden="1" outlineLevel="1">
      <c r="A29" s="528">
        <v>3</v>
      </c>
      <c r="B29" s="529" t="s">
        <v>1114</v>
      </c>
      <c r="C29" s="529" t="s">
        <v>1164</v>
      </c>
      <c r="I29" s="545"/>
      <c r="J29" s="546" t="s">
        <v>1169</v>
      </c>
      <c r="K29" s="546">
        <v>-7.4175921986442517E-2</v>
      </c>
      <c r="L29" s="546">
        <v>8.0118808473413239E-2</v>
      </c>
      <c r="M29" s="546">
        <v>1.3427628992910279E-3</v>
      </c>
      <c r="N29" s="546">
        <v>-8.8792547279454848E-3</v>
      </c>
      <c r="O29" s="546">
        <v>7.7228901338460387E-2</v>
      </c>
      <c r="P29" s="546">
        <v>0.1425322198493415</v>
      </c>
      <c r="Q29" s="546">
        <v>7.9169880913789958E-2</v>
      </c>
      <c r="R29" s="546">
        <v>-8.1392407886232032E-2</v>
      </c>
      <c r="S29" s="546">
        <v>-2.7653202258461906E-3</v>
      </c>
      <c r="T29" s="546">
        <v>-2.9125605921751507E-3</v>
      </c>
      <c r="U29" s="546">
        <v>-3.097340131556825E-3</v>
      </c>
      <c r="V29" s="546">
        <v>-2.414872521118383E-3</v>
      </c>
      <c r="W29" s="546">
        <v>-2.5160965602096796E-3</v>
      </c>
      <c r="X29" s="546">
        <v>-2.6130752256539047E-3</v>
      </c>
      <c r="Y29" s="546">
        <v>-2.7267175144740641E-3</v>
      </c>
      <c r="Z29" s="546">
        <v>-2.7725063128178906E-3</v>
      </c>
    </row>
    <row r="30" spans="1:38" hidden="1" outlineLevel="1">
      <c r="A30" s="528">
        <v>4</v>
      </c>
      <c r="B30" s="529" t="s">
        <v>1115</v>
      </c>
      <c r="C30" s="529" t="s">
        <v>1164</v>
      </c>
      <c r="I30" s="545"/>
      <c r="J30" s="546" t="s">
        <v>1169</v>
      </c>
      <c r="K30" s="546">
        <v>-9.3502027718813774E-2</v>
      </c>
      <c r="L30" s="546">
        <v>0.10314642787729289</v>
      </c>
      <c r="M30" s="546">
        <v>1.3427628992910279E-3</v>
      </c>
      <c r="N30" s="546">
        <v>-7.8881339826735175E-3</v>
      </c>
      <c r="O30" s="546">
        <v>8.6997917064887353E-2</v>
      </c>
      <c r="P30" s="546">
        <v>0.15856177118008996</v>
      </c>
      <c r="Q30" s="546">
        <v>9.7074390164318514E-2</v>
      </c>
      <c r="R30" s="546">
        <v>3.7218118059648253E-2</v>
      </c>
      <c r="S30" s="546">
        <v>7.2081716159029252E-3</v>
      </c>
      <c r="T30" s="546">
        <v>2.0742371900959178E-3</v>
      </c>
      <c r="U30" s="546">
        <v>1.8889029165618521E-3</v>
      </c>
      <c r="V30" s="546">
        <v>-1.4110957391116896E-3</v>
      </c>
      <c r="W30" s="546">
        <v>-1.5119381536848886E-3</v>
      </c>
      <c r="X30" s="546">
        <v>-2.6061280727045499E-3</v>
      </c>
      <c r="Y30" s="546">
        <v>-2.7196396133002398E-3</v>
      </c>
      <c r="Z30" s="546">
        <v>-2.7647207500696158E-3</v>
      </c>
    </row>
    <row r="31" spans="1:38" hidden="1" outlineLevel="1">
      <c r="A31" s="528">
        <v>5</v>
      </c>
      <c r="B31" s="529" t="s">
        <v>1116</v>
      </c>
      <c r="C31" s="529" t="s">
        <v>1164</v>
      </c>
      <c r="I31" s="545"/>
      <c r="J31" s="546" t="s">
        <v>1169</v>
      </c>
      <c r="K31" s="546">
        <v>-0.13718235597643003</v>
      </c>
      <c r="L31" s="546">
        <v>0.15899345235536533</v>
      </c>
      <c r="M31" s="546">
        <v>-1.3841226264012851E-2</v>
      </c>
      <c r="N31" s="546">
        <v>-1.5079457139542951E-2</v>
      </c>
      <c r="O31" s="546">
        <v>-1.2725955790464649E-2</v>
      </c>
      <c r="P31" s="546">
        <v>-6.2311311600357078E-3</v>
      </c>
      <c r="Q31" s="546">
        <v>-1.1722698525939212E-2</v>
      </c>
      <c r="R31" s="546">
        <v>-7.2986497106777293E-3</v>
      </c>
      <c r="S31" s="546">
        <v>-1.0116275114238849E-2</v>
      </c>
      <c r="T31" s="546">
        <v>-7.0982404355668383E-3</v>
      </c>
      <c r="U31" s="546">
        <v>-9.777685371184841E-3</v>
      </c>
      <c r="V31" s="546">
        <v>-5.0258375729558269E-3</v>
      </c>
      <c r="W31" s="546">
        <v>-3.1375109313237504E-3</v>
      </c>
      <c r="X31" s="546">
        <v>-1.3380524536449334E-3</v>
      </c>
      <c r="Y31" s="546">
        <v>-2.4619113809343229E-3</v>
      </c>
      <c r="Z31" s="546">
        <v>2.1437047468382264E-3</v>
      </c>
    </row>
    <row r="32" spans="1:38" hidden="1" outlineLevel="1">
      <c r="A32" s="528">
        <v>6</v>
      </c>
      <c r="B32" s="529" t="s">
        <v>1117</v>
      </c>
      <c r="C32" s="529" t="s">
        <v>1164</v>
      </c>
      <c r="I32" s="545"/>
      <c r="J32" s="546" t="s">
        <v>1169</v>
      </c>
      <c r="K32" s="546">
        <v>-0.13702312218399615</v>
      </c>
      <c r="L32" s="546">
        <v>0.15877959851110979</v>
      </c>
      <c r="M32" s="546">
        <v>1.3427628992910279E-3</v>
      </c>
      <c r="N32" s="546">
        <v>-1.8890575387259134E-2</v>
      </c>
      <c r="O32" s="546">
        <v>7.5098197186146187E-2</v>
      </c>
      <c r="P32" s="546">
        <v>0.13884610949739207</v>
      </c>
      <c r="Q32" s="546">
        <v>7.7395958589083769E-2</v>
      </c>
      <c r="R32" s="546">
        <v>9.9539577407647961E-4</v>
      </c>
      <c r="S32" s="546">
        <v>-4.1490998821841485E-2</v>
      </c>
      <c r="T32" s="546">
        <v>-5.3778788167133662E-3</v>
      </c>
      <c r="U32" s="546">
        <v>-5.5862686364214209E-3</v>
      </c>
      <c r="V32" s="546">
        <v>-4.9139484895799335E-3</v>
      </c>
      <c r="W32" s="546">
        <v>-5.0393689236953865E-3</v>
      </c>
      <c r="X32" s="546">
        <v>-5.1617682099150963E-3</v>
      </c>
      <c r="Y32" s="546">
        <v>-5.3017967298513158E-3</v>
      </c>
      <c r="Z32" s="546">
        <v>-5.3723263353392392E-3</v>
      </c>
    </row>
    <row r="33" spans="1:26" hidden="1" outlineLevel="1">
      <c r="A33" s="528">
        <v>7</v>
      </c>
      <c r="B33" s="529" t="s">
        <v>1118</v>
      </c>
      <c r="C33" s="529" t="s">
        <v>1164</v>
      </c>
      <c r="I33" s="545"/>
      <c r="J33" s="546" t="s">
        <v>1169</v>
      </c>
      <c r="K33" s="546">
        <v>-1.9106107130671179E-2</v>
      </c>
      <c r="L33" s="546">
        <v>1.9478260869564279E-2</v>
      </c>
      <c r="M33" s="546">
        <v>1.3427628992910279E-3</v>
      </c>
      <c r="N33" s="546">
        <v>1.1320659313682757E-3</v>
      </c>
      <c r="O33" s="546">
        <v>1.6808889702235597E-2</v>
      </c>
      <c r="P33" s="546">
        <v>3.2013770175237433E-2</v>
      </c>
      <c r="Q33" s="546">
        <v>2.0477652211716046E-2</v>
      </c>
      <c r="R33" s="546">
        <v>1.2448311123824052E-2</v>
      </c>
      <c r="S33" s="546">
        <v>1.1331075150622372E-3</v>
      </c>
      <c r="T33" s="546">
        <v>1.0058424935224242E-3</v>
      </c>
      <c r="U33" s="546">
        <v>8.4466339518218803E-4</v>
      </c>
      <c r="V33" s="546">
        <v>1.6560694398033426E-3</v>
      </c>
      <c r="W33" s="546">
        <v>1.5818547849546505E-3</v>
      </c>
      <c r="X33" s="546">
        <v>1.5069713817135177E-3</v>
      </c>
      <c r="Y33" s="546">
        <v>1.4117848990173876E-3</v>
      </c>
      <c r="Z33" s="546">
        <v>1.3991719637105327E-3</v>
      </c>
    </row>
    <row r="34" spans="1:26" hidden="1" outlineLevel="1">
      <c r="A34" s="528">
        <v>8</v>
      </c>
      <c r="B34" s="529" t="s">
        <v>1119</v>
      </c>
      <c r="C34" s="529" t="s">
        <v>1164</v>
      </c>
      <c r="I34" s="545"/>
      <c r="J34" s="546" t="s">
        <v>1169</v>
      </c>
      <c r="K34" s="546">
        <v>-0.23463687150837853</v>
      </c>
      <c r="L34" s="546">
        <v>0.30656934306569128</v>
      </c>
      <c r="M34" s="546">
        <v>1.3427628992910279E-3</v>
      </c>
      <c r="N34" s="546">
        <v>-1.790946596264642E-2</v>
      </c>
      <c r="O34" s="546">
        <v>2.2025760906823066E-3</v>
      </c>
      <c r="P34" s="546">
        <v>2.2983854055744768E-3</v>
      </c>
      <c r="Q34" s="546">
        <v>1.1882898664777208E-2</v>
      </c>
      <c r="R34" s="546">
        <v>-2.9774949296894948E-2</v>
      </c>
      <c r="S34" s="546">
        <v>-3.1874583529346356E-2</v>
      </c>
      <c r="T34" s="546">
        <v>-3.6613980563926507E-4</v>
      </c>
      <c r="U34" s="546">
        <v>-5.6509425859541107E-4</v>
      </c>
      <c r="V34" s="546">
        <v>-3.7431032733853398E-3</v>
      </c>
      <c r="W34" s="546">
        <v>-3.8549892584631706E-3</v>
      </c>
      <c r="X34" s="546">
        <v>-4.9646633353019887E-3</v>
      </c>
      <c r="Y34" s="546">
        <v>-5.1010371157550471E-3</v>
      </c>
      <c r="Z34" s="546">
        <v>-5.1515558423927965E-3</v>
      </c>
    </row>
    <row r="35" spans="1:26" hidden="1" outlineLevel="1">
      <c r="A35" s="528">
        <v>9</v>
      </c>
      <c r="B35" s="529" t="s">
        <v>387</v>
      </c>
      <c r="C35" s="529" t="s">
        <v>1164</v>
      </c>
      <c r="I35" s="545"/>
      <c r="J35" s="546" t="s">
        <v>1169</v>
      </c>
      <c r="K35" s="546">
        <v>-0.28721449199264848</v>
      </c>
      <c r="L35" s="546">
        <v>0.40294659300184077</v>
      </c>
      <c r="M35" s="546">
        <v>1.3427628992910279E-3</v>
      </c>
      <c r="N35" s="546">
        <v>-2.8901896046572673E-2</v>
      </c>
      <c r="O35" s="546">
        <v>4.0192202695905621E-3</v>
      </c>
      <c r="P35" s="546">
        <v>6.9134495439240329E-3</v>
      </c>
      <c r="Q35" s="546">
        <v>5.3524426499831357E-3</v>
      </c>
      <c r="R35" s="546">
        <v>-6.8843693989762533E-2</v>
      </c>
      <c r="S35" s="546">
        <v>-1.2764596297997421E-2</v>
      </c>
      <c r="T35" s="546">
        <v>-1.3084566654981589E-2</v>
      </c>
      <c r="U35" s="546">
        <v>-1.3442613152186311E-2</v>
      </c>
      <c r="V35" s="546">
        <v>-1.2822945388234697E-2</v>
      </c>
      <c r="W35" s="546">
        <v>-1.3106629201942388E-2</v>
      </c>
      <c r="X35" s="546">
        <v>-1.3398553879982011E-2</v>
      </c>
      <c r="Y35" s="546">
        <v>-1.371800973599735E-2</v>
      </c>
      <c r="Z35" s="546">
        <v>-1.3959576468005275E-2</v>
      </c>
    </row>
    <row r="36" spans="1:26" hidden="1" outlineLevel="1">
      <c r="A36" s="528">
        <v>10</v>
      </c>
      <c r="B36" s="529" t="s">
        <v>1120</v>
      </c>
      <c r="C36" s="529" t="s">
        <v>1164</v>
      </c>
      <c r="I36" s="545"/>
      <c r="J36" s="546" t="s">
        <v>1169</v>
      </c>
      <c r="K36" s="546">
        <v>-8.9867916046209806E-2</v>
      </c>
      <c r="L36" s="546">
        <v>9.8741619629324706E-2</v>
      </c>
      <c r="M36" s="546">
        <v>1.3427628992910279E-3</v>
      </c>
      <c r="N36" s="546">
        <v>-7.8881339826734065E-3</v>
      </c>
      <c r="O36" s="546">
        <v>0.25854240370054726</v>
      </c>
      <c r="P36" s="546">
        <v>0.41030028603499424</v>
      </c>
      <c r="Q36" s="546">
        <v>0.19461244587823034</v>
      </c>
      <c r="R36" s="546">
        <v>8.1965999048399851E-2</v>
      </c>
      <c r="S36" s="546">
        <v>7.1762417460605743E-3</v>
      </c>
      <c r="T36" s="546">
        <v>2.0362957337385357E-3</v>
      </c>
      <c r="U36" s="546">
        <v>1.8406651567708376E-3</v>
      </c>
      <c r="V36" s="546">
        <v>-1.583771339750295E-3</v>
      </c>
      <c r="W36" s="546">
        <v>-1.6981106872239193E-3</v>
      </c>
      <c r="X36" s="546">
        <v>-2.7999404960556973E-3</v>
      </c>
      <c r="Y36" s="546">
        <v>-2.9171366667742893E-3</v>
      </c>
      <c r="Z36" s="546">
        <v>-2.9820054103842919E-3</v>
      </c>
    </row>
    <row r="37" spans="1:26" hidden="1" outlineLevel="1">
      <c r="A37" s="528">
        <v>11</v>
      </c>
      <c r="B37" s="529" t="s">
        <v>375</v>
      </c>
      <c r="C37" s="529" t="s">
        <v>1164</v>
      </c>
      <c r="I37" s="545"/>
      <c r="J37" s="546" t="s">
        <v>1169</v>
      </c>
      <c r="K37" s="546">
        <v>-0.15610599078341181</v>
      </c>
      <c r="L37" s="546">
        <v>0.1849829351535861</v>
      </c>
      <c r="M37" s="546">
        <v>1.3427628992910279E-3</v>
      </c>
      <c r="N37" s="546">
        <v>1.1320659313682757E-3</v>
      </c>
      <c r="O37" s="546">
        <v>4.4736926442081604E-3</v>
      </c>
      <c r="P37" s="546">
        <v>7.8163257469632264E-3</v>
      </c>
      <c r="Q37" s="546">
        <v>5.9095699509843502E-3</v>
      </c>
      <c r="R37" s="546">
        <v>3.9109794935454634E-3</v>
      </c>
      <c r="S37" s="546">
        <v>1.1398631381158708E-3</v>
      </c>
      <c r="T37" s="546">
        <v>1.013909343003716E-3</v>
      </c>
      <c r="U37" s="546">
        <v>8.5491839645768231E-4</v>
      </c>
      <c r="V37" s="546">
        <v>1.6929211126972543E-3</v>
      </c>
      <c r="W37" s="546">
        <v>1.6215674954223047E-3</v>
      </c>
      <c r="X37" s="546">
        <v>1.5483332609378397E-3</v>
      </c>
      <c r="Y37" s="546">
        <v>1.4539099149477597E-3</v>
      </c>
      <c r="Z37" s="546">
        <v>1.4454915577213345E-3</v>
      </c>
    </row>
    <row r="38" spans="1:26" hidden="1" outlineLevel="1">
      <c r="A38" s="528">
        <v>12</v>
      </c>
      <c r="B38" s="529" t="s">
        <v>1121</v>
      </c>
      <c r="C38" s="529" t="s">
        <v>1164</v>
      </c>
      <c r="I38" s="545"/>
      <c r="J38" s="546" t="s">
        <v>1169</v>
      </c>
      <c r="K38" s="546">
        <v>-0.20129870129870087</v>
      </c>
      <c r="L38" s="546">
        <v>0.25203252032520251</v>
      </c>
      <c r="M38" s="546">
        <v>1.3427628992910279E-3</v>
      </c>
      <c r="N38" s="546">
        <v>-1.8890575387259134E-2</v>
      </c>
      <c r="O38" s="546">
        <v>2.9403305387027734E-2</v>
      </c>
      <c r="P38" s="546">
        <v>5.6121395943934393E-2</v>
      </c>
      <c r="Q38" s="546">
        <v>3.4327814852544991E-2</v>
      </c>
      <c r="R38" s="546">
        <v>-2.1304692943833636E-2</v>
      </c>
      <c r="S38" s="546">
        <v>-4.1474185452223922E-2</v>
      </c>
      <c r="T38" s="546">
        <v>-5.3570421467260543E-3</v>
      </c>
      <c r="U38" s="546">
        <v>-5.5597798957182087E-3</v>
      </c>
      <c r="V38" s="546">
        <v>-4.8187590095081223E-3</v>
      </c>
      <c r="W38" s="546">
        <v>-4.9367731017925243E-3</v>
      </c>
      <c r="X38" s="546">
        <v>-5.0548934113214816E-3</v>
      </c>
      <c r="Y38" s="546">
        <v>-5.1929303753799338E-3</v>
      </c>
      <c r="Z38" s="546">
        <v>-5.252597579206042E-3</v>
      </c>
    </row>
    <row r="39" spans="1:26" hidden="1" outlineLevel="1">
      <c r="A39" s="528">
        <v>13</v>
      </c>
      <c r="B39" s="529" t="s">
        <v>1122</v>
      </c>
      <c r="C39" s="529" t="s">
        <v>1164</v>
      </c>
      <c r="I39" s="545"/>
      <c r="J39" s="546" t="s">
        <v>1169</v>
      </c>
      <c r="K39" s="546">
        <v>-0.38607167004733112</v>
      </c>
      <c r="L39" s="546">
        <v>0.62885462555066574</v>
      </c>
      <c r="M39" s="546">
        <v>1.3427628992910279E-3</v>
      </c>
      <c r="N39" s="546">
        <v>-1.8890575387259134E-2</v>
      </c>
      <c r="O39" s="546">
        <v>5.1404572137491167E-2</v>
      </c>
      <c r="P39" s="546">
        <v>9.6849442236228489E-2</v>
      </c>
      <c r="Q39" s="546">
        <v>5.634351407109639E-2</v>
      </c>
      <c r="R39" s="546">
        <v>-9.6780832805517525E-3</v>
      </c>
      <c r="S39" s="546">
        <v>-4.1483045926136608E-2</v>
      </c>
      <c r="T39" s="546">
        <v>-5.3680227676972114E-3</v>
      </c>
      <c r="U39" s="546">
        <v>-5.5737389371394164E-3</v>
      </c>
      <c r="V39" s="546">
        <v>-4.8689213470795023E-3</v>
      </c>
      <c r="W39" s="546">
        <v>-4.990835939243099E-3</v>
      </c>
      <c r="X39" s="546">
        <v>-5.111208307277626E-3</v>
      </c>
      <c r="Y39" s="546">
        <v>-5.2502917546839445E-3</v>
      </c>
      <c r="Z39" s="546">
        <v>-5.315679061398848E-3</v>
      </c>
    </row>
    <row r="40" spans="1:26" hidden="1" outlineLevel="1">
      <c r="A40" s="528">
        <v>14</v>
      </c>
      <c r="B40" s="529" t="s">
        <v>382</v>
      </c>
      <c r="C40" s="529" t="s">
        <v>1164</v>
      </c>
      <c r="I40" s="545"/>
      <c r="J40" s="546" t="s">
        <v>1169</v>
      </c>
      <c r="K40" s="546">
        <v>-6.3531353135311885E-2</v>
      </c>
      <c r="L40" s="546">
        <v>6.7841409691627996E-2</v>
      </c>
      <c r="M40" s="546">
        <v>1.3427628992910279E-3</v>
      </c>
      <c r="N40" s="546">
        <v>1.1320659313682757E-3</v>
      </c>
      <c r="O40" s="546">
        <v>9.048373076716576E-4</v>
      </c>
      <c r="P40" s="546">
        <v>7.0420862766518155E-4</v>
      </c>
      <c r="Q40" s="546">
        <v>0.10164312284937482</v>
      </c>
      <c r="R40" s="546">
        <v>0.10140153478237157</v>
      </c>
      <c r="S40" s="546">
        <v>0.10125617027686684</v>
      </c>
      <c r="T40" s="546">
        <v>0.10111807153607955</v>
      </c>
      <c r="U40" s="546">
        <v>0.10094393316804862</v>
      </c>
      <c r="V40" s="546">
        <v>0.10187487282161234</v>
      </c>
      <c r="W40" s="546">
        <v>0.10179736603174838</v>
      </c>
      <c r="X40" s="546">
        <v>8.1686149159155397E-2</v>
      </c>
      <c r="Y40" s="546">
        <v>5.1540416638441666E-2</v>
      </c>
      <c r="Z40" s="546">
        <v>1.6481853379037625E-2</v>
      </c>
    </row>
    <row r="41" spans="1:26" hidden="1" outlineLevel="1">
      <c r="A41" s="528">
        <v>15</v>
      </c>
      <c r="B41" s="529" t="s">
        <v>1123</v>
      </c>
      <c r="C41" s="529" t="s">
        <v>1164</v>
      </c>
      <c r="I41" s="545"/>
      <c r="J41" s="546" t="s">
        <v>1169</v>
      </c>
      <c r="K41" s="546">
        <v>-0.34604948333020724</v>
      </c>
      <c r="L41" s="546">
        <v>0.52916768854690299</v>
      </c>
      <c r="M41" s="546">
        <v>1.3427628992910279E-3</v>
      </c>
      <c r="N41" s="546">
        <v>1.1320659313682757E-3</v>
      </c>
      <c r="O41" s="546">
        <v>9.048373076716576E-4</v>
      </c>
      <c r="P41" s="546">
        <v>7.0420862766518155E-4</v>
      </c>
      <c r="Q41" s="546">
        <v>1.4937480448862228E-3</v>
      </c>
      <c r="R41" s="546">
        <v>1.2741225294286007E-3</v>
      </c>
      <c r="S41" s="546">
        <v>1.1419729789698962E-3</v>
      </c>
      <c r="T41" s="546">
        <v>1.016428669163183E-3</v>
      </c>
      <c r="U41" s="546">
        <v>8.5812106186211601E-4</v>
      </c>
      <c r="V41" s="546">
        <v>1.7044298378294798E-3</v>
      </c>
      <c r="W41" s="546">
        <v>1.6339691197710948E-3</v>
      </c>
      <c r="X41" s="546">
        <v>1.5612492214400753E-3</v>
      </c>
      <c r="Y41" s="546">
        <v>1.4670634651825498E-3</v>
      </c>
      <c r="Z41" s="546">
        <v>1.4599540680173551E-3</v>
      </c>
    </row>
    <row r="42" spans="1:26" hidden="1" outlineLevel="1">
      <c r="A42" s="528">
        <v>16</v>
      </c>
      <c r="B42" s="529" t="s">
        <v>1124</v>
      </c>
      <c r="C42" s="529" t="s">
        <v>1164</v>
      </c>
      <c r="I42" s="545"/>
      <c r="J42" s="546" t="s">
        <v>1169</v>
      </c>
      <c r="K42" s="546">
        <v>-0.26480263157894779</v>
      </c>
      <c r="L42" s="546">
        <v>0.36017897091722673</v>
      </c>
      <c r="M42" s="546">
        <v>1.3427628992910279E-3</v>
      </c>
      <c r="N42" s="546">
        <v>1.1320659313682757E-3</v>
      </c>
      <c r="O42" s="546">
        <v>1.6048515728972479E-3</v>
      </c>
      <c r="P42" s="546">
        <v>2.1032127475593132E-3</v>
      </c>
      <c r="Q42" s="546">
        <v>2.3673238115551332E-3</v>
      </c>
      <c r="R42" s="546">
        <v>1.6325443209592136</v>
      </c>
      <c r="S42" s="546">
        <v>1.1418132475775611E-3</v>
      </c>
      <c r="T42" s="546">
        <v>1.0162379369140773E-3</v>
      </c>
      <c r="U42" s="546">
        <v>8.5787859617236784E-4</v>
      </c>
      <c r="V42" s="546">
        <v>1.7035585439624246E-3</v>
      </c>
      <c r="W42" s="546">
        <v>1.6330302369351735E-3</v>
      </c>
      <c r="X42" s="546">
        <v>1.5602714112348259E-3</v>
      </c>
      <c r="Y42" s="546">
        <v>1.466067679979588E-3</v>
      </c>
      <c r="Z42" s="546">
        <v>1.4588592017148461E-3</v>
      </c>
    </row>
    <row r="43" spans="1:26" hidden="1" outlineLevel="1">
      <c r="A43" s="528">
        <v>17</v>
      </c>
      <c r="B43" s="529">
        <v>0</v>
      </c>
      <c r="C43" s="529" t="s">
        <v>1164</v>
      </c>
      <c r="I43" s="545"/>
      <c r="J43" s="546"/>
      <c r="K43" s="546"/>
      <c r="L43" s="546"/>
      <c r="M43" s="546"/>
      <c r="N43" s="546"/>
      <c r="O43" s="546"/>
      <c r="P43" s="546"/>
      <c r="Q43" s="546"/>
      <c r="R43" s="546"/>
      <c r="S43" s="546"/>
      <c r="T43" s="546"/>
      <c r="U43" s="546"/>
      <c r="V43" s="546"/>
      <c r="W43" s="546"/>
      <c r="X43" s="546"/>
      <c r="Y43" s="546"/>
      <c r="Z43" s="546"/>
    </row>
    <row r="44" spans="1:26" hidden="1" outlineLevel="1">
      <c r="A44" s="528">
        <v>18</v>
      </c>
      <c r="B44" s="529">
        <v>0</v>
      </c>
      <c r="C44" s="529" t="s">
        <v>1164</v>
      </c>
      <c r="I44" s="545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  <c r="U44" s="546"/>
      <c r="V44" s="546"/>
      <c r="W44" s="546"/>
      <c r="X44" s="546"/>
      <c r="Y44" s="546"/>
      <c r="Z44" s="546"/>
    </row>
    <row r="45" spans="1:26" hidden="1" outlineLevel="1">
      <c r="A45" s="528">
        <v>19</v>
      </c>
      <c r="B45" s="529">
        <v>0</v>
      </c>
      <c r="C45" s="529" t="s">
        <v>1164</v>
      </c>
      <c r="I45" s="545"/>
      <c r="J45" s="546"/>
      <c r="K45" s="546"/>
      <c r="L45" s="546"/>
      <c r="M45" s="546"/>
      <c r="N45" s="546"/>
      <c r="O45" s="546"/>
      <c r="P45" s="546"/>
      <c r="Q45" s="546"/>
      <c r="R45" s="546"/>
      <c r="S45" s="546"/>
      <c r="T45" s="546"/>
      <c r="U45" s="546"/>
      <c r="V45" s="546"/>
      <c r="W45" s="546"/>
      <c r="X45" s="546"/>
      <c r="Y45" s="546"/>
      <c r="Z45" s="546"/>
    </row>
    <row r="46" spans="1:26" hidden="1" outlineLevel="1">
      <c r="A46" s="528">
        <v>20</v>
      </c>
      <c r="B46" s="529">
        <v>0</v>
      </c>
      <c r="C46" s="529" t="s">
        <v>1164</v>
      </c>
      <c r="I46" s="545"/>
      <c r="J46" s="546"/>
      <c r="K46" s="546"/>
      <c r="L46" s="546"/>
      <c r="M46" s="546"/>
      <c r="N46" s="546"/>
      <c r="O46" s="546"/>
      <c r="P46" s="546"/>
      <c r="Q46" s="546"/>
      <c r="R46" s="546"/>
      <c r="S46" s="546"/>
      <c r="T46" s="546"/>
      <c r="U46" s="546"/>
      <c r="V46" s="546"/>
      <c r="W46" s="546"/>
      <c r="X46" s="546"/>
      <c r="Y46" s="546"/>
      <c r="Z46" s="546"/>
    </row>
    <row r="47" spans="1:26" collapsed="1">
      <c r="A47" s="542" t="s">
        <v>1165</v>
      </c>
      <c r="B47" s="542"/>
      <c r="C47" s="542"/>
      <c r="D47" s="542"/>
      <c r="E47" s="542"/>
      <c r="F47" s="542"/>
      <c r="G47" s="542"/>
      <c r="H47" s="542"/>
      <c r="I47" s="543"/>
      <c r="J47" s="547" t="s">
        <v>1169</v>
      </c>
      <c r="K47" s="547">
        <f>K26/J26-1</f>
        <v>-0.16486489619797662</v>
      </c>
      <c r="L47" s="547">
        <f t="shared" ref="L47:Z47" si="11">L26/K26-1</f>
        <v>0.19741104816144728</v>
      </c>
      <c r="M47" s="547">
        <f t="shared" si="11"/>
        <v>-9.2923605553685285E-5</v>
      </c>
      <c r="N47" s="547">
        <f t="shared" si="11"/>
        <v>-1.2463391900730869E-2</v>
      </c>
      <c r="O47" s="547">
        <f t="shared" si="11"/>
        <v>3.4532098990053051E-2</v>
      </c>
      <c r="P47" s="547">
        <f t="shared" si="11"/>
        <v>6.7311104179136994E-2</v>
      </c>
      <c r="Q47" s="547">
        <f t="shared" si="11"/>
        <v>4.3821678756102989E-2</v>
      </c>
      <c r="R47" s="547">
        <f t="shared" si="11"/>
        <v>-9.4452265891997733E-4</v>
      </c>
      <c r="S47" s="547">
        <f t="shared" si="11"/>
        <v>-1.9099930377926233E-2</v>
      </c>
      <c r="T47" s="547">
        <f t="shared" si="11"/>
        <v>-9.0506166058712534E-4</v>
      </c>
      <c r="U47" s="547">
        <f t="shared" si="11"/>
        <v>-1.1724709269268496E-3</v>
      </c>
      <c r="V47" s="547">
        <f t="shared" si="11"/>
        <v>-5.9199922246389036E-4</v>
      </c>
      <c r="W47" s="547">
        <f t="shared" si="11"/>
        <v>-2.8903934413360144E-4</v>
      </c>
      <c r="X47" s="547">
        <f t="shared" si="11"/>
        <v>-7.085451711448254E-4</v>
      </c>
      <c r="Y47" s="547">
        <f t="shared" si="11"/>
        <v>-1.5937536834280674E-3</v>
      </c>
      <c r="Z47" s="547">
        <f t="shared" si="11"/>
        <v>-2.3135747084003233E-3</v>
      </c>
    </row>
    <row r="49" spans="1:38">
      <c r="A49" s="525" t="s">
        <v>1166</v>
      </c>
      <c r="B49" s="526"/>
      <c r="C49" s="526"/>
      <c r="D49" s="526"/>
      <c r="E49" s="526"/>
      <c r="F49" s="526"/>
      <c r="G49" s="526"/>
      <c r="H49" s="527"/>
      <c r="I49" s="519"/>
      <c r="J49" s="519"/>
      <c r="K49" s="519"/>
      <c r="L49" s="519"/>
      <c r="M49" s="519"/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  <c r="Y49" s="519"/>
      <c r="Z49" s="519"/>
      <c r="AD49" s="519"/>
      <c r="AE49" s="519"/>
      <c r="AF49" s="519"/>
      <c r="AG49" s="519"/>
      <c r="AH49" s="519"/>
    </row>
    <row r="50" spans="1:38">
      <c r="A50" s="528">
        <v>1</v>
      </c>
      <c r="B50" s="529" t="s">
        <v>1125</v>
      </c>
      <c r="C50" s="529" t="s">
        <v>1167</v>
      </c>
      <c r="D50" s="530">
        <f t="shared" ref="D50:D69" si="12">Z50-L50</f>
        <v>70.39107677693255</v>
      </c>
      <c r="E50" s="531">
        <f t="shared" ref="E50:E69" si="13">IFERROR(D50/L50,"n/a")</f>
        <v>2.6245740781854047E-2</v>
      </c>
      <c r="F50" s="532"/>
      <c r="G50" s="532"/>
      <c r="I50" s="533">
        <f t="shared" ref="I50:I61" si="14">Y50-M50</f>
        <v>85.75752165565882</v>
      </c>
      <c r="J50" s="534">
        <v>2682</v>
      </c>
      <c r="K50" s="534">
        <v>2101</v>
      </c>
      <c r="L50" s="535">
        <f>K50*(1+L71)</f>
        <v>2682</v>
      </c>
      <c r="M50" s="535">
        <f t="shared" ref="M50:Z65" si="15">L50*(1+M71)</f>
        <v>2685.6012900958985</v>
      </c>
      <c r="N50" s="535">
        <f t="shared" si="15"/>
        <v>2661.7551521434384</v>
      </c>
      <c r="O50" s="535">
        <f t="shared" si="15"/>
        <v>2709.5941340444033</v>
      </c>
      <c r="P50" s="535">
        <f t="shared" si="15"/>
        <v>2776.6039292559549</v>
      </c>
      <c r="Q50" s="535">
        <f t="shared" si="15"/>
        <v>2860.6116759163729</v>
      </c>
      <c r="R50" s="535">
        <f t="shared" si="15"/>
        <v>2847.4144197570972</v>
      </c>
      <c r="S50" s="535">
        <f t="shared" si="15"/>
        <v>2856.6676189184636</v>
      </c>
      <c r="T50" s="535">
        <f t="shared" si="15"/>
        <v>2865.4115685759321</v>
      </c>
      <c r="U50" s="535">
        <f t="shared" si="15"/>
        <v>2845.0920276016664</v>
      </c>
      <c r="V50" s="535">
        <f t="shared" si="15"/>
        <v>2827.0791977690724</v>
      </c>
      <c r="W50" s="535">
        <f t="shared" si="15"/>
        <v>2808.7952967227666</v>
      </c>
      <c r="X50" s="535">
        <f t="shared" si="15"/>
        <v>2790.2398343125828</v>
      </c>
      <c r="Y50" s="535">
        <f t="shared" si="15"/>
        <v>2771.3588117515574</v>
      </c>
      <c r="Z50" s="535">
        <f t="shared" si="15"/>
        <v>2752.3910767769326</v>
      </c>
      <c r="AB50" s="1014">
        <f>Z50-'Hospit_Data_"0"'!Z49</f>
        <v>92.481894806438049</v>
      </c>
      <c r="AD50" s="536">
        <f>Z50-J50</f>
        <v>70.39107677693255</v>
      </c>
      <c r="AE50" s="537">
        <f>J50</f>
        <v>2682</v>
      </c>
      <c r="AF50" s="537">
        <v>-22.090818029505499</v>
      </c>
      <c r="AG50" s="537">
        <v>93.3</v>
      </c>
      <c r="AH50" s="537">
        <v>-0.81810519356213263</v>
      </c>
      <c r="AI50" s="538" t="b">
        <v>0</v>
      </c>
      <c r="AJ50" s="539"/>
      <c r="AL50" s="540">
        <v>305.82123075299251</v>
      </c>
    </row>
    <row r="51" spans="1:38">
      <c r="A51" s="528">
        <v>2</v>
      </c>
      <c r="B51" s="529" t="s">
        <v>1168</v>
      </c>
      <c r="C51" s="529" t="s">
        <v>1167</v>
      </c>
      <c r="D51" s="530">
        <f t="shared" si="12"/>
        <v>213.16060434609972</v>
      </c>
      <c r="E51" s="531">
        <f t="shared" si="13"/>
        <v>0.12345584435437909</v>
      </c>
      <c r="F51" s="532"/>
      <c r="G51" s="532"/>
      <c r="I51" s="533">
        <f t="shared" si="14"/>
        <v>208.16506192910538</v>
      </c>
      <c r="J51" s="534">
        <v>1726.6141223272004</v>
      </c>
      <c r="K51" s="534">
        <v>1464.2767008935045</v>
      </c>
      <c r="L51" s="535">
        <f t="shared" ref="L51:Z66" si="16">K51*(1+L72)</f>
        <v>1726.6141223272004</v>
      </c>
      <c r="M51" s="535">
        <f t="shared" si="15"/>
        <v>1728.9325557120533</v>
      </c>
      <c r="N51" s="535">
        <f t="shared" si="15"/>
        <v>1730.8898213560083</v>
      </c>
      <c r="O51" s="535">
        <f t="shared" si="15"/>
        <v>1768.5586294283084</v>
      </c>
      <c r="P51" s="535">
        <f t="shared" si="15"/>
        <v>1842.0722933020495</v>
      </c>
      <c r="Q51" s="535">
        <f t="shared" si="15"/>
        <v>1890.0450198199994</v>
      </c>
      <c r="R51" s="535">
        <f t="shared" si="15"/>
        <v>1919.6160238949487</v>
      </c>
      <c r="S51" s="535">
        <f t="shared" si="15"/>
        <v>1921.7863545792711</v>
      </c>
      <c r="T51" s="535">
        <f t="shared" si="15"/>
        <v>1923.7136299862345</v>
      </c>
      <c r="U51" s="535">
        <f t="shared" si="15"/>
        <v>1925.331217393627</v>
      </c>
      <c r="V51" s="535">
        <f t="shared" si="15"/>
        <v>1928.4934333026799</v>
      </c>
      <c r="W51" s="535">
        <f t="shared" si="15"/>
        <v>1931.51567644327</v>
      </c>
      <c r="X51" s="535">
        <f t="shared" si="15"/>
        <v>1934.3968365338167</v>
      </c>
      <c r="Y51" s="535">
        <f t="shared" si="15"/>
        <v>1937.0976176411586</v>
      </c>
      <c r="Z51" s="535">
        <f t="shared" si="15"/>
        <v>1939.7747266733002</v>
      </c>
      <c r="AB51" s="1014">
        <f>Z51-'Hospit_Data_"0"'!Z50</f>
        <v>182.35710888950371</v>
      </c>
      <c r="AD51" s="536">
        <f t="shared" ref="AD51:AD69" si="17">Z51-J51</f>
        <v>213.16060434609972</v>
      </c>
      <c r="AE51" s="537">
        <f t="shared" ref="AE51:AE70" si="18">J51</f>
        <v>1726.6141223272004</v>
      </c>
      <c r="AF51" s="537">
        <v>30.803495456596011</v>
      </c>
      <c r="AG51" s="537">
        <v>179.25693684733963</v>
      </c>
      <c r="AH51" s="537">
        <v>3.1001720421640186</v>
      </c>
      <c r="AI51" s="538" t="b">
        <v>0</v>
      </c>
      <c r="AJ51" s="539"/>
      <c r="AL51" s="540">
        <v>0</v>
      </c>
    </row>
    <row r="52" spans="1:38">
      <c r="A52" s="528">
        <v>3</v>
      </c>
      <c r="B52" s="529" t="s">
        <v>1123</v>
      </c>
      <c r="C52" s="529" t="s">
        <v>1167</v>
      </c>
      <c r="D52" s="530">
        <f t="shared" si="12"/>
        <v>27.293863469660437</v>
      </c>
      <c r="E52" s="531">
        <f t="shared" si="13"/>
        <v>1.78404051364284E-2</v>
      </c>
      <c r="F52" s="532"/>
      <c r="G52" s="532"/>
      <c r="I52" s="533">
        <f t="shared" si="14"/>
        <v>22.969480316577801</v>
      </c>
      <c r="J52" s="534">
        <v>1529.8903394255874</v>
      </c>
      <c r="K52" s="534">
        <v>953.8207347589198</v>
      </c>
      <c r="L52" s="535">
        <f t="shared" si="16"/>
        <v>1529.8903394255874</v>
      </c>
      <c r="M52" s="535">
        <f t="shared" si="15"/>
        <v>1531.9446194133518</v>
      </c>
      <c r="N52" s="535">
        <f t="shared" si="15"/>
        <v>1533.6788817257327</v>
      </c>
      <c r="O52" s="535">
        <f t="shared" si="15"/>
        <v>1535.0666115959064</v>
      </c>
      <c r="P52" s="535">
        <f t="shared" si="15"/>
        <v>1536.1476187478329</v>
      </c>
      <c r="Q52" s="535">
        <f t="shared" si="15"/>
        <v>1538.442236249994</v>
      </c>
      <c r="R52" s="535">
        <f t="shared" si="15"/>
        <v>1540.4024001634248</v>
      </c>
      <c r="S52" s="535">
        <f t="shared" si="15"/>
        <v>1542.1614980811519</v>
      </c>
      <c r="T52" s="535">
        <f t="shared" si="15"/>
        <v>1543.7289952402812</v>
      </c>
      <c r="U52" s="535">
        <f t="shared" si="15"/>
        <v>1545.0537016049041</v>
      </c>
      <c r="V52" s="535">
        <f t="shared" si="15"/>
        <v>1547.6871372349683</v>
      </c>
      <c r="W52" s="535">
        <f t="shared" si="15"/>
        <v>1550.2160102242772</v>
      </c>
      <c r="X52" s="535">
        <f t="shared" si="15"/>
        <v>1552.6362837633037</v>
      </c>
      <c r="Y52" s="535">
        <f t="shared" si="15"/>
        <v>1554.9140997299296</v>
      </c>
      <c r="Z52" s="535">
        <f t="shared" si="15"/>
        <v>1557.1842028952478</v>
      </c>
      <c r="AB52" s="1014">
        <f>Z52-'Hospit_Data_"0"'!Z51</f>
        <v>0</v>
      </c>
      <c r="AD52" s="536">
        <f t="shared" si="17"/>
        <v>27.293863469660437</v>
      </c>
      <c r="AE52" s="537">
        <f t="shared" si="18"/>
        <v>1529.8903394255874</v>
      </c>
      <c r="AF52" s="537">
        <v>27.293863469660437</v>
      </c>
      <c r="AG52" s="537">
        <v>0</v>
      </c>
      <c r="AH52" s="537">
        <v>0</v>
      </c>
      <c r="AI52" s="538" t="b">
        <v>1</v>
      </c>
      <c r="AJ52" s="539"/>
      <c r="AL52" s="540">
        <v>0</v>
      </c>
    </row>
    <row r="53" spans="1:38">
      <c r="A53" s="528">
        <v>4</v>
      </c>
      <c r="B53" s="529" t="s">
        <v>1126</v>
      </c>
      <c r="C53" s="529" t="s">
        <v>1167</v>
      </c>
      <c r="D53" s="530">
        <f t="shared" si="12"/>
        <v>-59.944106786672251</v>
      </c>
      <c r="E53" s="531">
        <f t="shared" si="13"/>
        <v>-9.1100466241143235E-2</v>
      </c>
      <c r="F53" s="532"/>
      <c r="G53" s="532"/>
      <c r="I53" s="533">
        <f t="shared" si="14"/>
        <v>-54.737040815975661</v>
      </c>
      <c r="J53" s="534">
        <v>658</v>
      </c>
      <c r="K53" s="534">
        <v>486.00000000000028</v>
      </c>
      <c r="L53" s="535">
        <f t="shared" si="16"/>
        <v>658</v>
      </c>
      <c r="M53" s="535">
        <f t="shared" si="15"/>
        <v>658.88353798773346</v>
      </c>
      <c r="N53" s="535">
        <f t="shared" si="15"/>
        <v>646.43684884195227</v>
      </c>
      <c r="O53" s="535">
        <f t="shared" si="15"/>
        <v>652.003153494662</v>
      </c>
      <c r="P53" s="535">
        <f t="shared" si="15"/>
        <v>662.43375592966242</v>
      </c>
      <c r="Q53" s="535">
        <f t="shared" si="15"/>
        <v>669.66280579497118</v>
      </c>
      <c r="R53" s="535">
        <f t="shared" si="15"/>
        <v>646.74294953915251</v>
      </c>
      <c r="S53" s="535">
        <f t="shared" si="15"/>
        <v>640.59055437052564</v>
      </c>
      <c r="T53" s="535">
        <f t="shared" si="15"/>
        <v>634.34321867088067</v>
      </c>
      <c r="U53" s="535">
        <f t="shared" si="15"/>
        <v>627.98235756312511</v>
      </c>
      <c r="V53" s="535">
        <f t="shared" si="15"/>
        <v>622.12491557101953</v>
      </c>
      <c r="W53" s="535">
        <f t="shared" si="15"/>
        <v>616.20150810261975</v>
      </c>
      <c r="X53" s="535">
        <f t="shared" si="15"/>
        <v>610.21247613006187</v>
      </c>
      <c r="Y53" s="535">
        <f t="shared" si="15"/>
        <v>604.1464971717578</v>
      </c>
      <c r="Z53" s="535">
        <f t="shared" si="15"/>
        <v>598.05589321332775</v>
      </c>
      <c r="AB53" s="1014">
        <f>Z53-'Hospit_Data_"0"'!Z52</f>
        <v>22.080364754725679</v>
      </c>
      <c r="AD53" s="536">
        <f t="shared" si="17"/>
        <v>-59.944106786672251</v>
      </c>
      <c r="AE53" s="537">
        <f t="shared" si="18"/>
        <v>658</v>
      </c>
      <c r="AF53" s="537">
        <v>-82.024471541397929</v>
      </c>
      <c r="AG53" s="537">
        <v>25.238356164383568</v>
      </c>
      <c r="AH53" s="537">
        <v>-3.1579914096578534</v>
      </c>
      <c r="AI53" s="538" t="b">
        <v>0</v>
      </c>
      <c r="AJ53" s="539"/>
      <c r="AL53" s="540">
        <v>97.357936104495224</v>
      </c>
    </row>
    <row r="54" spans="1:38">
      <c r="A54" s="528">
        <v>5</v>
      </c>
      <c r="B54" s="529" t="s">
        <v>1120</v>
      </c>
      <c r="C54" s="529" t="s">
        <v>1167</v>
      </c>
      <c r="D54" s="530">
        <f t="shared" si="12"/>
        <v>-44.15098878335948</v>
      </c>
      <c r="E54" s="531">
        <f t="shared" si="13"/>
        <v>-3.1648025687912966E-2</v>
      </c>
      <c r="F54" s="532"/>
      <c r="G54" s="532"/>
      <c r="I54" s="533">
        <f t="shared" si="14"/>
        <v>-42.598792023335363</v>
      </c>
      <c r="J54" s="534">
        <v>1395.0629722921913</v>
      </c>
      <c r="K54" s="534">
        <v>1090.3788997669549</v>
      </c>
      <c r="L54" s="535">
        <f t="shared" si="16"/>
        <v>1395.0629722921913</v>
      </c>
      <c r="M54" s="535">
        <f t="shared" si="15"/>
        <v>1396.9362110935599</v>
      </c>
      <c r="N54" s="535">
        <f t="shared" si="15"/>
        <v>1384.5324586365693</v>
      </c>
      <c r="O54" s="535">
        <f t="shared" si="15"/>
        <v>1389.1542325681075</v>
      </c>
      <c r="P54" s="535">
        <f t="shared" si="15"/>
        <v>1396.8763569141111</v>
      </c>
      <c r="Q54" s="535">
        <f t="shared" si="15"/>
        <v>1403.1828486018844</v>
      </c>
      <c r="R54" s="535">
        <f t="shared" si="15"/>
        <v>1379.0709842028393</v>
      </c>
      <c r="S54" s="535">
        <f t="shared" si="15"/>
        <v>1375.3063103914014</v>
      </c>
      <c r="T54" s="535">
        <f t="shared" si="15"/>
        <v>1371.3588788506809</v>
      </c>
      <c r="U54" s="535">
        <f t="shared" si="15"/>
        <v>1367.1851296197631</v>
      </c>
      <c r="V54" s="535">
        <f t="shared" si="15"/>
        <v>1364.1480104078178</v>
      </c>
      <c r="W54" s="535">
        <f t="shared" si="15"/>
        <v>1361.0000776841212</v>
      </c>
      <c r="X54" s="535">
        <f t="shared" si="15"/>
        <v>1357.7392473378613</v>
      </c>
      <c r="Y54" s="535">
        <f t="shared" si="15"/>
        <v>1354.3374190702245</v>
      </c>
      <c r="Z54" s="535">
        <f t="shared" si="15"/>
        <v>1350.9119835088318</v>
      </c>
      <c r="AB54" s="1014">
        <f>Z54-'Hospit_Data_"0"'!Z53</f>
        <v>16.157610254640531</v>
      </c>
      <c r="AD54" s="536">
        <f t="shared" si="17"/>
        <v>-44.15098878335948</v>
      </c>
      <c r="AE54" s="537">
        <f t="shared" si="18"/>
        <v>1395.0629722921913</v>
      </c>
      <c r="AF54" s="537">
        <v>-60.308599038000239</v>
      </c>
      <c r="AG54" s="537">
        <v>16.896725440806048</v>
      </c>
      <c r="AH54" s="537">
        <v>-0.73911518616562333</v>
      </c>
      <c r="AI54" s="538" t="b">
        <v>0</v>
      </c>
      <c r="AJ54" s="539"/>
      <c r="AL54" s="540">
        <v>86.228424479287114</v>
      </c>
    </row>
    <row r="55" spans="1:38">
      <c r="A55" s="528">
        <v>6</v>
      </c>
      <c r="B55" s="529" t="s">
        <v>1128</v>
      </c>
      <c r="C55" s="529" t="s">
        <v>1167</v>
      </c>
      <c r="D55" s="530">
        <f t="shared" si="12"/>
        <v>20.454024488915138</v>
      </c>
      <c r="E55" s="531">
        <f t="shared" si="13"/>
        <v>1.7840405136428379E-2</v>
      </c>
      <c r="F55" s="532"/>
      <c r="G55" s="532"/>
      <c r="I55" s="533">
        <f t="shared" si="14"/>
        <v>17.213331246240841</v>
      </c>
      <c r="J55" s="534">
        <v>1146.5</v>
      </c>
      <c r="K55" s="534">
        <v>1518.4999999999975</v>
      </c>
      <c r="L55" s="535">
        <f t="shared" si="16"/>
        <v>1146.5</v>
      </c>
      <c r="M55" s="535">
        <f t="shared" si="15"/>
        <v>1148.0394776640371</v>
      </c>
      <c r="N55" s="535">
        <f t="shared" si="15"/>
        <v>1149.3391340445664</v>
      </c>
      <c r="O55" s="535">
        <f t="shared" si="15"/>
        <v>1150.379098972217</v>
      </c>
      <c r="P55" s="535">
        <f t="shared" si="15"/>
        <v>1151.1892058587989</v>
      </c>
      <c r="Q55" s="535">
        <f t="shared" si="15"/>
        <v>1152.9087924843445</v>
      </c>
      <c r="R55" s="535">
        <f t="shared" si="15"/>
        <v>1154.3777395512252</v>
      </c>
      <c r="S55" s="535">
        <f t="shared" si="15"/>
        <v>1155.6960077373171</v>
      </c>
      <c r="T55" s="535">
        <f t="shared" si="15"/>
        <v>1156.8706902924189</v>
      </c>
      <c r="U55" s="535">
        <f t="shared" si="15"/>
        <v>1157.8634253976097</v>
      </c>
      <c r="V55" s="535">
        <f t="shared" si="15"/>
        <v>1159.8369223679888</v>
      </c>
      <c r="W55" s="535">
        <f t="shared" si="15"/>
        <v>1161.7320600831085</v>
      </c>
      <c r="X55" s="535">
        <f t="shared" si="15"/>
        <v>1163.5458133574352</v>
      </c>
      <c r="Y55" s="535">
        <f t="shared" si="15"/>
        <v>1165.252808910278</v>
      </c>
      <c r="Z55" s="535">
        <f t="shared" si="15"/>
        <v>1166.9540244889151</v>
      </c>
      <c r="AB55" s="1014">
        <f>Z55-'Hospit_Data_"0"'!Z54</f>
        <v>0</v>
      </c>
      <c r="AD55" s="536">
        <f t="shared" si="17"/>
        <v>20.454024488915138</v>
      </c>
      <c r="AE55" s="537">
        <f t="shared" si="18"/>
        <v>1146.5</v>
      </c>
      <c r="AF55" s="537">
        <v>20.454024488915138</v>
      </c>
      <c r="AG55" s="537">
        <v>0</v>
      </c>
      <c r="AH55" s="537">
        <v>0</v>
      </c>
      <c r="AI55" s="538" t="b">
        <v>1</v>
      </c>
      <c r="AJ55" s="539"/>
      <c r="AL55" s="540">
        <v>0</v>
      </c>
    </row>
    <row r="56" spans="1:38">
      <c r="A56" s="528">
        <v>7</v>
      </c>
      <c r="B56" s="529" t="s">
        <v>1129</v>
      </c>
      <c r="C56" s="529" t="s">
        <v>1167</v>
      </c>
      <c r="D56" s="530">
        <f t="shared" si="12"/>
        <v>301.05318216949649</v>
      </c>
      <c r="E56" s="531">
        <f t="shared" si="13"/>
        <v>0.26700947420797916</v>
      </c>
      <c r="F56" s="532"/>
      <c r="G56" s="532"/>
      <c r="I56" s="533">
        <f t="shared" si="14"/>
        <v>297.6364279226259</v>
      </c>
      <c r="J56" s="534">
        <v>1127.5</v>
      </c>
      <c r="K56" s="534">
        <v>1027.9999999999959</v>
      </c>
      <c r="L56" s="535">
        <f t="shared" si="16"/>
        <v>1127.5</v>
      </c>
      <c r="M56" s="535">
        <f t="shared" si="15"/>
        <v>1129.0139651689506</v>
      </c>
      <c r="N56" s="535">
        <f t="shared" si="15"/>
        <v>1132.5526675817871</v>
      </c>
      <c r="O56" s="535">
        <f t="shared" si="15"/>
        <v>1179.1607402150239</v>
      </c>
      <c r="P56" s="535">
        <f t="shared" si="15"/>
        <v>1272.2579616987541</v>
      </c>
      <c r="Q56" s="535">
        <f t="shared" si="15"/>
        <v>1339.2463895427622</v>
      </c>
      <c r="R56" s="535">
        <f t="shared" si="15"/>
        <v>1386.1194842456935</v>
      </c>
      <c r="S56" s="535">
        <f t="shared" si="15"/>
        <v>1398.7783009093437</v>
      </c>
      <c r="T56" s="535">
        <f t="shared" si="15"/>
        <v>1405.7699974985255</v>
      </c>
      <c r="U56" s="535">
        <f t="shared" si="15"/>
        <v>1412.5647937515218</v>
      </c>
      <c r="V56" s="535">
        <f t="shared" si="15"/>
        <v>1417.6602608377902</v>
      </c>
      <c r="W56" s="535">
        <f t="shared" si="15"/>
        <v>1422.6629415771333</v>
      </c>
      <c r="X56" s="535">
        <f t="shared" si="15"/>
        <v>1424.7237538912752</v>
      </c>
      <c r="Y56" s="535">
        <f t="shared" si="15"/>
        <v>1426.6503930915765</v>
      </c>
      <c r="Z56" s="535">
        <f t="shared" si="15"/>
        <v>1428.5531821694965</v>
      </c>
      <c r="AB56" s="1014">
        <f>Z56-'Hospit_Data_"0"'!Z55</f>
        <v>217.4968287743859</v>
      </c>
      <c r="AD56" s="536">
        <f t="shared" si="17"/>
        <v>301.05318216949649</v>
      </c>
      <c r="AE56" s="537">
        <f t="shared" si="18"/>
        <v>1127.5</v>
      </c>
      <c r="AF56" s="537">
        <v>83.556353395111046</v>
      </c>
      <c r="AG56" s="537">
        <v>202.59936831875606</v>
      </c>
      <c r="AH56" s="537">
        <v>14.897460455629954</v>
      </c>
      <c r="AI56" s="538" t="b">
        <v>0</v>
      </c>
      <c r="AJ56" s="539"/>
      <c r="AL56" s="540">
        <v>0</v>
      </c>
    </row>
    <row r="57" spans="1:38">
      <c r="A57" s="528">
        <v>8</v>
      </c>
      <c r="B57" s="529" t="s">
        <v>1130</v>
      </c>
      <c r="C57" s="529" t="s">
        <v>1167</v>
      </c>
      <c r="D57" s="530">
        <f t="shared" si="12"/>
        <v>-3.1700018832781325</v>
      </c>
      <c r="E57" s="531">
        <f t="shared" si="13"/>
        <v>-3.3298339110064412E-3</v>
      </c>
      <c r="F57" s="532"/>
      <c r="G57" s="532"/>
      <c r="I57" s="533">
        <f t="shared" si="14"/>
        <v>-3.9328500080036974</v>
      </c>
      <c r="J57" s="534">
        <v>952.00000000000011</v>
      </c>
      <c r="K57" s="534">
        <v>433.99999999999983</v>
      </c>
      <c r="L57" s="535">
        <f t="shared" si="16"/>
        <v>952.00000000000011</v>
      </c>
      <c r="M57" s="535">
        <f t="shared" si="15"/>
        <v>953.2783102801252</v>
      </c>
      <c r="N57" s="535">
        <f t="shared" si="15"/>
        <v>952.44876920994898</v>
      </c>
      <c r="O57" s="535">
        <f t="shared" si="15"/>
        <v>951.40395922919606</v>
      </c>
      <c r="P57" s="535">
        <f t="shared" si="15"/>
        <v>950.16979821346877</v>
      </c>
      <c r="Q57" s="535">
        <f t="shared" si="15"/>
        <v>950.63752337936819</v>
      </c>
      <c r="R57" s="535">
        <f t="shared" si="15"/>
        <v>950.89690331316092</v>
      </c>
      <c r="S57" s="535">
        <f t="shared" si="15"/>
        <v>951.03081908064814</v>
      </c>
      <c r="T57" s="535">
        <f t="shared" si="15"/>
        <v>951.04547659634909</v>
      </c>
      <c r="U57" s="535">
        <f t="shared" si="15"/>
        <v>949.95786557310396</v>
      </c>
      <c r="V57" s="535">
        <f t="shared" si="15"/>
        <v>949.67384809965984</v>
      </c>
      <c r="W57" s="535">
        <f t="shared" si="15"/>
        <v>949.32313466962626</v>
      </c>
      <c r="X57" s="535">
        <f t="shared" si="15"/>
        <v>949.8544594098496</v>
      </c>
      <c r="Y57" s="535">
        <f t="shared" si="15"/>
        <v>949.3454602721215</v>
      </c>
      <c r="Z57" s="535">
        <f t="shared" si="15"/>
        <v>948.82999811672198</v>
      </c>
      <c r="AB57" s="1014">
        <f>Z57-'Hospit_Data_"0"'!Z56</f>
        <v>0</v>
      </c>
      <c r="AD57" s="536">
        <f t="shared" si="17"/>
        <v>-3.1700018832781325</v>
      </c>
      <c r="AE57" s="537">
        <f t="shared" si="18"/>
        <v>952.00000000000011</v>
      </c>
      <c r="AF57" s="537">
        <v>-3.1700018832781325</v>
      </c>
      <c r="AG57" s="537">
        <v>0</v>
      </c>
      <c r="AH57" s="537">
        <v>0</v>
      </c>
      <c r="AI57" s="538" t="b">
        <v>1</v>
      </c>
      <c r="AJ57" s="539"/>
      <c r="AL57" s="540">
        <v>0</v>
      </c>
    </row>
    <row r="58" spans="1:38">
      <c r="A58" s="528">
        <v>9</v>
      </c>
      <c r="B58" s="529" t="s">
        <v>1127</v>
      </c>
      <c r="C58" s="529" t="s">
        <v>1167</v>
      </c>
      <c r="D58" s="530">
        <f t="shared" si="12"/>
        <v>32.628163692872704</v>
      </c>
      <c r="E58" s="531">
        <f t="shared" si="13"/>
        <v>3.8704820513490751E-2</v>
      </c>
      <c r="F58" s="532"/>
      <c r="G58" s="532"/>
      <c r="I58" s="533">
        <f t="shared" si="14"/>
        <v>30.234240917350007</v>
      </c>
      <c r="J58" s="534">
        <v>843</v>
      </c>
      <c r="K58" s="534">
        <v>579.0000000000008</v>
      </c>
      <c r="L58" s="535">
        <f t="shared" si="16"/>
        <v>843</v>
      </c>
      <c r="M58" s="535">
        <f t="shared" si="15"/>
        <v>844.13194912410233</v>
      </c>
      <c r="N58" s="535">
        <f t="shared" si="15"/>
        <v>845.08756214528523</v>
      </c>
      <c r="O58" s="535">
        <f t="shared" si="15"/>
        <v>849.33439906239278</v>
      </c>
      <c r="P58" s="535">
        <f t="shared" si="15"/>
        <v>856.90292069770214</v>
      </c>
      <c r="Q58" s="535">
        <f t="shared" si="15"/>
        <v>862.54458522318669</v>
      </c>
      <c r="R58" s="535">
        <f t="shared" si="15"/>
        <v>866.26348356560163</v>
      </c>
      <c r="S58" s="535">
        <f t="shared" si="15"/>
        <v>867.25062857630485</v>
      </c>
      <c r="T58" s="535">
        <f t="shared" si="15"/>
        <v>868.12961118906151</v>
      </c>
      <c r="U58" s="535">
        <f t="shared" si="15"/>
        <v>868.87137008075763</v>
      </c>
      <c r="V58" s="535">
        <f t="shared" si="15"/>
        <v>870.34078631261582</v>
      </c>
      <c r="W58" s="535">
        <f t="shared" si="15"/>
        <v>871.75046790703516</v>
      </c>
      <c r="X58" s="535">
        <f t="shared" si="15"/>
        <v>873.09852283742191</v>
      </c>
      <c r="Y58" s="535">
        <f t="shared" si="15"/>
        <v>874.36619004145234</v>
      </c>
      <c r="Z58" s="535">
        <f t="shared" si="15"/>
        <v>875.6281636928727</v>
      </c>
      <c r="AB58" s="1014">
        <f>Z58-'Hospit_Data_"0"'!Z57</f>
        <v>17.588702162863456</v>
      </c>
      <c r="AD58" s="536"/>
      <c r="AE58" s="537">
        <f t="shared" si="18"/>
        <v>843</v>
      </c>
      <c r="AF58" s="537"/>
      <c r="AG58" s="537"/>
      <c r="AH58" s="537"/>
      <c r="AI58" s="538">
        <v>0</v>
      </c>
      <c r="AJ58" s="539"/>
      <c r="AL58" s="540">
        <v>0</v>
      </c>
    </row>
    <row r="59" spans="1:38">
      <c r="A59" s="528">
        <v>10</v>
      </c>
      <c r="B59" s="529" t="s">
        <v>1131</v>
      </c>
      <c r="C59" s="529" t="s">
        <v>1167</v>
      </c>
      <c r="D59" s="530">
        <f t="shared" si="12"/>
        <v>-11.101406318130671</v>
      </c>
      <c r="E59" s="531">
        <f t="shared" si="13"/>
        <v>-1.9323596724335371E-2</v>
      </c>
      <c r="F59" s="532"/>
      <c r="G59" s="532"/>
      <c r="I59" s="533">
        <f t="shared" si="14"/>
        <v>-10.438437774572662</v>
      </c>
      <c r="J59" s="534">
        <v>574.5</v>
      </c>
      <c r="K59" s="534">
        <v>481.50000000000017</v>
      </c>
      <c r="L59" s="535">
        <f t="shared" si="16"/>
        <v>574.5</v>
      </c>
      <c r="M59" s="535">
        <f t="shared" si="15"/>
        <v>575.27141728564266</v>
      </c>
      <c r="N59" s="535">
        <f t="shared" si="15"/>
        <v>570.16343583385719</v>
      </c>
      <c r="O59" s="535">
        <f t="shared" si="15"/>
        <v>573.54304519647962</v>
      </c>
      <c r="P59" s="535">
        <f t="shared" si="15"/>
        <v>579.67934171655031</v>
      </c>
      <c r="Q59" s="535">
        <f t="shared" si="15"/>
        <v>584.13223117868256</v>
      </c>
      <c r="R59" s="535">
        <f t="shared" si="15"/>
        <v>575.17186374242499</v>
      </c>
      <c r="S59" s="535">
        <f t="shared" si="15"/>
        <v>573.60086342360046</v>
      </c>
      <c r="T59" s="535">
        <f t="shared" si="15"/>
        <v>571.95347828312924</v>
      </c>
      <c r="U59" s="535">
        <f t="shared" si="15"/>
        <v>570.211431500598</v>
      </c>
      <c r="V59" s="535">
        <f t="shared" si="15"/>
        <v>568.94008878238776</v>
      </c>
      <c r="W59" s="535">
        <f t="shared" si="15"/>
        <v>567.62219008133013</v>
      </c>
      <c r="X59" s="535">
        <f t="shared" si="15"/>
        <v>566.25702219791617</v>
      </c>
      <c r="Y59" s="535">
        <f t="shared" si="15"/>
        <v>564.83297951106999</v>
      </c>
      <c r="Z59" s="535">
        <f t="shared" si="15"/>
        <v>563.39859368186933</v>
      </c>
      <c r="AB59" s="1014">
        <f>Z59-'Hospit_Data_"0"'!Z58</f>
        <v>13.734239696044028</v>
      </c>
      <c r="AD59" s="536">
        <f t="shared" si="17"/>
        <v>-11.101406318130671</v>
      </c>
      <c r="AE59" s="537">
        <f t="shared" si="18"/>
        <v>574.5</v>
      </c>
      <c r="AF59" s="537">
        <v>-24.835646014174699</v>
      </c>
      <c r="AG59" s="537">
        <v>14.362500000000002</v>
      </c>
      <c r="AH59" s="537">
        <v>-0.62826030395610388</v>
      </c>
      <c r="AI59" s="538" t="b">
        <v>0</v>
      </c>
      <c r="AJ59" s="539"/>
      <c r="AL59" s="540">
        <v>35.961612362672504</v>
      </c>
    </row>
    <row r="60" spans="1:38">
      <c r="A60" s="528">
        <v>11</v>
      </c>
      <c r="B60" s="529" t="s">
        <v>1132</v>
      </c>
      <c r="C60" s="529" t="s">
        <v>1167</v>
      </c>
      <c r="D60" s="530">
        <f t="shared" si="12"/>
        <v>503.92559212593824</v>
      </c>
      <c r="E60" s="531" t="str">
        <f t="shared" si="13"/>
        <v>n/a</v>
      </c>
      <c r="F60" s="532"/>
      <c r="G60" s="532"/>
      <c r="I60" s="533">
        <f t="shared" si="14"/>
        <v>503.19095644209108</v>
      </c>
      <c r="J60" s="534">
        <v>0</v>
      </c>
      <c r="K60" s="534">
        <v>0</v>
      </c>
      <c r="L60" s="535">
        <f t="shared" si="16"/>
        <v>0</v>
      </c>
      <c r="M60" s="535">
        <f t="shared" si="15"/>
        <v>0</v>
      </c>
      <c r="N60" s="535">
        <f t="shared" si="15"/>
        <v>0</v>
      </c>
      <c r="O60" s="535">
        <f t="shared" si="15"/>
        <v>0</v>
      </c>
      <c r="P60" s="535">
        <f t="shared" si="15"/>
        <v>0</v>
      </c>
      <c r="Q60" s="535">
        <f t="shared" si="15"/>
        <v>0</v>
      </c>
      <c r="R60" s="548">
        <v>150</v>
      </c>
      <c r="S60" s="535">
        <f t="shared" si="15"/>
        <v>300</v>
      </c>
      <c r="T60" s="535">
        <f t="shared" si="15"/>
        <v>450</v>
      </c>
      <c r="U60" s="535">
        <f t="shared" si="15"/>
        <v>500</v>
      </c>
      <c r="V60" s="535">
        <f t="shared" si="15"/>
        <v>500.85221491891474</v>
      </c>
      <c r="W60" s="535">
        <f t="shared" si="15"/>
        <v>501.67059197166122</v>
      </c>
      <c r="X60" s="535">
        <f t="shared" si="15"/>
        <v>502.45382479279635</v>
      </c>
      <c r="Y60" s="535">
        <f t="shared" si="15"/>
        <v>503.19095644209108</v>
      </c>
      <c r="Z60" s="535">
        <f t="shared" si="15"/>
        <v>503.92559212593824</v>
      </c>
      <c r="AB60" s="1014">
        <f>Z60-'Hospit_Data_"0"'!Z59</f>
        <v>0</v>
      </c>
      <c r="AD60" s="536">
        <f t="shared" si="17"/>
        <v>503.92559212593824</v>
      </c>
      <c r="AE60" s="537">
        <f t="shared" si="18"/>
        <v>0</v>
      </c>
      <c r="AF60" s="537">
        <v>503.92559212593824</v>
      </c>
      <c r="AG60" s="537">
        <v>0</v>
      </c>
      <c r="AH60" s="537">
        <v>0</v>
      </c>
      <c r="AI60" s="538" t="b">
        <v>1</v>
      </c>
      <c r="AJ60" s="539"/>
      <c r="AL60" s="540">
        <v>0</v>
      </c>
    </row>
    <row r="61" spans="1:38">
      <c r="A61" s="528">
        <v>12</v>
      </c>
      <c r="B61" s="529" t="s">
        <v>1133</v>
      </c>
      <c r="C61" s="529" t="s">
        <v>1167</v>
      </c>
      <c r="D61" s="530">
        <f t="shared" si="12"/>
        <v>65.838534369954445</v>
      </c>
      <c r="E61" s="531" t="str">
        <f t="shared" si="13"/>
        <v>n/a</v>
      </c>
      <c r="F61" s="532"/>
      <c r="G61" s="532"/>
      <c r="I61" s="533">
        <f t="shared" si="14"/>
        <v>65.676876385492434</v>
      </c>
      <c r="J61" s="534">
        <v>0</v>
      </c>
      <c r="K61" s="534">
        <v>0</v>
      </c>
      <c r="L61" s="535">
        <f t="shared" si="16"/>
        <v>0</v>
      </c>
      <c r="M61" s="535">
        <f t="shared" si="15"/>
        <v>0</v>
      </c>
      <c r="N61" s="535">
        <f t="shared" si="15"/>
        <v>0</v>
      </c>
      <c r="O61" s="535">
        <f t="shared" si="15"/>
        <v>0</v>
      </c>
      <c r="P61" s="535">
        <f t="shared" si="15"/>
        <v>0</v>
      </c>
      <c r="Q61" s="535">
        <f t="shared" si="15"/>
        <v>0</v>
      </c>
      <c r="R61" s="548">
        <v>10</v>
      </c>
      <c r="S61" s="535">
        <f t="shared" si="15"/>
        <v>25</v>
      </c>
      <c r="T61" s="535">
        <f t="shared" si="15"/>
        <v>45</v>
      </c>
      <c r="U61" s="535">
        <f t="shared" si="15"/>
        <v>65</v>
      </c>
      <c r="V61" s="535">
        <f t="shared" si="15"/>
        <v>65.175898727398362</v>
      </c>
      <c r="W61" s="535">
        <f t="shared" si="15"/>
        <v>65.347676527405525</v>
      </c>
      <c r="X61" s="535">
        <f t="shared" si="15"/>
        <v>65.515150237043358</v>
      </c>
      <c r="Y61" s="535">
        <f t="shared" si="15"/>
        <v>65.676876385492434</v>
      </c>
      <c r="Z61" s="535">
        <f t="shared" si="15"/>
        <v>65.838534369954445</v>
      </c>
      <c r="AB61" s="1014">
        <f>Z61-'Hospit_Data_"0"'!Z60</f>
        <v>0</v>
      </c>
      <c r="AD61" s="536">
        <f t="shared" si="17"/>
        <v>65.838534369954445</v>
      </c>
      <c r="AE61" s="537">
        <f t="shared" si="18"/>
        <v>0</v>
      </c>
      <c r="AF61" s="537">
        <v>65.838534369954445</v>
      </c>
      <c r="AG61" s="537">
        <v>0</v>
      </c>
      <c r="AH61" s="537">
        <v>0</v>
      </c>
      <c r="AI61" s="538" t="b">
        <v>1</v>
      </c>
      <c r="AJ61" s="539"/>
      <c r="AL61" s="540">
        <v>0</v>
      </c>
    </row>
    <row r="62" spans="1:38">
      <c r="A62" s="528">
        <v>13</v>
      </c>
      <c r="B62" s="529">
        <v>0</v>
      </c>
      <c r="C62" s="529" t="s">
        <v>1167</v>
      </c>
      <c r="D62" s="530">
        <f t="shared" si="12"/>
        <v>0</v>
      </c>
      <c r="E62" s="531" t="str">
        <f t="shared" si="13"/>
        <v>n/a</v>
      </c>
      <c r="F62" s="532"/>
      <c r="G62" s="532"/>
      <c r="I62" s="533"/>
      <c r="J62" s="534">
        <v>0</v>
      </c>
      <c r="K62" s="534">
        <v>0</v>
      </c>
      <c r="L62" s="535">
        <f t="shared" si="16"/>
        <v>0</v>
      </c>
      <c r="M62" s="535">
        <f t="shared" si="15"/>
        <v>0</v>
      </c>
      <c r="N62" s="535">
        <f t="shared" si="15"/>
        <v>0</v>
      </c>
      <c r="O62" s="535">
        <f t="shared" si="15"/>
        <v>0</v>
      </c>
      <c r="P62" s="535">
        <f t="shared" si="15"/>
        <v>0</v>
      </c>
      <c r="Q62" s="535">
        <f t="shared" si="15"/>
        <v>0</v>
      </c>
      <c r="R62" s="535">
        <f t="shared" si="15"/>
        <v>0</v>
      </c>
      <c r="S62" s="535">
        <f t="shared" si="15"/>
        <v>0</v>
      </c>
      <c r="T62" s="535">
        <f t="shared" si="15"/>
        <v>0</v>
      </c>
      <c r="U62" s="535">
        <f t="shared" si="15"/>
        <v>0</v>
      </c>
      <c r="V62" s="535">
        <f t="shared" si="15"/>
        <v>0</v>
      </c>
      <c r="W62" s="535">
        <f t="shared" si="15"/>
        <v>0</v>
      </c>
      <c r="X62" s="535">
        <f t="shared" si="15"/>
        <v>0</v>
      </c>
      <c r="Y62" s="535">
        <f t="shared" si="15"/>
        <v>0</v>
      </c>
      <c r="Z62" s="535">
        <f t="shared" si="15"/>
        <v>0</v>
      </c>
      <c r="AB62" s="1014">
        <f>Z62-'Hospit_Data_"0"'!Z61</f>
        <v>0</v>
      </c>
      <c r="AD62" s="536">
        <f t="shared" si="17"/>
        <v>0</v>
      </c>
      <c r="AE62" s="537">
        <f t="shared" si="18"/>
        <v>0</v>
      </c>
      <c r="AF62" s="537">
        <v>0</v>
      </c>
      <c r="AG62" s="537">
        <v>0</v>
      </c>
      <c r="AH62" s="537">
        <v>0</v>
      </c>
      <c r="AI62" s="538" t="b">
        <v>1</v>
      </c>
      <c r="AJ62" s="539"/>
      <c r="AL62" s="540">
        <v>0</v>
      </c>
    </row>
    <row r="63" spans="1:38">
      <c r="A63" s="528">
        <v>14</v>
      </c>
      <c r="B63" s="529">
        <v>0</v>
      </c>
      <c r="C63" s="529" t="s">
        <v>1167</v>
      </c>
      <c r="D63" s="530">
        <f t="shared" si="12"/>
        <v>0</v>
      </c>
      <c r="E63" s="531" t="str">
        <f t="shared" si="13"/>
        <v>n/a</v>
      </c>
      <c r="F63" s="532"/>
      <c r="G63" s="532"/>
      <c r="I63" s="533"/>
      <c r="J63" s="534">
        <v>0</v>
      </c>
      <c r="K63" s="534">
        <v>0</v>
      </c>
      <c r="L63" s="535">
        <f t="shared" si="16"/>
        <v>0</v>
      </c>
      <c r="M63" s="535">
        <f t="shared" si="15"/>
        <v>0</v>
      </c>
      <c r="N63" s="535">
        <f t="shared" si="15"/>
        <v>0</v>
      </c>
      <c r="O63" s="535">
        <f t="shared" si="15"/>
        <v>0</v>
      </c>
      <c r="P63" s="535">
        <f t="shared" si="15"/>
        <v>0</v>
      </c>
      <c r="Q63" s="535">
        <f t="shared" si="15"/>
        <v>0</v>
      </c>
      <c r="R63" s="535">
        <f t="shared" si="15"/>
        <v>0</v>
      </c>
      <c r="S63" s="535">
        <f t="shared" si="15"/>
        <v>0</v>
      </c>
      <c r="T63" s="535">
        <f t="shared" si="15"/>
        <v>0</v>
      </c>
      <c r="U63" s="535">
        <f t="shared" si="15"/>
        <v>0</v>
      </c>
      <c r="V63" s="535">
        <f t="shared" si="15"/>
        <v>0</v>
      </c>
      <c r="W63" s="535">
        <f t="shared" si="15"/>
        <v>0</v>
      </c>
      <c r="X63" s="535">
        <f t="shared" si="15"/>
        <v>0</v>
      </c>
      <c r="Y63" s="535">
        <f t="shared" si="15"/>
        <v>0</v>
      </c>
      <c r="Z63" s="535">
        <f t="shared" si="15"/>
        <v>0</v>
      </c>
      <c r="AB63" s="1014">
        <f>Z63-'Hospit_Data_"0"'!Z62</f>
        <v>0</v>
      </c>
      <c r="AD63" s="536">
        <f t="shared" si="17"/>
        <v>0</v>
      </c>
      <c r="AE63" s="537">
        <f t="shared" si="18"/>
        <v>0</v>
      </c>
      <c r="AF63" s="537">
        <v>0</v>
      </c>
      <c r="AG63" s="537">
        <v>0</v>
      </c>
      <c r="AH63" s="537">
        <v>0</v>
      </c>
      <c r="AI63" s="538" t="b">
        <v>1</v>
      </c>
      <c r="AJ63" s="539"/>
      <c r="AL63" s="540">
        <v>0</v>
      </c>
    </row>
    <row r="64" spans="1:38">
      <c r="A64" s="528">
        <v>15</v>
      </c>
      <c r="B64" s="529">
        <v>0</v>
      </c>
      <c r="C64" s="529" t="s">
        <v>1167</v>
      </c>
      <c r="D64" s="530">
        <f t="shared" si="12"/>
        <v>0</v>
      </c>
      <c r="E64" s="531" t="str">
        <f t="shared" si="13"/>
        <v>n/a</v>
      </c>
      <c r="F64" s="532"/>
      <c r="G64" s="532"/>
      <c r="I64" s="533"/>
      <c r="J64" s="534">
        <v>0</v>
      </c>
      <c r="K64" s="534">
        <v>0</v>
      </c>
      <c r="L64" s="535">
        <f t="shared" si="16"/>
        <v>0</v>
      </c>
      <c r="M64" s="535">
        <f t="shared" si="15"/>
        <v>0</v>
      </c>
      <c r="N64" s="535">
        <f t="shared" si="15"/>
        <v>0</v>
      </c>
      <c r="O64" s="535">
        <f t="shared" si="15"/>
        <v>0</v>
      </c>
      <c r="P64" s="535">
        <f t="shared" si="15"/>
        <v>0</v>
      </c>
      <c r="Q64" s="535">
        <f t="shared" si="15"/>
        <v>0</v>
      </c>
      <c r="R64" s="535">
        <f t="shared" si="15"/>
        <v>0</v>
      </c>
      <c r="S64" s="535">
        <f t="shared" si="15"/>
        <v>0</v>
      </c>
      <c r="T64" s="535">
        <f t="shared" si="15"/>
        <v>0</v>
      </c>
      <c r="U64" s="535">
        <f t="shared" si="15"/>
        <v>0</v>
      </c>
      <c r="V64" s="535">
        <f t="shared" si="15"/>
        <v>0</v>
      </c>
      <c r="W64" s="535">
        <f t="shared" si="15"/>
        <v>0</v>
      </c>
      <c r="X64" s="535">
        <f t="shared" si="15"/>
        <v>0</v>
      </c>
      <c r="Y64" s="535">
        <f t="shared" si="15"/>
        <v>0</v>
      </c>
      <c r="Z64" s="535">
        <f t="shared" si="15"/>
        <v>0</v>
      </c>
      <c r="AB64" s="1014">
        <f>Z64-'Hospit_Data_"0"'!Z63</f>
        <v>0</v>
      </c>
      <c r="AD64" s="536">
        <f t="shared" si="17"/>
        <v>0</v>
      </c>
      <c r="AE64" s="537">
        <f t="shared" si="18"/>
        <v>0</v>
      </c>
      <c r="AF64" s="537">
        <v>0</v>
      </c>
      <c r="AG64" s="537">
        <v>0</v>
      </c>
      <c r="AH64" s="537">
        <v>0</v>
      </c>
      <c r="AI64" s="538" t="b">
        <v>1</v>
      </c>
      <c r="AJ64" s="539"/>
      <c r="AL64" s="540">
        <v>0</v>
      </c>
    </row>
    <row r="65" spans="1:38">
      <c r="A65" s="528">
        <v>16</v>
      </c>
      <c r="B65" s="529">
        <v>0</v>
      </c>
      <c r="C65" s="529" t="s">
        <v>1167</v>
      </c>
      <c r="D65" s="530">
        <f t="shared" si="12"/>
        <v>0</v>
      </c>
      <c r="E65" s="531" t="str">
        <f t="shared" si="13"/>
        <v>n/a</v>
      </c>
      <c r="F65" s="532"/>
      <c r="G65" s="532"/>
      <c r="I65" s="533"/>
      <c r="J65" s="534">
        <v>0</v>
      </c>
      <c r="K65" s="534">
        <v>0</v>
      </c>
      <c r="L65" s="535">
        <f t="shared" si="16"/>
        <v>0</v>
      </c>
      <c r="M65" s="535">
        <f t="shared" si="15"/>
        <v>0</v>
      </c>
      <c r="N65" s="535">
        <f t="shared" si="15"/>
        <v>0</v>
      </c>
      <c r="O65" s="535">
        <f t="shared" si="15"/>
        <v>0</v>
      </c>
      <c r="P65" s="535">
        <f t="shared" si="15"/>
        <v>0</v>
      </c>
      <c r="Q65" s="535">
        <f t="shared" si="15"/>
        <v>0</v>
      </c>
      <c r="R65" s="535">
        <f t="shared" si="15"/>
        <v>0</v>
      </c>
      <c r="S65" s="535">
        <f t="shared" si="15"/>
        <v>0</v>
      </c>
      <c r="T65" s="535">
        <f t="shared" si="15"/>
        <v>0</v>
      </c>
      <c r="U65" s="535">
        <f t="shared" si="15"/>
        <v>0</v>
      </c>
      <c r="V65" s="535">
        <f t="shared" si="15"/>
        <v>0</v>
      </c>
      <c r="W65" s="535">
        <f t="shared" si="15"/>
        <v>0</v>
      </c>
      <c r="X65" s="535">
        <f t="shared" si="15"/>
        <v>0</v>
      </c>
      <c r="Y65" s="535">
        <f t="shared" si="15"/>
        <v>0</v>
      </c>
      <c r="Z65" s="535">
        <f t="shared" si="15"/>
        <v>0</v>
      </c>
      <c r="AB65" s="1014">
        <f>Z65-'Hospit_Data_"0"'!Z64</f>
        <v>0</v>
      </c>
      <c r="AD65" s="536">
        <f t="shared" si="17"/>
        <v>0</v>
      </c>
      <c r="AE65" s="537">
        <f t="shared" si="18"/>
        <v>0</v>
      </c>
      <c r="AF65" s="537">
        <v>0</v>
      </c>
      <c r="AG65" s="537">
        <v>0</v>
      </c>
      <c r="AH65" s="537">
        <v>0</v>
      </c>
      <c r="AI65" s="538" t="b">
        <v>1</v>
      </c>
      <c r="AJ65" s="539"/>
      <c r="AL65" s="540">
        <v>0</v>
      </c>
    </row>
    <row r="66" spans="1:38">
      <c r="A66" s="528">
        <v>17</v>
      </c>
      <c r="B66" s="529">
        <v>0</v>
      </c>
      <c r="C66" s="529" t="s">
        <v>1167</v>
      </c>
      <c r="D66" s="530">
        <f t="shared" si="12"/>
        <v>0</v>
      </c>
      <c r="E66" s="531" t="str">
        <f t="shared" si="13"/>
        <v>n/a</v>
      </c>
      <c r="F66" s="532"/>
      <c r="G66" s="532"/>
      <c r="I66" s="533"/>
      <c r="J66" s="534">
        <v>0</v>
      </c>
      <c r="K66" s="534">
        <v>0</v>
      </c>
      <c r="L66" s="535">
        <f t="shared" si="16"/>
        <v>0</v>
      </c>
      <c r="M66" s="535">
        <f t="shared" si="16"/>
        <v>0</v>
      </c>
      <c r="N66" s="535">
        <f t="shared" si="16"/>
        <v>0</v>
      </c>
      <c r="O66" s="535">
        <f t="shared" si="16"/>
        <v>0</v>
      </c>
      <c r="P66" s="535">
        <f t="shared" si="16"/>
        <v>0</v>
      </c>
      <c r="Q66" s="535">
        <f t="shared" si="16"/>
        <v>0</v>
      </c>
      <c r="R66" s="535">
        <f t="shared" si="16"/>
        <v>0</v>
      </c>
      <c r="S66" s="535">
        <f t="shared" si="16"/>
        <v>0</v>
      </c>
      <c r="T66" s="535">
        <f t="shared" si="16"/>
        <v>0</v>
      </c>
      <c r="U66" s="535">
        <f t="shared" si="16"/>
        <v>0</v>
      </c>
      <c r="V66" s="535">
        <f t="shared" si="16"/>
        <v>0</v>
      </c>
      <c r="W66" s="535">
        <f t="shared" si="16"/>
        <v>0</v>
      </c>
      <c r="X66" s="535">
        <f t="shared" si="16"/>
        <v>0</v>
      </c>
      <c r="Y66" s="535">
        <f t="shared" si="16"/>
        <v>0</v>
      </c>
      <c r="Z66" s="535">
        <f t="shared" si="16"/>
        <v>0</v>
      </c>
      <c r="AB66" s="1014">
        <f>Z66-'Hospit_Data_"0"'!Z65</f>
        <v>0</v>
      </c>
      <c r="AD66" s="536">
        <f t="shared" si="17"/>
        <v>0</v>
      </c>
      <c r="AE66" s="537">
        <f t="shared" si="18"/>
        <v>0</v>
      </c>
      <c r="AF66" s="537">
        <v>0</v>
      </c>
      <c r="AG66" s="537">
        <v>0</v>
      </c>
      <c r="AH66" s="537">
        <v>0</v>
      </c>
      <c r="AI66" s="538" t="b">
        <v>1</v>
      </c>
      <c r="AJ66" s="539"/>
      <c r="AL66" s="540">
        <v>0</v>
      </c>
    </row>
    <row r="67" spans="1:38">
      <c r="A67" s="528">
        <v>18</v>
      </c>
      <c r="B67" s="529">
        <v>0</v>
      </c>
      <c r="C67" s="529" t="s">
        <v>1167</v>
      </c>
      <c r="D67" s="530">
        <f t="shared" si="12"/>
        <v>0</v>
      </c>
      <c r="E67" s="531" t="str">
        <f t="shared" si="13"/>
        <v>n/a</v>
      </c>
      <c r="F67" s="532"/>
      <c r="G67" s="532"/>
      <c r="I67" s="533"/>
      <c r="J67" s="534">
        <v>0</v>
      </c>
      <c r="K67" s="534">
        <v>0</v>
      </c>
      <c r="L67" s="535">
        <f t="shared" ref="L67:Z69" si="19">K67*(1+L88)</f>
        <v>0</v>
      </c>
      <c r="M67" s="535">
        <f t="shared" si="19"/>
        <v>0</v>
      </c>
      <c r="N67" s="535">
        <f t="shared" si="19"/>
        <v>0</v>
      </c>
      <c r="O67" s="535">
        <f t="shared" si="19"/>
        <v>0</v>
      </c>
      <c r="P67" s="535">
        <f t="shared" si="19"/>
        <v>0</v>
      </c>
      <c r="Q67" s="535">
        <f t="shared" si="19"/>
        <v>0</v>
      </c>
      <c r="R67" s="535">
        <f t="shared" si="19"/>
        <v>0</v>
      </c>
      <c r="S67" s="535">
        <f t="shared" si="19"/>
        <v>0</v>
      </c>
      <c r="T67" s="535">
        <f t="shared" si="19"/>
        <v>0</v>
      </c>
      <c r="U67" s="535">
        <f t="shared" si="19"/>
        <v>0</v>
      </c>
      <c r="V67" s="535">
        <f t="shared" si="19"/>
        <v>0</v>
      </c>
      <c r="W67" s="535">
        <f t="shared" si="19"/>
        <v>0</v>
      </c>
      <c r="X67" s="535">
        <f t="shared" si="19"/>
        <v>0</v>
      </c>
      <c r="Y67" s="535">
        <f t="shared" si="19"/>
        <v>0</v>
      </c>
      <c r="Z67" s="535">
        <f t="shared" si="19"/>
        <v>0</v>
      </c>
      <c r="AB67" s="1014">
        <f>Z67-'Hospit_Data_"0"'!Z66</f>
        <v>0</v>
      </c>
      <c r="AD67" s="536">
        <f t="shared" si="17"/>
        <v>0</v>
      </c>
      <c r="AE67" s="537">
        <f t="shared" si="18"/>
        <v>0</v>
      </c>
      <c r="AF67" s="537">
        <v>0</v>
      </c>
      <c r="AG67" s="537">
        <v>0</v>
      </c>
      <c r="AH67" s="537">
        <v>0</v>
      </c>
      <c r="AI67" s="538" t="b">
        <v>1</v>
      </c>
      <c r="AJ67" s="539"/>
      <c r="AL67" s="540">
        <v>0</v>
      </c>
    </row>
    <row r="68" spans="1:38">
      <c r="A68" s="528">
        <v>19</v>
      </c>
      <c r="B68" s="529">
        <v>0</v>
      </c>
      <c r="C68" s="529" t="s">
        <v>1167</v>
      </c>
      <c r="D68" s="530">
        <f t="shared" si="12"/>
        <v>0</v>
      </c>
      <c r="E68" s="531" t="str">
        <f t="shared" si="13"/>
        <v>n/a</v>
      </c>
      <c r="F68" s="532"/>
      <c r="G68" s="532"/>
      <c r="I68" s="533"/>
      <c r="J68" s="534">
        <v>0</v>
      </c>
      <c r="K68" s="534">
        <v>0</v>
      </c>
      <c r="L68" s="535">
        <f t="shared" si="19"/>
        <v>0</v>
      </c>
      <c r="M68" s="535">
        <f t="shared" si="19"/>
        <v>0</v>
      </c>
      <c r="N68" s="535">
        <f t="shared" si="19"/>
        <v>0</v>
      </c>
      <c r="O68" s="535">
        <f t="shared" si="19"/>
        <v>0</v>
      </c>
      <c r="P68" s="535">
        <f t="shared" si="19"/>
        <v>0</v>
      </c>
      <c r="Q68" s="535">
        <f t="shared" si="19"/>
        <v>0</v>
      </c>
      <c r="R68" s="535">
        <f t="shared" si="19"/>
        <v>0</v>
      </c>
      <c r="S68" s="535">
        <f t="shared" si="19"/>
        <v>0</v>
      </c>
      <c r="T68" s="535">
        <f t="shared" si="19"/>
        <v>0</v>
      </c>
      <c r="U68" s="535">
        <f t="shared" si="19"/>
        <v>0</v>
      </c>
      <c r="V68" s="535">
        <f t="shared" si="19"/>
        <v>0</v>
      </c>
      <c r="W68" s="535">
        <f t="shared" si="19"/>
        <v>0</v>
      </c>
      <c r="X68" s="535">
        <f t="shared" si="19"/>
        <v>0</v>
      </c>
      <c r="Y68" s="535">
        <f t="shared" si="19"/>
        <v>0</v>
      </c>
      <c r="Z68" s="535">
        <f t="shared" si="19"/>
        <v>0</v>
      </c>
      <c r="AB68" s="1014">
        <f>Z68-'Hospit_Data_"0"'!Z67</f>
        <v>0</v>
      </c>
      <c r="AD68" s="536">
        <f t="shared" si="17"/>
        <v>0</v>
      </c>
      <c r="AE68" s="537">
        <f t="shared" si="18"/>
        <v>0</v>
      </c>
      <c r="AF68" s="537">
        <v>0</v>
      </c>
      <c r="AG68" s="537">
        <v>0</v>
      </c>
      <c r="AH68" s="537">
        <v>0</v>
      </c>
      <c r="AI68" s="538" t="b">
        <v>1</v>
      </c>
      <c r="AJ68" s="539"/>
      <c r="AL68" s="540">
        <v>0</v>
      </c>
    </row>
    <row r="69" spans="1:38">
      <c r="A69" s="528">
        <v>20</v>
      </c>
      <c r="B69" s="529">
        <v>0</v>
      </c>
      <c r="C69" s="529" t="s">
        <v>1167</v>
      </c>
      <c r="D69" s="530">
        <f t="shared" si="12"/>
        <v>0</v>
      </c>
      <c r="E69" s="531" t="str">
        <f t="shared" si="13"/>
        <v>n/a</v>
      </c>
      <c r="F69" s="541"/>
      <c r="G69" s="541"/>
      <c r="I69" s="533"/>
      <c r="J69" s="534">
        <v>0</v>
      </c>
      <c r="K69" s="534">
        <v>0</v>
      </c>
      <c r="L69" s="535">
        <f t="shared" si="19"/>
        <v>0</v>
      </c>
      <c r="M69" s="535">
        <f t="shared" si="19"/>
        <v>0</v>
      </c>
      <c r="N69" s="535">
        <f t="shared" si="19"/>
        <v>0</v>
      </c>
      <c r="O69" s="535">
        <f t="shared" si="19"/>
        <v>0</v>
      </c>
      <c r="P69" s="535">
        <f t="shared" si="19"/>
        <v>0</v>
      </c>
      <c r="Q69" s="535">
        <f t="shared" si="19"/>
        <v>0</v>
      </c>
      <c r="R69" s="535">
        <f t="shared" si="19"/>
        <v>0</v>
      </c>
      <c r="S69" s="535">
        <f t="shared" si="19"/>
        <v>0</v>
      </c>
      <c r="T69" s="535">
        <f t="shared" si="19"/>
        <v>0</v>
      </c>
      <c r="U69" s="535">
        <f t="shared" si="19"/>
        <v>0</v>
      </c>
      <c r="V69" s="535">
        <f t="shared" si="19"/>
        <v>0</v>
      </c>
      <c r="W69" s="535">
        <f t="shared" si="19"/>
        <v>0</v>
      </c>
      <c r="X69" s="535">
        <f t="shared" si="19"/>
        <v>0</v>
      </c>
      <c r="Y69" s="535">
        <f t="shared" si="19"/>
        <v>0</v>
      </c>
      <c r="Z69" s="535">
        <f t="shared" si="19"/>
        <v>0</v>
      </c>
      <c r="AB69" s="1014">
        <f>Z69-'Hospit_Data_"0"'!Z68</f>
        <v>0</v>
      </c>
      <c r="AD69" s="536">
        <f t="shared" si="17"/>
        <v>0</v>
      </c>
      <c r="AE69" s="537">
        <f t="shared" si="18"/>
        <v>0</v>
      </c>
      <c r="AF69" s="537">
        <v>0</v>
      </c>
      <c r="AG69" s="537">
        <v>0</v>
      </c>
      <c r="AH69" s="537">
        <v>0</v>
      </c>
      <c r="AI69" s="538" t="b">
        <v>1</v>
      </c>
      <c r="AJ69" s="539"/>
      <c r="AL69" s="540">
        <v>0</v>
      </c>
    </row>
    <row r="70" spans="1:38" collapsed="1">
      <c r="A70" s="542" t="s">
        <v>317</v>
      </c>
      <c r="B70" s="542"/>
      <c r="C70" s="542"/>
      <c r="D70" s="542"/>
      <c r="E70" s="542"/>
      <c r="F70" s="542"/>
      <c r="G70" s="542"/>
      <c r="H70" s="542"/>
      <c r="I70" s="543"/>
      <c r="J70" s="543">
        <v>12635.06743404498</v>
      </c>
      <c r="K70" s="543">
        <v>10136.476335419371</v>
      </c>
      <c r="L70" s="543">
        <f>SUM(L50:L69)</f>
        <v>12635.06743404498</v>
      </c>
      <c r="M70" s="543">
        <f t="shared" ref="M70:Z70" si="20">SUM(M50:M69)</f>
        <v>12652.033333825455</v>
      </c>
      <c r="N70" s="543">
        <f t="shared" si="20"/>
        <v>12606.884731519147</v>
      </c>
      <c r="O70" s="543">
        <f t="shared" si="20"/>
        <v>12758.198003806698</v>
      </c>
      <c r="P70" s="543">
        <f t="shared" si="20"/>
        <v>13024.333182334885</v>
      </c>
      <c r="Q70" s="543">
        <f t="shared" si="20"/>
        <v>13251.414108191564</v>
      </c>
      <c r="R70" s="543">
        <f t="shared" si="20"/>
        <v>13426.07625197557</v>
      </c>
      <c r="S70" s="543">
        <f t="shared" si="20"/>
        <v>13607.868956068029</v>
      </c>
      <c r="T70" s="543">
        <f t="shared" si="20"/>
        <v>13787.325545183496</v>
      </c>
      <c r="U70" s="543">
        <f t="shared" si="20"/>
        <v>13835.113320086679</v>
      </c>
      <c r="V70" s="543">
        <f t="shared" si="20"/>
        <v>13822.012714332315</v>
      </c>
      <c r="W70" s="543">
        <f t="shared" si="20"/>
        <v>13807.837631994355</v>
      </c>
      <c r="X70" s="543">
        <f t="shared" si="20"/>
        <v>13790.673224801363</v>
      </c>
      <c r="Y70" s="543">
        <f t="shared" si="20"/>
        <v>13771.170110018709</v>
      </c>
      <c r="Z70" s="543">
        <f t="shared" si="20"/>
        <v>13751.44597171341</v>
      </c>
      <c r="AD70" s="544">
        <f>SUM(AD50:AD69)</f>
        <v>1083.7503739755564</v>
      </c>
      <c r="AE70" s="544">
        <f t="shared" si="18"/>
        <v>12635.06743404498</v>
      </c>
      <c r="AF70" s="544">
        <v>539.44232679981883</v>
      </c>
      <c r="AG70" s="544">
        <v>531.65388677128522</v>
      </c>
      <c r="AH70" s="544">
        <v>12.654160404452259</v>
      </c>
    </row>
    <row r="71" spans="1:38" outlineLevel="1">
      <c r="A71" s="528">
        <v>1</v>
      </c>
      <c r="B71" s="529" t="s">
        <v>1125</v>
      </c>
      <c r="C71" s="529" t="s">
        <v>1167</v>
      </c>
      <c r="I71" s="545"/>
      <c r="J71" s="546"/>
      <c r="K71" s="546">
        <v>-0.21662938105891127</v>
      </c>
      <c r="L71" s="546">
        <v>0.27653498334126603</v>
      </c>
      <c r="M71" s="546">
        <v>1.3427628992910279E-3</v>
      </c>
      <c r="N71" s="546">
        <v>-8.8792547279453737E-3</v>
      </c>
      <c r="O71" s="546">
        <v>1.797272069237521E-2</v>
      </c>
      <c r="P71" s="546">
        <v>2.4730565500424628E-2</v>
      </c>
      <c r="Q71" s="546">
        <v>3.0255574363798221E-2</v>
      </c>
      <c r="R71" s="546">
        <v>-4.6134385419678292E-3</v>
      </c>
      <c r="S71" s="546">
        <v>3.2496847305267806E-3</v>
      </c>
      <c r="T71" s="546">
        <v>3.0608915085399424E-3</v>
      </c>
      <c r="U71" s="546">
        <v>-7.0913167229111895E-3</v>
      </c>
      <c r="V71" s="546">
        <v>-6.3311940906805031E-3</v>
      </c>
      <c r="W71" s="546">
        <v>-6.4674173474638108E-3</v>
      </c>
      <c r="X71" s="546">
        <v>-6.6061996158401914E-3</v>
      </c>
      <c r="Y71" s="546">
        <v>-6.7668099096137579E-3</v>
      </c>
      <c r="Z71" s="546">
        <v>-6.8442003591143719E-3</v>
      </c>
    </row>
    <row r="72" spans="1:38" outlineLevel="1">
      <c r="A72" s="528">
        <v>2</v>
      </c>
      <c r="B72" s="529" t="s">
        <v>1168</v>
      </c>
      <c r="C72" s="529" t="s">
        <v>1167</v>
      </c>
      <c r="I72" s="545"/>
      <c r="J72" s="546"/>
      <c r="K72" s="546">
        <v>-0.15193749317890837</v>
      </c>
      <c r="L72" s="546">
        <v>0.17915836622519299</v>
      </c>
      <c r="M72" s="546">
        <v>1.3427628992910279E-3</v>
      </c>
      <c r="N72" s="546">
        <v>1.1320659313682757E-3</v>
      </c>
      <c r="O72" s="546">
        <v>2.1762683914097858E-2</v>
      </c>
      <c r="P72" s="546">
        <v>4.1566992832748006E-2</v>
      </c>
      <c r="Q72" s="546">
        <v>2.6042803364658029E-2</v>
      </c>
      <c r="R72" s="546">
        <v>1.5645661222273732E-2</v>
      </c>
      <c r="S72" s="546">
        <v>1.1306066720149222E-3</v>
      </c>
      <c r="T72" s="546">
        <v>1.0028562240391725E-3</v>
      </c>
      <c r="U72" s="546">
        <v>8.4086705119612581E-4</v>
      </c>
      <c r="V72" s="546">
        <v>1.642426965545063E-3</v>
      </c>
      <c r="W72" s="546">
        <v>1.5671524146256832E-3</v>
      </c>
      <c r="X72" s="546">
        <v>1.4916576270569415E-3</v>
      </c>
      <c r="Y72" s="546">
        <v>1.3961877192589789E-3</v>
      </c>
      <c r="Z72" s="546">
        <v>1.3820207137529295E-3</v>
      </c>
    </row>
    <row r="73" spans="1:38" outlineLevel="1">
      <c r="A73" s="528">
        <v>3</v>
      </c>
      <c r="B73" s="529" t="s">
        <v>1123</v>
      </c>
      <c r="C73" s="529" t="s">
        <v>1167</v>
      </c>
      <c r="I73" s="545"/>
      <c r="J73" s="546"/>
      <c r="K73" s="546">
        <v>-0.37654306967057438</v>
      </c>
      <c r="L73" s="546">
        <v>0.60396003533333809</v>
      </c>
      <c r="M73" s="546">
        <v>1.3427628992910279E-3</v>
      </c>
      <c r="N73" s="546">
        <v>1.1320659313682757E-3</v>
      </c>
      <c r="O73" s="546">
        <v>9.048373076716576E-4</v>
      </c>
      <c r="P73" s="546">
        <v>7.0420862766518155E-4</v>
      </c>
      <c r="Q73" s="546">
        <v>1.4937480448862228E-3</v>
      </c>
      <c r="R73" s="546">
        <v>1.2741225294286007E-3</v>
      </c>
      <c r="S73" s="546">
        <v>1.1419729789698962E-3</v>
      </c>
      <c r="T73" s="546">
        <v>1.016428669163183E-3</v>
      </c>
      <c r="U73" s="546">
        <v>8.5812106186211601E-4</v>
      </c>
      <c r="V73" s="546">
        <v>1.7044298378294798E-3</v>
      </c>
      <c r="W73" s="546">
        <v>1.6339691197710948E-3</v>
      </c>
      <c r="X73" s="546">
        <v>1.5612492214400753E-3</v>
      </c>
      <c r="Y73" s="546">
        <v>1.4670634651825498E-3</v>
      </c>
      <c r="Z73" s="546">
        <v>1.4599540680173551E-3</v>
      </c>
    </row>
    <row r="74" spans="1:38" outlineLevel="1">
      <c r="A74" s="528">
        <v>4</v>
      </c>
      <c r="B74" s="529" t="s">
        <v>1126</v>
      </c>
      <c r="C74" s="529" t="s">
        <v>1167</v>
      </c>
      <c r="I74" s="545"/>
      <c r="J74" s="546"/>
      <c r="K74" s="546">
        <v>-0.26139817629179285</v>
      </c>
      <c r="L74" s="546">
        <v>0.35390946502057541</v>
      </c>
      <c r="M74" s="546">
        <v>1.3427628992910279E-3</v>
      </c>
      <c r="N74" s="546">
        <v>-1.8890575387259023E-2</v>
      </c>
      <c r="O74" s="546">
        <v>8.6107477670578358E-3</v>
      </c>
      <c r="P74" s="546">
        <v>1.5997779119768962E-2</v>
      </c>
      <c r="Q74" s="546">
        <v>1.091286457038021E-2</v>
      </c>
      <c r="R74" s="546">
        <v>-3.4225965750942389E-2</v>
      </c>
      <c r="S74" s="546">
        <v>-9.5128909762539626E-3</v>
      </c>
      <c r="T74" s="546">
        <v>-9.7524630312163518E-3</v>
      </c>
      <c r="U74" s="546">
        <v>-1.0027475537743191E-2</v>
      </c>
      <c r="V74" s="546">
        <v>-9.3273989652118416E-3</v>
      </c>
      <c r="W74" s="546">
        <v>-9.5212509901857478E-3</v>
      </c>
      <c r="X74" s="546">
        <v>-9.7192750971983877E-3</v>
      </c>
      <c r="Y74" s="546">
        <v>-9.9407652180011352E-3</v>
      </c>
      <c r="Z74" s="546">
        <v>-1.0081336210575609E-2</v>
      </c>
    </row>
    <row r="75" spans="1:38" outlineLevel="1">
      <c r="A75" s="528">
        <v>5</v>
      </c>
      <c r="B75" s="529" t="s">
        <v>1120</v>
      </c>
      <c r="C75" s="529" t="s">
        <v>1167</v>
      </c>
      <c r="I75" s="545"/>
      <c r="J75" s="546"/>
      <c r="K75" s="546">
        <v>-0.21840166256052085</v>
      </c>
      <c r="L75" s="546">
        <v>0.27942953829201578</v>
      </c>
      <c r="M75" s="546">
        <v>1.3427628992910279E-3</v>
      </c>
      <c r="N75" s="546">
        <v>-8.8792547279453737E-3</v>
      </c>
      <c r="O75" s="546">
        <v>3.3381477644010005E-3</v>
      </c>
      <c r="P75" s="546">
        <v>5.5588675216629024E-3</v>
      </c>
      <c r="Q75" s="546">
        <v>4.5147100217983738E-3</v>
      </c>
      <c r="R75" s="546">
        <v>-1.7183693788068943E-2</v>
      </c>
      <c r="S75" s="546">
        <v>-2.7298622439032583E-3</v>
      </c>
      <c r="T75" s="546">
        <v>-2.8702199000287809E-3</v>
      </c>
      <c r="U75" s="546">
        <v>-3.0435134779713824E-3</v>
      </c>
      <c r="V75" s="546">
        <v>-2.2214396179031093E-3</v>
      </c>
      <c r="W75" s="546">
        <v>-2.3076181614306579E-3</v>
      </c>
      <c r="X75" s="546">
        <v>-2.3959075386743578E-3</v>
      </c>
      <c r="Y75" s="546">
        <v>-2.5055092679295843E-3</v>
      </c>
      <c r="Z75" s="546">
        <v>-2.5292334931898974E-3</v>
      </c>
    </row>
    <row r="76" spans="1:38" outlineLevel="1">
      <c r="A76" s="528">
        <v>6</v>
      </c>
      <c r="B76" s="529" t="s">
        <v>1128</v>
      </c>
      <c r="C76" s="529" t="s">
        <v>1167</v>
      </c>
      <c r="I76" s="545"/>
      <c r="J76" s="546"/>
      <c r="K76" s="546">
        <v>0.32446576537287175</v>
      </c>
      <c r="L76" s="546">
        <v>-0.24497859729996585</v>
      </c>
      <c r="M76" s="546">
        <v>1.3427628992910279E-3</v>
      </c>
      <c r="N76" s="546">
        <v>1.1320659313682757E-3</v>
      </c>
      <c r="O76" s="546">
        <v>9.048373076716576E-4</v>
      </c>
      <c r="P76" s="546">
        <v>7.0420862766518155E-4</v>
      </c>
      <c r="Q76" s="546">
        <v>1.4937480448862228E-3</v>
      </c>
      <c r="R76" s="546">
        <v>1.2741225294286007E-3</v>
      </c>
      <c r="S76" s="546">
        <v>1.1419729789698962E-3</v>
      </c>
      <c r="T76" s="546">
        <v>1.016428669163183E-3</v>
      </c>
      <c r="U76" s="546">
        <v>8.5812106186211601E-4</v>
      </c>
      <c r="V76" s="546">
        <v>1.7044298378294798E-3</v>
      </c>
      <c r="W76" s="546">
        <v>1.6339691197710948E-3</v>
      </c>
      <c r="X76" s="546">
        <v>1.5612492214400753E-3</v>
      </c>
      <c r="Y76" s="546">
        <v>1.4670634651825498E-3</v>
      </c>
      <c r="Z76" s="546">
        <v>1.4599540680173551E-3</v>
      </c>
    </row>
    <row r="77" spans="1:38" outlineLevel="1">
      <c r="A77" s="528">
        <v>7</v>
      </c>
      <c r="B77" s="529" t="s">
        <v>1129</v>
      </c>
      <c r="C77" s="529" t="s">
        <v>1167</v>
      </c>
      <c r="I77" s="545"/>
      <c r="J77" s="546"/>
      <c r="K77" s="546">
        <v>-8.8248337028828505E-2</v>
      </c>
      <c r="L77" s="546">
        <v>9.6789883268486809E-2</v>
      </c>
      <c r="M77" s="546">
        <v>1.3427628992910279E-3</v>
      </c>
      <c r="N77" s="546">
        <v>3.134330063230939E-3</v>
      </c>
      <c r="O77" s="546">
        <v>4.1153117172690878E-2</v>
      </c>
      <c r="P77" s="546">
        <v>7.8952104075949547E-2</v>
      </c>
      <c r="Q77" s="546">
        <v>5.2653180298878555E-2</v>
      </c>
      <c r="R77" s="546">
        <v>3.4999605053207761E-2</v>
      </c>
      <c r="S77" s="546">
        <v>9.1325580568828446E-3</v>
      </c>
      <c r="T77" s="546">
        <v>4.9984308339903194E-3</v>
      </c>
      <c r="U77" s="546">
        <v>4.8335049581988976E-3</v>
      </c>
      <c r="V77" s="546">
        <v>3.6072448561710324E-3</v>
      </c>
      <c r="W77" s="546">
        <v>3.5288290696577906E-3</v>
      </c>
      <c r="X77" s="546">
        <v>1.4485597775235615E-3</v>
      </c>
      <c r="Y77" s="546">
        <v>1.3522896596895873E-3</v>
      </c>
      <c r="Z77" s="546">
        <v>1.3337458757478604E-3</v>
      </c>
    </row>
    <row r="78" spans="1:38" outlineLevel="1">
      <c r="A78" s="528">
        <v>8</v>
      </c>
      <c r="B78" s="529" t="s">
        <v>1130</v>
      </c>
      <c r="C78" s="529" t="s">
        <v>1167</v>
      </c>
      <c r="I78" s="545"/>
      <c r="J78" s="546"/>
      <c r="K78" s="546">
        <v>-0.54411764705882382</v>
      </c>
      <c r="L78" s="546">
        <v>1.1935483870967754</v>
      </c>
      <c r="M78" s="546">
        <v>1.3427628992910279E-3</v>
      </c>
      <c r="N78" s="546">
        <v>-8.7019820049449859E-4</v>
      </c>
      <c r="O78" s="546">
        <v>-1.096972366943727E-3</v>
      </c>
      <c r="P78" s="546">
        <v>-1.2971997895900866E-3</v>
      </c>
      <c r="Q78" s="546">
        <v>4.9225429684129907E-4</v>
      </c>
      <c r="R78" s="546">
        <v>2.7284840689922873E-4</v>
      </c>
      <c r="S78" s="546">
        <v>1.408310059909379E-4</v>
      </c>
      <c r="T78" s="546">
        <v>1.5412240494061535E-5</v>
      </c>
      <c r="U78" s="546">
        <v>-1.1435951802615252E-3</v>
      </c>
      <c r="V78" s="546">
        <v>-2.9897902184616854E-4</v>
      </c>
      <c r="W78" s="546">
        <v>-3.6929881846847756E-4</v>
      </c>
      <c r="X78" s="546">
        <v>5.596879722185033E-4</v>
      </c>
      <c r="Y78" s="546">
        <v>-5.3587066174787257E-4</v>
      </c>
      <c r="Z78" s="546">
        <v>-5.4296584011870319E-4</v>
      </c>
    </row>
    <row r="79" spans="1:38" outlineLevel="1">
      <c r="A79" s="528">
        <v>9</v>
      </c>
      <c r="B79" s="529" t="s">
        <v>1127</v>
      </c>
      <c r="C79" s="529" t="s">
        <v>1167</v>
      </c>
      <c r="I79" s="545"/>
      <c r="J79" s="546"/>
      <c r="K79" s="546">
        <v>-0.31316725978647597</v>
      </c>
      <c r="L79" s="546">
        <v>0.45595854922279599</v>
      </c>
      <c r="M79" s="546">
        <v>1.3427628992910279E-3</v>
      </c>
      <c r="N79" s="546">
        <v>1.1320659313682757E-3</v>
      </c>
      <c r="O79" s="546">
        <v>5.0253217623115187E-3</v>
      </c>
      <c r="P79" s="546">
        <v>8.9111210421530807E-3</v>
      </c>
      <c r="Q79" s="546">
        <v>6.5837849180057084E-3</v>
      </c>
      <c r="R79" s="546">
        <v>4.3115433174421014E-3</v>
      </c>
      <c r="S79" s="546">
        <v>1.1395436024153049E-3</v>
      </c>
      <c r="T79" s="546">
        <v>1.013527789768931E-3</v>
      </c>
      <c r="U79" s="546">
        <v>8.5443334973933638E-4</v>
      </c>
      <c r="V79" s="546">
        <v>1.691178098918833E-3</v>
      </c>
      <c r="W79" s="546">
        <v>1.6196892258626416E-3</v>
      </c>
      <c r="X79" s="546">
        <v>1.5463770654728926E-3</v>
      </c>
      <c r="Y79" s="546">
        <v>1.4519177055880572E-3</v>
      </c>
      <c r="Z79" s="546">
        <v>1.4433010628653875E-3</v>
      </c>
    </row>
    <row r="80" spans="1:38" outlineLevel="1">
      <c r="A80" s="528">
        <v>10</v>
      </c>
      <c r="B80" s="529" t="s">
        <v>1131</v>
      </c>
      <c r="C80" s="529" t="s">
        <v>1167</v>
      </c>
      <c r="I80" s="545"/>
      <c r="J80" s="546"/>
      <c r="K80" s="546">
        <v>-0.1618798955613574</v>
      </c>
      <c r="L80" s="546">
        <v>0.19314641744548244</v>
      </c>
      <c r="M80" s="546">
        <v>1.3427628992910279E-3</v>
      </c>
      <c r="N80" s="546">
        <v>-8.8792547279454848E-3</v>
      </c>
      <c r="O80" s="546">
        <v>5.9274396606645574E-3</v>
      </c>
      <c r="P80" s="546">
        <v>1.0698929350574815E-2</v>
      </c>
      <c r="Q80" s="546">
        <v>7.6816424903918268E-3</v>
      </c>
      <c r="R80" s="546">
        <v>-1.5339621678086557E-2</v>
      </c>
      <c r="S80" s="546">
        <v>-2.7313580824392947E-3</v>
      </c>
      <c r="T80" s="546">
        <v>-2.8720060333218278E-3</v>
      </c>
      <c r="U80" s="546">
        <v>-3.0457840518086643E-3</v>
      </c>
      <c r="V80" s="546">
        <v>-2.2295987908633741E-3</v>
      </c>
      <c r="W80" s="546">
        <v>-2.3164103339564646E-3</v>
      </c>
      <c r="X80" s="546">
        <v>-2.405064331995832E-3</v>
      </c>
      <c r="Y80" s="546">
        <v>-2.5148344850873805E-3</v>
      </c>
      <c r="Z80" s="546">
        <v>-2.539486682314962E-3</v>
      </c>
    </row>
    <row r="81" spans="1:34" outlineLevel="1">
      <c r="A81" s="528">
        <v>11</v>
      </c>
      <c r="B81" s="529" t="s">
        <v>1132</v>
      </c>
      <c r="C81" s="529" t="s">
        <v>1167</v>
      </c>
      <c r="I81" s="545"/>
      <c r="J81" s="546"/>
      <c r="K81" s="546"/>
      <c r="L81" s="546"/>
      <c r="M81" s="546"/>
      <c r="N81" s="546"/>
      <c r="O81" s="546"/>
      <c r="P81" s="546"/>
      <c r="Q81" s="546"/>
      <c r="R81" s="546"/>
      <c r="S81" s="546">
        <v>1</v>
      </c>
      <c r="T81" s="546">
        <v>0.5</v>
      </c>
      <c r="U81" s="546">
        <v>0.11111111111111116</v>
      </c>
      <c r="V81" s="546">
        <v>1.7044298378294798E-3</v>
      </c>
      <c r="W81" s="546">
        <v>1.6339691197710948E-3</v>
      </c>
      <c r="X81" s="546">
        <v>1.5612492214400753E-3</v>
      </c>
      <c r="Y81" s="546">
        <v>1.4670634651825498E-3</v>
      </c>
      <c r="Z81" s="546">
        <v>1.4599540680173551E-3</v>
      </c>
    </row>
    <row r="82" spans="1:34" outlineLevel="1">
      <c r="A82" s="528">
        <v>12</v>
      </c>
      <c r="B82" s="529" t="s">
        <v>1133</v>
      </c>
      <c r="C82" s="529" t="s">
        <v>1167</v>
      </c>
      <c r="I82" s="545"/>
      <c r="J82" s="546"/>
      <c r="K82" s="546"/>
      <c r="L82" s="546"/>
      <c r="M82" s="546"/>
      <c r="N82" s="546"/>
      <c r="O82" s="546"/>
      <c r="P82" s="546"/>
      <c r="Q82" s="546"/>
      <c r="R82" s="546"/>
      <c r="S82" s="546">
        <v>1.5</v>
      </c>
      <c r="T82" s="546">
        <v>0.8</v>
      </c>
      <c r="U82" s="546">
        <v>0.44444444444444442</v>
      </c>
      <c r="V82" s="546">
        <v>2.7061342676670819E-3</v>
      </c>
      <c r="W82" s="546">
        <v>2.63560308889077E-3</v>
      </c>
      <c r="X82" s="546">
        <v>2.5628104706614252E-3</v>
      </c>
      <c r="Y82" s="546">
        <v>2.4685305286475945E-3</v>
      </c>
      <c r="Z82" s="546">
        <v>2.4614140220853287E-3</v>
      </c>
    </row>
    <row r="83" spans="1:34" outlineLevel="1">
      <c r="A83" s="528">
        <v>13</v>
      </c>
      <c r="B83" s="529"/>
      <c r="C83" s="529" t="s">
        <v>1167</v>
      </c>
      <c r="I83" s="545"/>
      <c r="J83" s="546"/>
      <c r="K83" s="546"/>
      <c r="L83" s="546"/>
      <c r="M83" s="546"/>
      <c r="N83" s="546"/>
      <c r="O83" s="546"/>
      <c r="P83" s="546"/>
      <c r="Q83" s="546"/>
      <c r="R83" s="546"/>
      <c r="S83" s="546"/>
      <c r="T83" s="546"/>
      <c r="U83" s="546"/>
      <c r="V83" s="546"/>
      <c r="W83" s="546"/>
      <c r="X83" s="546"/>
      <c r="Y83" s="546"/>
      <c r="Z83" s="546"/>
    </row>
    <row r="84" spans="1:34" outlineLevel="1">
      <c r="A84" s="528">
        <v>14</v>
      </c>
      <c r="B84" s="529"/>
      <c r="C84" s="529" t="s">
        <v>1167</v>
      </c>
      <c r="I84" s="545"/>
      <c r="J84" s="546"/>
      <c r="K84" s="546"/>
      <c r="L84" s="546"/>
      <c r="M84" s="546"/>
      <c r="N84" s="546"/>
      <c r="O84" s="546"/>
      <c r="P84" s="546"/>
      <c r="Q84" s="546"/>
      <c r="R84" s="546"/>
      <c r="S84" s="546"/>
      <c r="T84" s="546"/>
      <c r="U84" s="546"/>
      <c r="V84" s="546"/>
      <c r="W84" s="546"/>
      <c r="X84" s="546"/>
      <c r="Y84" s="546"/>
      <c r="Z84" s="546"/>
    </row>
    <row r="85" spans="1:34" outlineLevel="1">
      <c r="A85" s="528">
        <v>15</v>
      </c>
      <c r="B85" s="529"/>
      <c r="C85" s="529" t="s">
        <v>1167</v>
      </c>
      <c r="I85" s="545"/>
      <c r="J85" s="546"/>
      <c r="K85" s="546"/>
      <c r="L85" s="546"/>
      <c r="M85" s="546"/>
      <c r="N85" s="546"/>
      <c r="O85" s="546"/>
      <c r="P85" s="546"/>
      <c r="Q85" s="546"/>
      <c r="R85" s="546"/>
      <c r="S85" s="546"/>
      <c r="T85" s="546"/>
      <c r="U85" s="546"/>
      <c r="V85" s="546"/>
      <c r="W85" s="546"/>
      <c r="X85" s="546"/>
      <c r="Y85" s="546"/>
      <c r="Z85" s="546"/>
    </row>
    <row r="86" spans="1:34" outlineLevel="1">
      <c r="A86" s="528">
        <v>16</v>
      </c>
      <c r="B86" s="529"/>
      <c r="C86" s="529" t="s">
        <v>1167</v>
      </c>
      <c r="I86" s="545"/>
      <c r="J86" s="546"/>
      <c r="K86" s="546"/>
      <c r="L86" s="546"/>
      <c r="M86" s="546"/>
      <c r="N86" s="546"/>
      <c r="O86" s="546"/>
      <c r="P86" s="546"/>
      <c r="Q86" s="546"/>
      <c r="R86" s="546"/>
      <c r="S86" s="546"/>
      <c r="T86" s="546"/>
      <c r="U86" s="546"/>
      <c r="V86" s="546"/>
      <c r="W86" s="546"/>
      <c r="X86" s="546"/>
      <c r="Y86" s="546"/>
      <c r="Z86" s="546"/>
    </row>
    <row r="87" spans="1:34" outlineLevel="1">
      <c r="A87" s="528">
        <v>17</v>
      </c>
      <c r="B87" s="529"/>
      <c r="C87" s="529" t="s">
        <v>1167</v>
      </c>
      <c r="I87" s="545"/>
      <c r="J87" s="546"/>
      <c r="K87" s="546"/>
      <c r="L87" s="546"/>
      <c r="M87" s="546"/>
      <c r="N87" s="546"/>
      <c r="O87" s="546"/>
      <c r="P87" s="546"/>
      <c r="Q87" s="546"/>
      <c r="R87" s="546"/>
      <c r="S87" s="546"/>
      <c r="T87" s="546"/>
      <c r="U87" s="546"/>
      <c r="V87" s="546"/>
      <c r="W87" s="546"/>
      <c r="X87" s="546"/>
      <c r="Y87" s="546"/>
      <c r="Z87" s="546"/>
    </row>
    <row r="88" spans="1:34" outlineLevel="1">
      <c r="A88" s="528">
        <v>18</v>
      </c>
      <c r="B88" s="529"/>
      <c r="C88" s="529" t="s">
        <v>1167</v>
      </c>
      <c r="I88" s="545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/>
    </row>
    <row r="89" spans="1:34" outlineLevel="1">
      <c r="A89" s="528">
        <v>19</v>
      </c>
      <c r="B89" s="529"/>
      <c r="C89" s="529" t="s">
        <v>1167</v>
      </c>
      <c r="I89" s="545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  <c r="Y89" s="546"/>
      <c r="Z89" s="546"/>
    </row>
    <row r="90" spans="1:34" outlineLevel="1">
      <c r="A90" s="528">
        <v>20</v>
      </c>
      <c r="B90" s="529"/>
      <c r="C90" s="529" t="s">
        <v>1167</v>
      </c>
      <c r="I90" s="545"/>
      <c r="J90" s="546"/>
      <c r="K90" s="546"/>
      <c r="L90" s="546"/>
      <c r="M90" s="546"/>
      <c r="N90" s="546"/>
      <c r="O90" s="546"/>
      <c r="P90" s="546"/>
      <c r="Q90" s="546"/>
      <c r="R90" s="546"/>
      <c r="S90" s="546"/>
      <c r="T90" s="546"/>
      <c r="U90" s="546"/>
      <c r="V90" s="546"/>
      <c r="W90" s="546"/>
      <c r="X90" s="546"/>
      <c r="Y90" s="546"/>
      <c r="Z90" s="546"/>
    </row>
    <row r="91" spans="1:34">
      <c r="A91" s="542" t="s">
        <v>1165</v>
      </c>
      <c r="B91" s="542"/>
      <c r="C91" s="542"/>
      <c r="D91" s="542"/>
      <c r="E91" s="542"/>
      <c r="F91" s="542"/>
      <c r="G91" s="542"/>
      <c r="H91" s="542"/>
      <c r="I91" s="543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7"/>
      <c r="Y91" s="547"/>
      <c r="Z91" s="547"/>
    </row>
    <row r="94" spans="1:34">
      <c r="A94" s="517" t="s">
        <v>1135</v>
      </c>
      <c r="B94" s="517" t="s">
        <v>1136</v>
      </c>
      <c r="C94" s="517" t="s">
        <v>1137</v>
      </c>
      <c r="D94" s="517" t="s">
        <v>1138</v>
      </c>
      <c r="E94" s="517" t="s">
        <v>1139</v>
      </c>
      <c r="F94" s="517"/>
      <c r="G94" s="517"/>
      <c r="H94" s="518"/>
      <c r="I94" s="519" t="s">
        <v>1140</v>
      </c>
      <c r="J94" s="519" t="s">
        <v>1141</v>
      </c>
      <c r="K94" s="519" t="s">
        <v>1142</v>
      </c>
      <c r="L94" s="520" t="s">
        <v>1143</v>
      </c>
      <c r="M94" s="520" t="s">
        <v>1144</v>
      </c>
      <c r="N94" s="520" t="s">
        <v>1145</v>
      </c>
      <c r="O94" s="520" t="s">
        <v>1146</v>
      </c>
      <c r="P94" s="520" t="s">
        <v>1147</v>
      </c>
      <c r="Q94" s="520" t="s">
        <v>1148</v>
      </c>
      <c r="R94" s="520" t="s">
        <v>1149</v>
      </c>
      <c r="S94" s="520" t="s">
        <v>1150</v>
      </c>
      <c r="T94" s="520" t="s">
        <v>1151</v>
      </c>
      <c r="U94" s="520" t="s">
        <v>1152</v>
      </c>
      <c r="V94" s="520" t="s">
        <v>1153</v>
      </c>
      <c r="W94" s="520" t="s">
        <v>1154</v>
      </c>
      <c r="X94" s="520" t="s">
        <v>1155</v>
      </c>
      <c r="Y94" s="520" t="s">
        <v>1156</v>
      </c>
      <c r="Z94" s="520" t="s">
        <v>1157</v>
      </c>
      <c r="AD94" s="516" t="s">
        <v>1158</v>
      </c>
      <c r="AE94" s="516" t="s">
        <v>1159</v>
      </c>
      <c r="AF94" s="516" t="s">
        <v>1160</v>
      </c>
      <c r="AG94" s="516" t="s">
        <v>1161</v>
      </c>
      <c r="AH94" s="516" t="s">
        <v>1162</v>
      </c>
    </row>
    <row r="95" spans="1:34">
      <c r="A95" s="542" t="s">
        <v>317</v>
      </c>
      <c r="B95" s="542"/>
      <c r="C95" s="542"/>
      <c r="D95" s="542"/>
      <c r="E95" s="542"/>
      <c r="F95" s="542"/>
      <c r="G95" s="542"/>
      <c r="H95" s="542"/>
      <c r="I95" s="543">
        <v>1067869.7667072171</v>
      </c>
      <c r="J95" s="547">
        <v>1019825.0876773761</v>
      </c>
      <c r="K95" s="547">
        <v>693401.75246482529</v>
      </c>
      <c r="L95" s="547">
        <v>1019825.0876773761</v>
      </c>
      <c r="M95" s="547">
        <v>1020743.2328718918</v>
      </c>
      <c r="N95" s="547">
        <v>1021524.8440131585</v>
      </c>
      <c r="O95" s="547">
        <v>1042869.3241372877</v>
      </c>
      <c r="P95" s="547">
        <v>1084991.8237758614</v>
      </c>
      <c r="Q95" s="547">
        <v>1115255.6534478341</v>
      </c>
      <c r="R95" s="547">
        <v>1130795.1224816216</v>
      </c>
      <c r="S95" s="547">
        <v>1135157.2320597814</v>
      </c>
      <c r="T95" s="547">
        <v>1139162.0856317079</v>
      </c>
      <c r="U95" s="547">
        <v>1143161.5804961997</v>
      </c>
      <c r="V95" s="547">
        <v>1148031.5771512478</v>
      </c>
      <c r="W95" s="547">
        <v>1153191.065890701</v>
      </c>
      <c r="X95" s="547">
        <v>1157807.5157029887</v>
      </c>
      <c r="Y95" s="547">
        <v>1161344.3794944368</v>
      </c>
      <c r="Z95" s="547">
        <v>1163608.484412981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EFC7F-3AFD-404E-8483-611F90730C25}">
  <sheetPr>
    <tabColor theme="0"/>
  </sheetPr>
  <dimension ref="A1:Q28"/>
  <sheetViews>
    <sheetView workbookViewId="0"/>
  </sheetViews>
  <sheetFormatPr baseColWidth="10" defaultColWidth="9.1640625" defaultRowHeight="15"/>
  <cols>
    <col min="1" max="1" width="3.6640625" style="515" customWidth="1"/>
    <col min="2" max="2" width="42.83203125" style="515" customWidth="1"/>
    <col min="3" max="16" width="10.6640625" style="515" customWidth="1"/>
    <col min="17" max="16384" width="9.1640625" style="515"/>
  </cols>
  <sheetData>
    <row r="1" spans="1:17">
      <c r="A1" s="514"/>
      <c r="B1" s="514"/>
      <c r="C1" s="1100">
        <f>IF(Scenarios_Summary!D60=1,Assumtions!C16,IF(Scenarios_Summary!D60=2,Assumtions!D16,Assumtions!E16))</f>
        <v>1</v>
      </c>
      <c r="D1" s="1101">
        <f>C1</f>
        <v>1</v>
      </c>
      <c r="E1" s="1101">
        <f t="shared" ref="E1:O1" si="0">D1</f>
        <v>1</v>
      </c>
      <c r="F1" s="1101">
        <f t="shared" si="0"/>
        <v>1</v>
      </c>
      <c r="G1" s="1101">
        <f t="shared" si="0"/>
        <v>1</v>
      </c>
      <c r="H1" s="1101">
        <f t="shared" si="0"/>
        <v>1</v>
      </c>
      <c r="I1" s="1101">
        <f t="shared" si="0"/>
        <v>1</v>
      </c>
      <c r="J1" s="1101">
        <f t="shared" si="0"/>
        <v>1</v>
      </c>
      <c r="K1" s="1101">
        <f t="shared" si="0"/>
        <v>1</v>
      </c>
      <c r="L1" s="1101">
        <f t="shared" si="0"/>
        <v>1</v>
      </c>
      <c r="M1" s="1101">
        <f t="shared" si="0"/>
        <v>1</v>
      </c>
      <c r="N1" s="1101">
        <f t="shared" si="0"/>
        <v>1</v>
      </c>
      <c r="O1" s="1101">
        <f t="shared" si="0"/>
        <v>1</v>
      </c>
      <c r="P1" s="1101">
        <f t="shared" ref="P1" si="1">O1</f>
        <v>1</v>
      </c>
    </row>
    <row r="2" spans="1:17">
      <c r="A2" s="517"/>
      <c r="B2" s="517" t="s">
        <v>1136</v>
      </c>
      <c r="C2" s="520" t="s">
        <v>1144</v>
      </c>
      <c r="D2" s="520" t="s">
        <v>1145</v>
      </c>
      <c r="E2" s="520" t="s">
        <v>1146</v>
      </c>
      <c r="F2" s="520" t="s">
        <v>1147</v>
      </c>
      <c r="G2" s="520" t="s">
        <v>1148</v>
      </c>
      <c r="H2" s="520" t="s">
        <v>1149</v>
      </c>
      <c r="I2" s="520" t="s">
        <v>1150</v>
      </c>
      <c r="J2" s="520" t="s">
        <v>1151</v>
      </c>
      <c r="K2" s="520" t="s">
        <v>1152</v>
      </c>
      <c r="L2" s="520" t="s">
        <v>1153</v>
      </c>
      <c r="M2" s="520" t="s">
        <v>1154</v>
      </c>
      <c r="N2" s="520" t="s">
        <v>1155</v>
      </c>
      <c r="O2" s="520" t="s">
        <v>1156</v>
      </c>
      <c r="P2" s="520" t="s">
        <v>1157</v>
      </c>
    </row>
    <row r="3" spans="1:17">
      <c r="A3" s="521"/>
      <c r="B3" s="521"/>
      <c r="C3" s="524">
        <f>(('Hospit_Data_"A"'!M4-'Hospit_Data_"0"'!M3)+C4)*(1-C1)</f>
        <v>0</v>
      </c>
      <c r="D3" s="524">
        <f>(('Hospit_Data_"A"'!N4-'Hospit_Data_"0"'!N3)+D4)*(1-D1)</f>
        <v>0</v>
      </c>
      <c r="E3" s="524">
        <f>(('Hospit_Data_"A"'!O4-'Hospit_Data_"0"'!O3)+E4)*(1-E1)</f>
        <v>0</v>
      </c>
      <c r="F3" s="524">
        <f>(('Hospit_Data_"A"'!P4-'Hospit_Data_"0"'!P3)+F4)*(1-F1)</f>
        <v>0</v>
      </c>
      <c r="G3" s="524">
        <f>(('Hospit_Data_"A"'!Q4-'Hospit_Data_"0"'!Q3)+G4)*(1-G1)</f>
        <v>0</v>
      </c>
      <c r="H3" s="524">
        <f>(('Hospit_Data_"A"'!R4-'Hospit_Data_"0"'!R3)+H4)*(1-H1)</f>
        <v>0</v>
      </c>
      <c r="I3" s="524">
        <f>(('Hospit_Data_"A"'!S4-'Hospit_Data_"0"'!S3)+I4)*(1-I1)</f>
        <v>0</v>
      </c>
      <c r="J3" s="524">
        <f>(('Hospit_Data_"A"'!T4-'Hospit_Data_"0"'!T3)+J4)*(1-J1)</f>
        <v>0</v>
      </c>
      <c r="K3" s="524">
        <f>(('Hospit_Data_"A"'!U4-'Hospit_Data_"0"'!U3)+K4)*(1-K1)</f>
        <v>0</v>
      </c>
      <c r="L3" s="524">
        <f>(('Hospit_Data_"A"'!V4-'Hospit_Data_"0"'!V3)+L4)*(1-L1)</f>
        <v>0</v>
      </c>
      <c r="M3" s="524">
        <f>(('Hospit_Data_"A"'!W4-'Hospit_Data_"0"'!W3)+M4)*(1-M1)</f>
        <v>0</v>
      </c>
      <c r="N3" s="524">
        <f>(('Hospit_Data_"A"'!X4-'Hospit_Data_"0"'!X3)+N4)*(1-N1)</f>
        <v>0</v>
      </c>
      <c r="O3" s="524">
        <f>(('Hospit_Data_"A"'!Y4-'Hospit_Data_"0"'!Y3)+O4)*(1-O1)</f>
        <v>0</v>
      </c>
      <c r="P3" s="524">
        <f>(('Hospit_Data_"A"'!Z4-'Hospit_Data_"0"'!Z3)+P4)*(1-P1)</f>
        <v>0</v>
      </c>
      <c r="Q3" s="1099" t="s">
        <v>3395</v>
      </c>
    </row>
    <row r="4" spans="1:17">
      <c r="A4" s="525"/>
      <c r="B4" s="526"/>
      <c r="C4" s="1098">
        <f>'Revenues"0"'!H42</f>
        <v>13.412199951038929</v>
      </c>
      <c r="D4" s="1098">
        <f>'Revenues"0"'!I42+C4</f>
        <v>-497.11575067163358</v>
      </c>
      <c r="E4" s="1098">
        <f>'Revenues"0"'!J42+D4</f>
        <v>-456.66938568298065</v>
      </c>
      <c r="F4" s="1098">
        <f>'Revenues"0"'!K42+E4</f>
        <v>-408.24909180733084</v>
      </c>
      <c r="G4" s="1098">
        <f>'Revenues"0"'!L42+F4</f>
        <v>-162.61865731070429</v>
      </c>
      <c r="H4" s="1098">
        <f>'Revenues"0"'!M42+G4</f>
        <v>-1793.6526397952839</v>
      </c>
      <c r="I4" s="1098">
        <f>'Revenues"0"'!N42+H4</f>
        <v>-3170.6343928330243</v>
      </c>
      <c r="J4" s="1098">
        <f>'Revenues"0"'!O42+I4</f>
        <v>-3841.5641365807242</v>
      </c>
      <c r="K4" s="1098">
        <f>'Revenues"0"'!P42+J4</f>
        <v>-3823.5211909262507</v>
      </c>
      <c r="L4" s="1098">
        <f>'Revenues"0"'!Q42+K4</f>
        <v>-3832.0850205786846</v>
      </c>
      <c r="M4" s="1098">
        <f>'Revenues"0"'!R42+L4</f>
        <v>-3828.5983687286207</v>
      </c>
      <c r="N4" s="1098">
        <f>'Revenues"0"'!S42+M4</f>
        <v>-3841.4337859249936</v>
      </c>
      <c r="O4" s="1098">
        <f>'Revenues"0"'!T42+N4</f>
        <v>-3891.7773376291079</v>
      </c>
      <c r="P4" s="1098">
        <f>'Revenues"0"'!U42+O4</f>
        <v>-3970.8804986137984</v>
      </c>
      <c r="Q4" s="1099" t="s">
        <v>3394</v>
      </c>
    </row>
    <row r="5" spans="1:17">
      <c r="A5" s="528"/>
      <c r="B5" s="529" t="s">
        <v>3282</v>
      </c>
      <c r="C5" s="535">
        <f t="shared" ref="C5:O15" si="2">C$3*C17</f>
        <v>0</v>
      </c>
      <c r="D5" s="535">
        <f t="shared" si="2"/>
        <v>0</v>
      </c>
      <c r="E5" s="535">
        <f t="shared" si="2"/>
        <v>0</v>
      </c>
      <c r="F5" s="535">
        <f t="shared" si="2"/>
        <v>0</v>
      </c>
      <c r="G5" s="535">
        <f t="shared" si="2"/>
        <v>0</v>
      </c>
      <c r="H5" s="535">
        <f t="shared" si="2"/>
        <v>0</v>
      </c>
      <c r="I5" s="535">
        <f t="shared" si="2"/>
        <v>0</v>
      </c>
      <c r="J5" s="535">
        <f t="shared" si="2"/>
        <v>0</v>
      </c>
      <c r="K5" s="535">
        <f t="shared" si="2"/>
        <v>0</v>
      </c>
      <c r="L5" s="535">
        <f t="shared" si="2"/>
        <v>0</v>
      </c>
      <c r="M5" s="535">
        <f t="shared" si="2"/>
        <v>0</v>
      </c>
      <c r="N5" s="535">
        <f t="shared" si="2"/>
        <v>0</v>
      </c>
      <c r="O5" s="535">
        <f t="shared" si="2"/>
        <v>0</v>
      </c>
      <c r="P5" s="535">
        <f t="shared" ref="P5" si="3">P$3*P17</f>
        <v>0</v>
      </c>
    </row>
    <row r="6" spans="1:17">
      <c r="A6" s="528"/>
      <c r="B6" s="529" t="s">
        <v>3283</v>
      </c>
      <c r="C6" s="535">
        <f t="shared" si="2"/>
        <v>0</v>
      </c>
      <c r="D6" s="535">
        <f t="shared" si="2"/>
        <v>0</v>
      </c>
      <c r="E6" s="535">
        <f t="shared" si="2"/>
        <v>0</v>
      </c>
      <c r="F6" s="535">
        <f t="shared" si="2"/>
        <v>0</v>
      </c>
      <c r="G6" s="535">
        <f t="shared" si="2"/>
        <v>0</v>
      </c>
      <c r="H6" s="535">
        <f t="shared" si="2"/>
        <v>0</v>
      </c>
      <c r="I6" s="535">
        <f t="shared" si="2"/>
        <v>0</v>
      </c>
      <c r="J6" s="535">
        <f t="shared" si="2"/>
        <v>0</v>
      </c>
      <c r="K6" s="535">
        <f t="shared" si="2"/>
        <v>0</v>
      </c>
      <c r="L6" s="535">
        <f t="shared" si="2"/>
        <v>0</v>
      </c>
      <c r="M6" s="535">
        <f t="shared" si="2"/>
        <v>0</v>
      </c>
      <c r="N6" s="535">
        <f t="shared" si="2"/>
        <v>0</v>
      </c>
      <c r="O6" s="535">
        <f t="shared" si="2"/>
        <v>0</v>
      </c>
      <c r="P6" s="535">
        <f t="shared" ref="P6" si="4">P$3*P18</f>
        <v>0</v>
      </c>
    </row>
    <row r="7" spans="1:17">
      <c r="A7" s="528"/>
      <c r="B7" s="529" t="s">
        <v>3285</v>
      </c>
      <c r="C7" s="535">
        <f t="shared" si="2"/>
        <v>0</v>
      </c>
      <c r="D7" s="535">
        <f t="shared" si="2"/>
        <v>0</v>
      </c>
      <c r="E7" s="535">
        <f t="shared" si="2"/>
        <v>0</v>
      </c>
      <c r="F7" s="535">
        <f t="shared" si="2"/>
        <v>0</v>
      </c>
      <c r="G7" s="535">
        <f t="shared" si="2"/>
        <v>0</v>
      </c>
      <c r="H7" s="535">
        <f t="shared" si="2"/>
        <v>0</v>
      </c>
      <c r="I7" s="535">
        <f t="shared" si="2"/>
        <v>0</v>
      </c>
      <c r="J7" s="535">
        <f t="shared" si="2"/>
        <v>0</v>
      </c>
      <c r="K7" s="535">
        <f t="shared" si="2"/>
        <v>0</v>
      </c>
      <c r="L7" s="535">
        <f t="shared" si="2"/>
        <v>0</v>
      </c>
      <c r="M7" s="535">
        <f t="shared" si="2"/>
        <v>0</v>
      </c>
      <c r="N7" s="535">
        <f t="shared" si="2"/>
        <v>0</v>
      </c>
      <c r="O7" s="535">
        <f t="shared" si="2"/>
        <v>0</v>
      </c>
      <c r="P7" s="535">
        <f t="shared" ref="P7" si="5">P$3*P19</f>
        <v>0</v>
      </c>
    </row>
    <row r="8" spans="1:17">
      <c r="A8" s="528"/>
      <c r="B8" s="529" t="s">
        <v>3284</v>
      </c>
      <c r="C8" s="535">
        <f t="shared" si="2"/>
        <v>0</v>
      </c>
      <c r="D8" s="535">
        <f t="shared" si="2"/>
        <v>0</v>
      </c>
      <c r="E8" s="535">
        <f t="shared" si="2"/>
        <v>0</v>
      </c>
      <c r="F8" s="535">
        <f t="shared" si="2"/>
        <v>0</v>
      </c>
      <c r="G8" s="535">
        <f t="shared" si="2"/>
        <v>0</v>
      </c>
      <c r="H8" s="535">
        <f t="shared" si="2"/>
        <v>0</v>
      </c>
      <c r="I8" s="535">
        <f t="shared" si="2"/>
        <v>0</v>
      </c>
      <c r="J8" s="535">
        <f t="shared" si="2"/>
        <v>0</v>
      </c>
      <c r="K8" s="535">
        <f t="shared" si="2"/>
        <v>0</v>
      </c>
      <c r="L8" s="535">
        <f t="shared" si="2"/>
        <v>0</v>
      </c>
      <c r="M8" s="535">
        <f t="shared" si="2"/>
        <v>0</v>
      </c>
      <c r="N8" s="535">
        <f t="shared" si="2"/>
        <v>0</v>
      </c>
      <c r="O8" s="535">
        <f t="shared" si="2"/>
        <v>0</v>
      </c>
      <c r="P8" s="535">
        <f t="shared" ref="P8" si="6">P$3*P20</f>
        <v>0</v>
      </c>
    </row>
    <row r="9" spans="1:17">
      <c r="A9" s="528"/>
      <c r="B9" s="529" t="s">
        <v>3287</v>
      </c>
      <c r="C9" s="535">
        <f t="shared" si="2"/>
        <v>0</v>
      </c>
      <c r="D9" s="535">
        <f t="shared" si="2"/>
        <v>0</v>
      </c>
      <c r="E9" s="535">
        <f t="shared" si="2"/>
        <v>0</v>
      </c>
      <c r="F9" s="535">
        <f t="shared" si="2"/>
        <v>0</v>
      </c>
      <c r="G9" s="535">
        <f t="shared" si="2"/>
        <v>0</v>
      </c>
      <c r="H9" s="535">
        <f t="shared" si="2"/>
        <v>0</v>
      </c>
      <c r="I9" s="535">
        <f t="shared" si="2"/>
        <v>0</v>
      </c>
      <c r="J9" s="535">
        <f t="shared" si="2"/>
        <v>0</v>
      </c>
      <c r="K9" s="535">
        <f t="shared" si="2"/>
        <v>0</v>
      </c>
      <c r="L9" s="535">
        <f t="shared" si="2"/>
        <v>0</v>
      </c>
      <c r="M9" s="535">
        <f t="shared" si="2"/>
        <v>0</v>
      </c>
      <c r="N9" s="535">
        <f t="shared" si="2"/>
        <v>0</v>
      </c>
      <c r="O9" s="535">
        <f t="shared" si="2"/>
        <v>0</v>
      </c>
      <c r="P9" s="535">
        <f t="shared" ref="P9" si="7">P$3*P21</f>
        <v>0</v>
      </c>
    </row>
    <row r="10" spans="1:17">
      <c r="A10" s="528"/>
      <c r="B10" s="529" t="s">
        <v>3288</v>
      </c>
      <c r="C10" s="535">
        <f t="shared" si="2"/>
        <v>0</v>
      </c>
      <c r="D10" s="535">
        <f t="shared" si="2"/>
        <v>0</v>
      </c>
      <c r="E10" s="535">
        <f t="shared" si="2"/>
        <v>0</v>
      </c>
      <c r="F10" s="535">
        <f t="shared" si="2"/>
        <v>0</v>
      </c>
      <c r="G10" s="535">
        <f t="shared" si="2"/>
        <v>0</v>
      </c>
      <c r="H10" s="535">
        <f t="shared" si="2"/>
        <v>0</v>
      </c>
      <c r="I10" s="535">
        <f t="shared" si="2"/>
        <v>0</v>
      </c>
      <c r="J10" s="535">
        <f t="shared" si="2"/>
        <v>0</v>
      </c>
      <c r="K10" s="535">
        <f t="shared" si="2"/>
        <v>0</v>
      </c>
      <c r="L10" s="535">
        <f t="shared" si="2"/>
        <v>0</v>
      </c>
      <c r="M10" s="535">
        <f t="shared" si="2"/>
        <v>0</v>
      </c>
      <c r="N10" s="535">
        <f t="shared" si="2"/>
        <v>0</v>
      </c>
      <c r="O10" s="535">
        <f t="shared" si="2"/>
        <v>0</v>
      </c>
      <c r="P10" s="535">
        <f t="shared" ref="P10" si="8">P$3*P22</f>
        <v>0</v>
      </c>
    </row>
    <row r="11" spans="1:17">
      <c r="A11" s="528"/>
      <c r="B11" s="529" t="s">
        <v>3289</v>
      </c>
      <c r="C11" s="535">
        <f t="shared" si="2"/>
        <v>0</v>
      </c>
      <c r="D11" s="535">
        <f t="shared" si="2"/>
        <v>0</v>
      </c>
      <c r="E11" s="535">
        <f t="shared" si="2"/>
        <v>0</v>
      </c>
      <c r="F11" s="535">
        <f t="shared" si="2"/>
        <v>0</v>
      </c>
      <c r="G11" s="535">
        <f t="shared" si="2"/>
        <v>0</v>
      </c>
      <c r="H11" s="535">
        <f t="shared" si="2"/>
        <v>0</v>
      </c>
      <c r="I11" s="535">
        <f t="shared" si="2"/>
        <v>0</v>
      </c>
      <c r="J11" s="535">
        <f t="shared" si="2"/>
        <v>0</v>
      </c>
      <c r="K11" s="535">
        <f t="shared" si="2"/>
        <v>0</v>
      </c>
      <c r="L11" s="535">
        <f t="shared" si="2"/>
        <v>0</v>
      </c>
      <c r="M11" s="535">
        <f t="shared" si="2"/>
        <v>0</v>
      </c>
      <c r="N11" s="535">
        <f t="shared" si="2"/>
        <v>0</v>
      </c>
      <c r="O11" s="535">
        <f t="shared" si="2"/>
        <v>0</v>
      </c>
      <c r="P11" s="535">
        <f t="shared" ref="P11" si="9">P$3*P23</f>
        <v>0</v>
      </c>
    </row>
    <row r="12" spans="1:17">
      <c r="A12" s="528"/>
      <c r="B12" s="529" t="s">
        <v>3290</v>
      </c>
      <c r="C12" s="535">
        <f t="shared" si="2"/>
        <v>0</v>
      </c>
      <c r="D12" s="535">
        <f t="shared" si="2"/>
        <v>0</v>
      </c>
      <c r="E12" s="535">
        <f t="shared" si="2"/>
        <v>0</v>
      </c>
      <c r="F12" s="535">
        <f t="shared" si="2"/>
        <v>0</v>
      </c>
      <c r="G12" s="535">
        <f t="shared" si="2"/>
        <v>0</v>
      </c>
      <c r="H12" s="535">
        <f t="shared" si="2"/>
        <v>0</v>
      </c>
      <c r="I12" s="535">
        <f t="shared" si="2"/>
        <v>0</v>
      </c>
      <c r="J12" s="535">
        <f t="shared" si="2"/>
        <v>0</v>
      </c>
      <c r="K12" s="535">
        <f t="shared" si="2"/>
        <v>0</v>
      </c>
      <c r="L12" s="535">
        <f t="shared" si="2"/>
        <v>0</v>
      </c>
      <c r="M12" s="535">
        <f t="shared" si="2"/>
        <v>0</v>
      </c>
      <c r="N12" s="535">
        <f t="shared" si="2"/>
        <v>0</v>
      </c>
      <c r="O12" s="535">
        <f t="shared" si="2"/>
        <v>0</v>
      </c>
      <c r="P12" s="535">
        <f t="shared" ref="P12" si="10">P$3*P24</f>
        <v>0</v>
      </c>
    </row>
    <row r="13" spans="1:17">
      <c r="A13" s="528"/>
      <c r="B13" s="529" t="s">
        <v>3291</v>
      </c>
      <c r="C13" s="535">
        <f t="shared" si="2"/>
        <v>0</v>
      </c>
      <c r="D13" s="535">
        <f t="shared" si="2"/>
        <v>0</v>
      </c>
      <c r="E13" s="535">
        <f t="shared" si="2"/>
        <v>0</v>
      </c>
      <c r="F13" s="535">
        <f t="shared" si="2"/>
        <v>0</v>
      </c>
      <c r="G13" s="535">
        <f t="shared" si="2"/>
        <v>0</v>
      </c>
      <c r="H13" s="535">
        <f t="shared" si="2"/>
        <v>0</v>
      </c>
      <c r="I13" s="535">
        <f t="shared" si="2"/>
        <v>0</v>
      </c>
      <c r="J13" s="535">
        <f t="shared" si="2"/>
        <v>0</v>
      </c>
      <c r="K13" s="535">
        <f t="shared" si="2"/>
        <v>0</v>
      </c>
      <c r="L13" s="535">
        <f t="shared" si="2"/>
        <v>0</v>
      </c>
      <c r="M13" s="535">
        <f t="shared" si="2"/>
        <v>0</v>
      </c>
      <c r="N13" s="535">
        <f t="shared" si="2"/>
        <v>0</v>
      </c>
      <c r="O13" s="535">
        <f t="shared" si="2"/>
        <v>0</v>
      </c>
      <c r="P13" s="535">
        <f t="shared" ref="P13" si="11">P$3*P25</f>
        <v>0</v>
      </c>
    </row>
    <row r="14" spans="1:17">
      <c r="A14" s="528"/>
      <c r="B14" s="529" t="s">
        <v>3292</v>
      </c>
      <c r="C14" s="535">
        <f t="shared" si="2"/>
        <v>0</v>
      </c>
      <c r="D14" s="535">
        <f t="shared" si="2"/>
        <v>0</v>
      </c>
      <c r="E14" s="535">
        <f t="shared" si="2"/>
        <v>0</v>
      </c>
      <c r="F14" s="535">
        <f t="shared" si="2"/>
        <v>0</v>
      </c>
      <c r="G14" s="535">
        <f t="shared" si="2"/>
        <v>0</v>
      </c>
      <c r="H14" s="535">
        <f t="shared" si="2"/>
        <v>0</v>
      </c>
      <c r="I14" s="535">
        <f t="shared" si="2"/>
        <v>0</v>
      </c>
      <c r="J14" s="535">
        <f t="shared" si="2"/>
        <v>0</v>
      </c>
      <c r="K14" s="535">
        <f t="shared" si="2"/>
        <v>0</v>
      </c>
      <c r="L14" s="535">
        <f t="shared" si="2"/>
        <v>0</v>
      </c>
      <c r="M14" s="535">
        <f t="shared" si="2"/>
        <v>0</v>
      </c>
      <c r="N14" s="535">
        <f t="shared" si="2"/>
        <v>0</v>
      </c>
      <c r="O14" s="535">
        <f t="shared" si="2"/>
        <v>0</v>
      </c>
      <c r="P14" s="535">
        <f t="shared" ref="P14" si="12">P$3*P26</f>
        <v>0</v>
      </c>
    </row>
    <row r="15" spans="1:17">
      <c r="A15" s="528"/>
      <c r="B15" s="529" t="s">
        <v>3286</v>
      </c>
      <c r="C15" s="535">
        <f t="shared" si="2"/>
        <v>0</v>
      </c>
      <c r="D15" s="535">
        <f t="shared" si="2"/>
        <v>0</v>
      </c>
      <c r="E15" s="535">
        <f t="shared" si="2"/>
        <v>0</v>
      </c>
      <c r="F15" s="535">
        <f t="shared" si="2"/>
        <v>0</v>
      </c>
      <c r="G15" s="535">
        <f t="shared" si="2"/>
        <v>0</v>
      </c>
      <c r="H15" s="535">
        <f t="shared" si="2"/>
        <v>0</v>
      </c>
      <c r="I15" s="535">
        <f t="shared" si="2"/>
        <v>0</v>
      </c>
      <c r="J15" s="535">
        <f t="shared" si="2"/>
        <v>0</v>
      </c>
      <c r="K15" s="535">
        <f t="shared" si="2"/>
        <v>0</v>
      </c>
      <c r="L15" s="535">
        <f t="shared" si="2"/>
        <v>0</v>
      </c>
      <c r="M15" s="535">
        <f t="shared" si="2"/>
        <v>0</v>
      </c>
      <c r="N15" s="535">
        <f t="shared" si="2"/>
        <v>0</v>
      </c>
      <c r="O15" s="535">
        <f t="shared" si="2"/>
        <v>0</v>
      </c>
      <c r="P15" s="535">
        <f t="shared" ref="P15" si="13">P$3*P27</f>
        <v>0</v>
      </c>
    </row>
    <row r="16" spans="1:17" collapsed="1">
      <c r="A16" s="542"/>
      <c r="B16" s="542"/>
      <c r="C16" s="543">
        <f t="shared" ref="C16:O16" si="14">SUM(C5:C15)</f>
        <v>0</v>
      </c>
      <c r="D16" s="543">
        <f t="shared" si="14"/>
        <v>0</v>
      </c>
      <c r="E16" s="543">
        <f t="shared" si="14"/>
        <v>0</v>
      </c>
      <c r="F16" s="543">
        <f t="shared" si="14"/>
        <v>0</v>
      </c>
      <c r="G16" s="543">
        <f t="shared" si="14"/>
        <v>0</v>
      </c>
      <c r="H16" s="543">
        <f t="shared" si="14"/>
        <v>0</v>
      </c>
      <c r="I16" s="543">
        <f t="shared" si="14"/>
        <v>0</v>
      </c>
      <c r="J16" s="543">
        <f t="shared" si="14"/>
        <v>0</v>
      </c>
      <c r="K16" s="543">
        <f t="shared" si="14"/>
        <v>0</v>
      </c>
      <c r="L16" s="543">
        <f t="shared" si="14"/>
        <v>0</v>
      </c>
      <c r="M16" s="543">
        <f t="shared" si="14"/>
        <v>0</v>
      </c>
      <c r="N16" s="543">
        <f t="shared" si="14"/>
        <v>0</v>
      </c>
      <c r="O16" s="543">
        <f t="shared" si="14"/>
        <v>0</v>
      </c>
      <c r="P16" s="543">
        <f t="shared" ref="P16" si="15">SUM(P5:P15)</f>
        <v>0</v>
      </c>
    </row>
    <row r="17" spans="1:16" s="1018" customFormat="1">
      <c r="A17" s="1015"/>
      <c r="B17" s="1016" t="s">
        <v>3282</v>
      </c>
      <c r="C17" s="1043">
        <v>0.3</v>
      </c>
      <c r="D17" s="1017">
        <f t="shared" ref="D17:P26" si="16">C17</f>
        <v>0.3</v>
      </c>
      <c r="E17" s="1017">
        <f t="shared" si="16"/>
        <v>0.3</v>
      </c>
      <c r="F17" s="1017">
        <f t="shared" si="16"/>
        <v>0.3</v>
      </c>
      <c r="G17" s="1017">
        <f t="shared" si="16"/>
        <v>0.3</v>
      </c>
      <c r="H17" s="1017">
        <f t="shared" si="16"/>
        <v>0.3</v>
      </c>
      <c r="I17" s="1017">
        <f t="shared" si="16"/>
        <v>0.3</v>
      </c>
      <c r="J17" s="1017">
        <f t="shared" si="16"/>
        <v>0.3</v>
      </c>
      <c r="K17" s="1017">
        <f t="shared" si="16"/>
        <v>0.3</v>
      </c>
      <c r="L17" s="1017">
        <f t="shared" si="16"/>
        <v>0.3</v>
      </c>
      <c r="M17" s="1017">
        <f t="shared" si="16"/>
        <v>0.3</v>
      </c>
      <c r="N17" s="1017">
        <f t="shared" si="16"/>
        <v>0.3</v>
      </c>
      <c r="O17" s="1017">
        <f t="shared" si="16"/>
        <v>0.3</v>
      </c>
      <c r="P17" s="1017">
        <f t="shared" si="16"/>
        <v>0.3</v>
      </c>
    </row>
    <row r="18" spans="1:16" s="1018" customFormat="1">
      <c r="A18" s="1015"/>
      <c r="B18" s="1016" t="s">
        <v>3283</v>
      </c>
      <c r="C18" s="1043">
        <v>0.2</v>
      </c>
      <c r="D18" s="1017">
        <f t="shared" si="16"/>
        <v>0.2</v>
      </c>
      <c r="E18" s="1017">
        <f t="shared" si="16"/>
        <v>0.2</v>
      </c>
      <c r="F18" s="1017">
        <f t="shared" si="16"/>
        <v>0.2</v>
      </c>
      <c r="G18" s="1017">
        <f t="shared" si="16"/>
        <v>0.2</v>
      </c>
      <c r="H18" s="1017">
        <f t="shared" si="16"/>
        <v>0.2</v>
      </c>
      <c r="I18" s="1017">
        <f t="shared" si="16"/>
        <v>0.2</v>
      </c>
      <c r="J18" s="1017">
        <f t="shared" si="16"/>
        <v>0.2</v>
      </c>
      <c r="K18" s="1017">
        <f t="shared" si="16"/>
        <v>0.2</v>
      </c>
      <c r="L18" s="1017">
        <f t="shared" si="16"/>
        <v>0.2</v>
      </c>
      <c r="M18" s="1017">
        <f t="shared" si="16"/>
        <v>0.2</v>
      </c>
      <c r="N18" s="1017">
        <f t="shared" si="16"/>
        <v>0.2</v>
      </c>
      <c r="O18" s="1017">
        <f t="shared" si="16"/>
        <v>0.2</v>
      </c>
      <c r="P18" s="1017">
        <f t="shared" si="16"/>
        <v>0.2</v>
      </c>
    </row>
    <row r="19" spans="1:16" s="1018" customFormat="1">
      <c r="A19" s="1015"/>
      <c r="B19" s="1016" t="s">
        <v>3285</v>
      </c>
      <c r="C19" s="1043">
        <v>0.15</v>
      </c>
      <c r="D19" s="1017">
        <f t="shared" si="16"/>
        <v>0.15</v>
      </c>
      <c r="E19" s="1017">
        <f t="shared" si="16"/>
        <v>0.15</v>
      </c>
      <c r="F19" s="1017">
        <f t="shared" si="16"/>
        <v>0.15</v>
      </c>
      <c r="G19" s="1017">
        <f t="shared" si="16"/>
        <v>0.15</v>
      </c>
      <c r="H19" s="1017">
        <f t="shared" si="16"/>
        <v>0.15</v>
      </c>
      <c r="I19" s="1017">
        <f t="shared" si="16"/>
        <v>0.15</v>
      </c>
      <c r="J19" s="1017">
        <f t="shared" si="16"/>
        <v>0.15</v>
      </c>
      <c r="K19" s="1017">
        <f t="shared" si="16"/>
        <v>0.15</v>
      </c>
      <c r="L19" s="1017">
        <f t="shared" si="16"/>
        <v>0.15</v>
      </c>
      <c r="M19" s="1017">
        <f t="shared" si="16"/>
        <v>0.15</v>
      </c>
      <c r="N19" s="1017">
        <f t="shared" si="16"/>
        <v>0.15</v>
      </c>
      <c r="O19" s="1017">
        <f t="shared" si="16"/>
        <v>0.15</v>
      </c>
      <c r="P19" s="1017">
        <f t="shared" si="16"/>
        <v>0.15</v>
      </c>
    </row>
    <row r="20" spans="1:16" s="1018" customFormat="1">
      <c r="A20" s="1015"/>
      <c r="B20" s="1016" t="s">
        <v>3284</v>
      </c>
      <c r="C20" s="1043">
        <v>0.05</v>
      </c>
      <c r="D20" s="1017">
        <f t="shared" si="16"/>
        <v>0.05</v>
      </c>
      <c r="E20" s="1017">
        <f t="shared" si="16"/>
        <v>0.05</v>
      </c>
      <c r="F20" s="1017">
        <f t="shared" si="16"/>
        <v>0.05</v>
      </c>
      <c r="G20" s="1017">
        <f t="shared" si="16"/>
        <v>0.05</v>
      </c>
      <c r="H20" s="1017">
        <f t="shared" si="16"/>
        <v>0.05</v>
      </c>
      <c r="I20" s="1017">
        <f t="shared" si="16"/>
        <v>0.05</v>
      </c>
      <c r="J20" s="1017">
        <f t="shared" si="16"/>
        <v>0.05</v>
      </c>
      <c r="K20" s="1017">
        <f t="shared" si="16"/>
        <v>0.05</v>
      </c>
      <c r="L20" s="1017">
        <f t="shared" si="16"/>
        <v>0.05</v>
      </c>
      <c r="M20" s="1017">
        <f t="shared" si="16"/>
        <v>0.05</v>
      </c>
      <c r="N20" s="1017">
        <f t="shared" si="16"/>
        <v>0.05</v>
      </c>
      <c r="O20" s="1017">
        <f t="shared" si="16"/>
        <v>0.05</v>
      </c>
      <c r="P20" s="1017">
        <f t="shared" si="16"/>
        <v>0.05</v>
      </c>
    </row>
    <row r="21" spans="1:16" s="1018" customFormat="1">
      <c r="A21" s="1015"/>
      <c r="B21" s="1016" t="s">
        <v>3287</v>
      </c>
      <c r="C21" s="1043">
        <v>0.1</v>
      </c>
      <c r="D21" s="1017">
        <f t="shared" si="16"/>
        <v>0.1</v>
      </c>
      <c r="E21" s="1017">
        <f t="shared" si="16"/>
        <v>0.1</v>
      </c>
      <c r="F21" s="1017">
        <f t="shared" si="16"/>
        <v>0.1</v>
      </c>
      <c r="G21" s="1017">
        <f t="shared" si="16"/>
        <v>0.1</v>
      </c>
      <c r="H21" s="1017">
        <f t="shared" si="16"/>
        <v>0.1</v>
      </c>
      <c r="I21" s="1017">
        <f t="shared" si="16"/>
        <v>0.1</v>
      </c>
      <c r="J21" s="1017">
        <f t="shared" si="16"/>
        <v>0.1</v>
      </c>
      <c r="K21" s="1017">
        <f t="shared" si="16"/>
        <v>0.1</v>
      </c>
      <c r="L21" s="1017">
        <f t="shared" si="16"/>
        <v>0.1</v>
      </c>
      <c r="M21" s="1017">
        <f t="shared" si="16"/>
        <v>0.1</v>
      </c>
      <c r="N21" s="1017">
        <f t="shared" si="16"/>
        <v>0.1</v>
      </c>
      <c r="O21" s="1017">
        <f t="shared" si="16"/>
        <v>0.1</v>
      </c>
      <c r="P21" s="1017">
        <f t="shared" si="16"/>
        <v>0.1</v>
      </c>
    </row>
    <row r="22" spans="1:16" s="1018" customFormat="1">
      <c r="A22" s="1015"/>
      <c r="B22" s="1016" t="s">
        <v>3288</v>
      </c>
      <c r="C22" s="1043">
        <v>0.1</v>
      </c>
      <c r="D22" s="1017">
        <f t="shared" si="16"/>
        <v>0.1</v>
      </c>
      <c r="E22" s="1017">
        <f t="shared" si="16"/>
        <v>0.1</v>
      </c>
      <c r="F22" s="1017">
        <f t="shared" si="16"/>
        <v>0.1</v>
      </c>
      <c r="G22" s="1017">
        <f t="shared" si="16"/>
        <v>0.1</v>
      </c>
      <c r="H22" s="1017">
        <f t="shared" si="16"/>
        <v>0.1</v>
      </c>
      <c r="I22" s="1017">
        <f t="shared" si="16"/>
        <v>0.1</v>
      </c>
      <c r="J22" s="1017">
        <f t="shared" si="16"/>
        <v>0.1</v>
      </c>
      <c r="K22" s="1017">
        <f t="shared" si="16"/>
        <v>0.1</v>
      </c>
      <c r="L22" s="1017">
        <f t="shared" si="16"/>
        <v>0.1</v>
      </c>
      <c r="M22" s="1017">
        <f t="shared" si="16"/>
        <v>0.1</v>
      </c>
      <c r="N22" s="1017">
        <f t="shared" si="16"/>
        <v>0.1</v>
      </c>
      <c r="O22" s="1017">
        <f t="shared" si="16"/>
        <v>0.1</v>
      </c>
      <c r="P22" s="1017">
        <f t="shared" si="16"/>
        <v>0.1</v>
      </c>
    </row>
    <row r="23" spans="1:16" s="1018" customFormat="1">
      <c r="A23" s="1015"/>
      <c r="B23" s="1016" t="s">
        <v>3289</v>
      </c>
      <c r="C23" s="1043">
        <v>0.02</v>
      </c>
      <c r="D23" s="1017">
        <f t="shared" si="16"/>
        <v>0.02</v>
      </c>
      <c r="E23" s="1017">
        <f t="shared" si="16"/>
        <v>0.02</v>
      </c>
      <c r="F23" s="1017">
        <f t="shared" si="16"/>
        <v>0.02</v>
      </c>
      <c r="G23" s="1017">
        <f t="shared" si="16"/>
        <v>0.02</v>
      </c>
      <c r="H23" s="1017">
        <f t="shared" si="16"/>
        <v>0.02</v>
      </c>
      <c r="I23" s="1017">
        <f t="shared" si="16"/>
        <v>0.02</v>
      </c>
      <c r="J23" s="1017">
        <f t="shared" si="16"/>
        <v>0.02</v>
      </c>
      <c r="K23" s="1017">
        <f t="shared" si="16"/>
        <v>0.02</v>
      </c>
      <c r="L23" s="1017">
        <f t="shared" si="16"/>
        <v>0.02</v>
      </c>
      <c r="M23" s="1017">
        <f t="shared" si="16"/>
        <v>0.02</v>
      </c>
      <c r="N23" s="1017">
        <f t="shared" si="16"/>
        <v>0.02</v>
      </c>
      <c r="O23" s="1017">
        <f t="shared" si="16"/>
        <v>0.02</v>
      </c>
      <c r="P23" s="1017">
        <f t="shared" si="16"/>
        <v>0.02</v>
      </c>
    </row>
    <row r="24" spans="1:16" s="1018" customFormat="1">
      <c r="A24" s="1015"/>
      <c r="B24" s="1016" t="s">
        <v>3290</v>
      </c>
      <c r="C24" s="1043">
        <v>0.02</v>
      </c>
      <c r="D24" s="1017">
        <f t="shared" si="16"/>
        <v>0.02</v>
      </c>
      <c r="E24" s="1017">
        <f t="shared" si="16"/>
        <v>0.02</v>
      </c>
      <c r="F24" s="1017">
        <f t="shared" si="16"/>
        <v>0.02</v>
      </c>
      <c r="G24" s="1017">
        <f t="shared" si="16"/>
        <v>0.02</v>
      </c>
      <c r="H24" s="1017">
        <f t="shared" si="16"/>
        <v>0.02</v>
      </c>
      <c r="I24" s="1017">
        <f t="shared" si="16"/>
        <v>0.02</v>
      </c>
      <c r="J24" s="1017">
        <f t="shared" si="16"/>
        <v>0.02</v>
      </c>
      <c r="K24" s="1017">
        <f t="shared" si="16"/>
        <v>0.02</v>
      </c>
      <c r="L24" s="1017">
        <f t="shared" si="16"/>
        <v>0.02</v>
      </c>
      <c r="M24" s="1017">
        <f t="shared" si="16"/>
        <v>0.02</v>
      </c>
      <c r="N24" s="1017">
        <f t="shared" si="16"/>
        <v>0.02</v>
      </c>
      <c r="O24" s="1017">
        <f t="shared" si="16"/>
        <v>0.02</v>
      </c>
      <c r="P24" s="1017">
        <f t="shared" si="16"/>
        <v>0.02</v>
      </c>
    </row>
    <row r="25" spans="1:16" s="1018" customFormat="1">
      <c r="A25" s="1015"/>
      <c r="B25" s="1016" t="s">
        <v>3291</v>
      </c>
      <c r="C25" s="1043">
        <v>0.02</v>
      </c>
      <c r="D25" s="1017">
        <f t="shared" si="16"/>
        <v>0.02</v>
      </c>
      <c r="E25" s="1017">
        <f t="shared" si="16"/>
        <v>0.02</v>
      </c>
      <c r="F25" s="1017">
        <f t="shared" si="16"/>
        <v>0.02</v>
      </c>
      <c r="G25" s="1017">
        <f t="shared" si="16"/>
        <v>0.02</v>
      </c>
      <c r="H25" s="1017">
        <f t="shared" si="16"/>
        <v>0.02</v>
      </c>
      <c r="I25" s="1017">
        <f t="shared" si="16"/>
        <v>0.02</v>
      </c>
      <c r="J25" s="1017">
        <f t="shared" si="16"/>
        <v>0.02</v>
      </c>
      <c r="K25" s="1017">
        <f t="shared" si="16"/>
        <v>0.02</v>
      </c>
      <c r="L25" s="1017">
        <f t="shared" si="16"/>
        <v>0.02</v>
      </c>
      <c r="M25" s="1017">
        <f t="shared" si="16"/>
        <v>0.02</v>
      </c>
      <c r="N25" s="1017">
        <f t="shared" si="16"/>
        <v>0.02</v>
      </c>
      <c r="O25" s="1017">
        <f t="shared" si="16"/>
        <v>0.02</v>
      </c>
      <c r="P25" s="1017">
        <f t="shared" si="16"/>
        <v>0.02</v>
      </c>
    </row>
    <row r="26" spans="1:16" s="1018" customFormat="1">
      <c r="A26" s="1015"/>
      <c r="B26" s="1016" t="s">
        <v>3292</v>
      </c>
      <c r="C26" s="1043">
        <v>0.01</v>
      </c>
      <c r="D26" s="1017">
        <f t="shared" si="16"/>
        <v>0.01</v>
      </c>
      <c r="E26" s="1017">
        <f t="shared" si="16"/>
        <v>0.01</v>
      </c>
      <c r="F26" s="1017">
        <f t="shared" si="16"/>
        <v>0.01</v>
      </c>
      <c r="G26" s="1017">
        <f t="shared" si="16"/>
        <v>0.01</v>
      </c>
      <c r="H26" s="1017">
        <f t="shared" si="16"/>
        <v>0.01</v>
      </c>
      <c r="I26" s="1017">
        <f t="shared" si="16"/>
        <v>0.01</v>
      </c>
      <c r="J26" s="1017">
        <f t="shared" si="16"/>
        <v>0.01</v>
      </c>
      <c r="K26" s="1017">
        <f t="shared" si="16"/>
        <v>0.01</v>
      </c>
      <c r="L26" s="1017">
        <f t="shared" si="16"/>
        <v>0.01</v>
      </c>
      <c r="M26" s="1017">
        <f t="shared" si="16"/>
        <v>0.01</v>
      </c>
      <c r="N26" s="1017">
        <f t="shared" si="16"/>
        <v>0.01</v>
      </c>
      <c r="O26" s="1017">
        <f t="shared" si="16"/>
        <v>0.01</v>
      </c>
      <c r="P26" s="1017">
        <f t="shared" si="16"/>
        <v>0.01</v>
      </c>
    </row>
    <row r="27" spans="1:16" s="1018" customFormat="1">
      <c r="A27" s="1015"/>
      <c r="B27" s="1016" t="s">
        <v>3286</v>
      </c>
      <c r="C27" s="1017">
        <f>1-SUM(C17:C26)</f>
        <v>2.9999999999999916E-2</v>
      </c>
      <c r="D27" s="1017">
        <f t="shared" ref="D27:O27" si="17">1-SUM(D17:D26)</f>
        <v>2.9999999999999916E-2</v>
      </c>
      <c r="E27" s="1017">
        <f t="shared" si="17"/>
        <v>2.9999999999999916E-2</v>
      </c>
      <c r="F27" s="1017">
        <f t="shared" si="17"/>
        <v>2.9999999999999916E-2</v>
      </c>
      <c r="G27" s="1017">
        <f t="shared" si="17"/>
        <v>2.9999999999999916E-2</v>
      </c>
      <c r="H27" s="1017">
        <f t="shared" si="17"/>
        <v>2.9999999999999916E-2</v>
      </c>
      <c r="I27" s="1017">
        <f t="shared" si="17"/>
        <v>2.9999999999999916E-2</v>
      </c>
      <c r="J27" s="1017">
        <f t="shared" si="17"/>
        <v>2.9999999999999916E-2</v>
      </c>
      <c r="K27" s="1017">
        <f t="shared" si="17"/>
        <v>2.9999999999999916E-2</v>
      </c>
      <c r="L27" s="1017">
        <f t="shared" si="17"/>
        <v>2.9999999999999916E-2</v>
      </c>
      <c r="M27" s="1017">
        <f t="shared" si="17"/>
        <v>2.9999999999999916E-2</v>
      </c>
      <c r="N27" s="1017">
        <f t="shared" si="17"/>
        <v>2.9999999999999916E-2</v>
      </c>
      <c r="O27" s="1017">
        <f t="shared" si="17"/>
        <v>2.9999999999999916E-2</v>
      </c>
      <c r="P27" s="1017">
        <f t="shared" ref="P27" si="18">1-SUM(P17:P26)</f>
        <v>2.9999999999999916E-2</v>
      </c>
    </row>
    <row r="28" spans="1:16">
      <c r="A28" s="542"/>
      <c r="B28" s="542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7E929-F023-4484-9E83-6EF06740D43B}">
  <sheetPr>
    <tabColor theme="0"/>
  </sheetPr>
  <dimension ref="A1:P47"/>
  <sheetViews>
    <sheetView workbookViewId="0">
      <selection activeCell="D52" sqref="D52"/>
    </sheetView>
  </sheetViews>
  <sheetFormatPr baseColWidth="10" defaultColWidth="9.1640625" defaultRowHeight="15"/>
  <cols>
    <col min="1" max="1" width="3.6640625" style="515" customWidth="1"/>
    <col min="2" max="2" width="42.83203125" style="515" customWidth="1"/>
    <col min="3" max="15" width="10.6640625" style="515" customWidth="1"/>
    <col min="16" max="16" width="8.33203125" style="515" customWidth="1"/>
    <col min="17" max="16384" width="9.1640625" style="515"/>
  </cols>
  <sheetData>
    <row r="1" spans="1:15">
      <c r="A1" s="514"/>
      <c r="B1" s="514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</row>
    <row r="2" spans="1:15">
      <c r="A2" s="517"/>
      <c r="B2" s="517" t="s">
        <v>1136</v>
      </c>
      <c r="C2" s="520" t="s">
        <v>1144</v>
      </c>
      <c r="D2" s="520" t="s">
        <v>1145</v>
      </c>
      <c r="E2" s="520" t="s">
        <v>1146</v>
      </c>
      <c r="F2" s="520" t="s">
        <v>1147</v>
      </c>
      <c r="G2" s="520" t="s">
        <v>1148</v>
      </c>
      <c r="H2" s="520" t="s">
        <v>1149</v>
      </c>
      <c r="I2" s="520" t="s">
        <v>1150</v>
      </c>
      <c r="J2" s="520" t="s">
        <v>1151</v>
      </c>
      <c r="K2" s="520" t="s">
        <v>1152</v>
      </c>
      <c r="L2" s="520" t="s">
        <v>1153</v>
      </c>
      <c r="M2" s="520" t="s">
        <v>1154</v>
      </c>
      <c r="N2" s="520" t="s">
        <v>1155</v>
      </c>
      <c r="O2" s="520" t="s">
        <v>1156</v>
      </c>
    </row>
    <row r="3" spans="1:15">
      <c r="A3" s="521"/>
      <c r="B3" s="521"/>
      <c r="C3" s="524">
        <f>-('Hospit_Data_"A"'!M3-'Revenues"A"'!H56)</f>
        <v>0</v>
      </c>
      <c r="D3" s="524">
        <f>-('Hospit_Data_"A"'!N3-'Revenues"A"'!I56)</f>
        <v>0</v>
      </c>
      <c r="E3" s="524">
        <f>-('Hospit_Data_"A"'!O3-'Revenues"A"'!J56)</f>
        <v>0</v>
      </c>
      <c r="F3" s="524">
        <f>-('Hospit_Data_"A"'!P3-'Revenues"A"'!K56)</f>
        <v>0</v>
      </c>
      <c r="G3" s="524">
        <f>-('Hospit_Data_"A"'!Q3-'Revenues"A"'!L56)</f>
        <v>-7.2759576141834259E-12</v>
      </c>
      <c r="H3" s="524">
        <f>-('Hospit_Data_"A"'!R3-'Revenues"A"'!M56)</f>
        <v>-7.2759576141834259E-12</v>
      </c>
      <c r="I3" s="524">
        <f>-('Hospit_Data_"A"'!S3-'Revenues"A"'!N56)</f>
        <v>2048.7229631746741</v>
      </c>
      <c r="J3" s="524">
        <f>-('Hospit_Data_"A"'!T3-'Revenues"A"'!O56)</f>
        <v>4152.9749586801699</v>
      </c>
      <c r="K3" s="524">
        <f>-('Hospit_Data_"A"'!U3-'Revenues"A"'!P56)</f>
        <v>4152.8147605338963</v>
      </c>
      <c r="L3" s="524">
        <f>-('Hospit_Data_"A"'!V3-'Revenues"A"'!Q56)</f>
        <v>4149.9947431134206</v>
      </c>
      <c r="M3" s="524">
        <f>-('Hospit_Data_"A"'!W3-'Revenues"A"'!R56)</f>
        <v>4148.0456503885289</v>
      </c>
      <c r="N3" s="524">
        <f>-('Hospit_Data_"A"'!X3-'Revenues"A"'!S56)</f>
        <v>4144.5630935368026</v>
      </c>
      <c r="O3" s="524">
        <f>-('Hospit_Data_"A"'!Y3-'Revenues"A"'!T56)</f>
        <v>4138.139982693654</v>
      </c>
    </row>
    <row r="4" spans="1:15">
      <c r="A4" s="525"/>
      <c r="B4" s="526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</row>
    <row r="5" spans="1:15">
      <c r="A5" s="528"/>
      <c r="B5" s="529" t="s">
        <v>3282</v>
      </c>
      <c r="C5" s="535">
        <f t="shared" ref="C5:C12" si="0">C$3*C17</f>
        <v>0</v>
      </c>
      <c r="D5" s="535">
        <f t="shared" ref="D5:O5" si="1">D$3*D17</f>
        <v>0</v>
      </c>
      <c r="E5" s="535">
        <f t="shared" si="1"/>
        <v>0</v>
      </c>
      <c r="F5" s="535">
        <f t="shared" si="1"/>
        <v>0</v>
      </c>
      <c r="G5" s="535">
        <f t="shared" si="1"/>
        <v>-7.2759576141834263E-13</v>
      </c>
      <c r="H5" s="535">
        <f t="shared" si="1"/>
        <v>-7.2759576141834263E-13</v>
      </c>
      <c r="I5" s="535">
        <f t="shared" si="1"/>
        <v>204.87229631746743</v>
      </c>
      <c r="J5" s="535">
        <f t="shared" si="1"/>
        <v>415.29749586801699</v>
      </c>
      <c r="K5" s="535">
        <f t="shared" si="1"/>
        <v>415.28147605338967</v>
      </c>
      <c r="L5" s="535">
        <f t="shared" si="1"/>
        <v>414.99947431134206</v>
      </c>
      <c r="M5" s="535">
        <f t="shared" si="1"/>
        <v>414.8045650388529</v>
      </c>
      <c r="N5" s="535">
        <f t="shared" si="1"/>
        <v>414.4563093536803</v>
      </c>
      <c r="O5" s="535">
        <f t="shared" si="1"/>
        <v>413.81399826936541</v>
      </c>
    </row>
    <row r="6" spans="1:15">
      <c r="A6" s="528"/>
      <c r="B6" s="529" t="s">
        <v>3283</v>
      </c>
      <c r="C6" s="535">
        <f t="shared" si="0"/>
        <v>0</v>
      </c>
      <c r="D6" s="535">
        <f t="shared" ref="D6:O6" si="2">D$3*D18</f>
        <v>0</v>
      </c>
      <c r="E6" s="535">
        <f t="shared" si="2"/>
        <v>0</v>
      </c>
      <c r="F6" s="535">
        <f t="shared" si="2"/>
        <v>0</v>
      </c>
      <c r="G6" s="535">
        <f t="shared" si="2"/>
        <v>3.0559021979570388E-12</v>
      </c>
      <c r="H6" s="535">
        <f t="shared" si="2"/>
        <v>3.0559021979570388E-12</v>
      </c>
      <c r="I6" s="535">
        <f t="shared" si="2"/>
        <v>-860.46364453336309</v>
      </c>
      <c r="J6" s="535">
        <f t="shared" si="2"/>
        <v>-1744.2494826456714</v>
      </c>
      <c r="K6" s="535">
        <f t="shared" si="2"/>
        <v>-1744.1821994242364</v>
      </c>
      <c r="L6" s="535">
        <f t="shared" si="2"/>
        <v>-1742.9977921076365</v>
      </c>
      <c r="M6" s="535">
        <f t="shared" si="2"/>
        <v>-1742.179173163182</v>
      </c>
      <c r="N6" s="535">
        <f t="shared" si="2"/>
        <v>-1740.7164992854571</v>
      </c>
      <c r="O6" s="535">
        <f t="shared" si="2"/>
        <v>-1738.0187927313345</v>
      </c>
    </row>
    <row r="7" spans="1:15">
      <c r="A7" s="528"/>
      <c r="B7" s="529" t="s">
        <v>3285</v>
      </c>
      <c r="C7" s="535">
        <f t="shared" si="0"/>
        <v>0</v>
      </c>
      <c r="D7" s="535">
        <f t="shared" ref="D7:O7" si="3">D$3*D19</f>
        <v>0</v>
      </c>
      <c r="E7" s="535">
        <f t="shared" si="3"/>
        <v>0</v>
      </c>
      <c r="F7" s="535">
        <f t="shared" si="3"/>
        <v>0</v>
      </c>
      <c r="G7" s="535">
        <f t="shared" si="3"/>
        <v>-1.8189894035458565E-12</v>
      </c>
      <c r="H7" s="535">
        <f t="shared" si="3"/>
        <v>-1.8189894035458565E-12</v>
      </c>
      <c r="I7" s="535">
        <f t="shared" si="3"/>
        <v>512.18074079366852</v>
      </c>
      <c r="J7" s="535">
        <f t="shared" si="3"/>
        <v>1038.2437396700425</v>
      </c>
      <c r="K7" s="535">
        <f t="shared" si="3"/>
        <v>1038.2036901334741</v>
      </c>
      <c r="L7" s="535">
        <f t="shared" si="3"/>
        <v>1037.4986857783551</v>
      </c>
      <c r="M7" s="535">
        <f t="shared" si="3"/>
        <v>1037.0114125971322</v>
      </c>
      <c r="N7" s="535">
        <f t="shared" si="3"/>
        <v>1036.1407733842007</v>
      </c>
      <c r="O7" s="535">
        <f t="shared" si="3"/>
        <v>1034.5349956734135</v>
      </c>
    </row>
    <row r="8" spans="1:15">
      <c r="A8" s="528"/>
      <c r="B8" s="529" t="s">
        <v>3284</v>
      </c>
      <c r="C8" s="535">
        <f t="shared" si="0"/>
        <v>0</v>
      </c>
      <c r="D8" s="535">
        <f t="shared" ref="D8:O8" si="4">D$3*D20</f>
        <v>0</v>
      </c>
      <c r="E8" s="535">
        <f t="shared" si="4"/>
        <v>0</v>
      </c>
      <c r="F8" s="535">
        <f t="shared" si="4"/>
        <v>0</v>
      </c>
      <c r="G8" s="535">
        <f t="shared" si="4"/>
        <v>-2.9103830456733705E-12</v>
      </c>
      <c r="H8" s="535">
        <f t="shared" si="4"/>
        <v>-2.9103830456733705E-12</v>
      </c>
      <c r="I8" s="535">
        <f t="shared" si="4"/>
        <v>819.48918526986972</v>
      </c>
      <c r="J8" s="535">
        <f t="shared" si="4"/>
        <v>1661.189983472068</v>
      </c>
      <c r="K8" s="535">
        <f t="shared" si="4"/>
        <v>1661.1259042135587</v>
      </c>
      <c r="L8" s="535">
        <f t="shared" si="4"/>
        <v>1659.9978972453682</v>
      </c>
      <c r="M8" s="535">
        <f t="shared" si="4"/>
        <v>1659.2182601554116</v>
      </c>
      <c r="N8" s="535">
        <f t="shared" si="4"/>
        <v>1657.8252374147212</v>
      </c>
      <c r="O8" s="535">
        <f t="shared" si="4"/>
        <v>1655.2559930774617</v>
      </c>
    </row>
    <row r="9" spans="1:15">
      <c r="A9" s="528"/>
      <c r="B9" s="529" t="s">
        <v>3287</v>
      </c>
      <c r="C9" s="535">
        <f t="shared" si="0"/>
        <v>0</v>
      </c>
      <c r="D9" s="535">
        <f t="shared" ref="D9:O9" si="5">D$3*D21</f>
        <v>0</v>
      </c>
      <c r="E9" s="535">
        <f t="shared" si="5"/>
        <v>0</v>
      </c>
      <c r="F9" s="535">
        <f t="shared" si="5"/>
        <v>0</v>
      </c>
      <c r="G9" s="535">
        <f t="shared" si="5"/>
        <v>1.8189894035458565E-12</v>
      </c>
      <c r="H9" s="535">
        <f t="shared" si="5"/>
        <v>1.8189894035458565E-12</v>
      </c>
      <c r="I9" s="535">
        <f t="shared" si="5"/>
        <v>-512.18074079366852</v>
      </c>
      <c r="J9" s="535">
        <f t="shared" si="5"/>
        <v>-1038.2437396700425</v>
      </c>
      <c r="K9" s="535">
        <f t="shared" si="5"/>
        <v>-1038.2036901334741</v>
      </c>
      <c r="L9" s="535">
        <f t="shared" si="5"/>
        <v>-1037.4986857783551</v>
      </c>
      <c r="M9" s="535">
        <f t="shared" si="5"/>
        <v>-1037.0114125971322</v>
      </c>
      <c r="N9" s="535">
        <f t="shared" si="5"/>
        <v>-1036.1407733842007</v>
      </c>
      <c r="O9" s="535">
        <f t="shared" si="5"/>
        <v>-1034.5349956734135</v>
      </c>
    </row>
    <row r="10" spans="1:15">
      <c r="A10" s="528"/>
      <c r="B10" s="529" t="s">
        <v>3288</v>
      </c>
      <c r="C10" s="535">
        <f t="shared" si="0"/>
        <v>0</v>
      </c>
      <c r="D10" s="535">
        <f t="shared" ref="D10:O10" si="6">D$3*D22</f>
        <v>0</v>
      </c>
      <c r="E10" s="535">
        <f t="shared" si="6"/>
        <v>0</v>
      </c>
      <c r="F10" s="535">
        <f t="shared" si="6"/>
        <v>0</v>
      </c>
      <c r="G10" s="535">
        <f t="shared" si="6"/>
        <v>-3.1286617740988731E-12</v>
      </c>
      <c r="H10" s="535">
        <f t="shared" si="6"/>
        <v>-3.1286617740988731E-12</v>
      </c>
      <c r="I10" s="535">
        <f t="shared" si="6"/>
        <v>880.95087416510989</v>
      </c>
      <c r="J10" s="535">
        <f t="shared" si="6"/>
        <v>1785.7792322324731</v>
      </c>
      <c r="K10" s="535">
        <f t="shared" si="6"/>
        <v>1785.7103470295754</v>
      </c>
      <c r="L10" s="535">
        <f t="shared" si="6"/>
        <v>1784.4977395387707</v>
      </c>
      <c r="M10" s="535">
        <f t="shared" si="6"/>
        <v>1783.6596296670673</v>
      </c>
      <c r="N10" s="535">
        <f t="shared" si="6"/>
        <v>1782.162130220825</v>
      </c>
      <c r="O10" s="535">
        <f t="shared" si="6"/>
        <v>1779.4001925582711</v>
      </c>
    </row>
    <row r="11" spans="1:15">
      <c r="A11" s="528"/>
      <c r="B11" s="529" t="s">
        <v>3289</v>
      </c>
      <c r="C11" s="535">
        <f t="shared" si="0"/>
        <v>0</v>
      </c>
      <c r="D11" s="535">
        <f t="shared" ref="D11:O11" si="7">D$3*D23</f>
        <v>0</v>
      </c>
      <c r="E11" s="535">
        <f t="shared" si="7"/>
        <v>0</v>
      </c>
      <c r="F11" s="535">
        <f t="shared" si="7"/>
        <v>0</v>
      </c>
      <c r="G11" s="535">
        <f t="shared" si="7"/>
        <v>-2.5465851649641993E-13</v>
      </c>
      <c r="H11" s="535">
        <f t="shared" si="7"/>
        <v>-2.5465851649641993E-13</v>
      </c>
      <c r="I11" s="535">
        <f t="shared" si="7"/>
        <v>71.705303711113601</v>
      </c>
      <c r="J11" s="535">
        <f t="shared" si="7"/>
        <v>145.35412355380595</v>
      </c>
      <c r="K11" s="535">
        <f t="shared" si="7"/>
        <v>145.34851661868638</v>
      </c>
      <c r="L11" s="535">
        <f t="shared" si="7"/>
        <v>145.24981600896973</v>
      </c>
      <c r="M11" s="535">
        <f t="shared" si="7"/>
        <v>145.18159776359852</v>
      </c>
      <c r="N11" s="535">
        <f t="shared" si="7"/>
        <v>145.05970827378812</v>
      </c>
      <c r="O11" s="535">
        <f t="shared" si="7"/>
        <v>144.8348993942779</v>
      </c>
    </row>
    <row r="12" spans="1:15">
      <c r="A12" s="528"/>
      <c r="B12" s="529" t="s">
        <v>3290</v>
      </c>
      <c r="C12" s="535">
        <f t="shared" si="0"/>
        <v>0</v>
      </c>
      <c r="D12" s="535">
        <f t="shared" ref="D12:O12" si="8">D$3*D24</f>
        <v>0</v>
      </c>
      <c r="E12" s="535">
        <f t="shared" si="8"/>
        <v>0</v>
      </c>
      <c r="F12" s="535">
        <f t="shared" si="8"/>
        <v>0</v>
      </c>
      <c r="G12" s="535">
        <f t="shared" si="8"/>
        <v>-1.4551915228366852E-13</v>
      </c>
      <c r="H12" s="535">
        <f t="shared" si="8"/>
        <v>-1.4551915228366852E-13</v>
      </c>
      <c r="I12" s="535">
        <f t="shared" si="8"/>
        <v>40.974459263493479</v>
      </c>
      <c r="J12" s="535">
        <f t="shared" si="8"/>
        <v>83.059499173603399</v>
      </c>
      <c r="K12" s="535">
        <f t="shared" si="8"/>
        <v>83.056295210677931</v>
      </c>
      <c r="L12" s="535">
        <f t="shared" si="8"/>
        <v>82.99989486226842</v>
      </c>
      <c r="M12" s="535">
        <f t="shared" si="8"/>
        <v>82.960913007770586</v>
      </c>
      <c r="N12" s="535">
        <f t="shared" si="8"/>
        <v>82.891261870736059</v>
      </c>
      <c r="O12" s="535">
        <f t="shared" si="8"/>
        <v>82.762799653873088</v>
      </c>
    </row>
    <row r="13" spans="1:15">
      <c r="A13" s="528"/>
      <c r="B13" s="529" t="s">
        <v>3291</v>
      </c>
      <c r="C13" s="535">
        <f t="shared" ref="C13:O13" si="9">C$3*C25</f>
        <v>0</v>
      </c>
      <c r="D13" s="535">
        <f t="shared" si="9"/>
        <v>0</v>
      </c>
      <c r="E13" s="535">
        <f t="shared" si="9"/>
        <v>0</v>
      </c>
      <c r="F13" s="535">
        <f t="shared" si="9"/>
        <v>0</v>
      </c>
      <c r="G13" s="535">
        <f t="shared" si="9"/>
        <v>-1.4551915228366852E-13</v>
      </c>
      <c r="H13" s="535">
        <f t="shared" si="9"/>
        <v>-1.4551915228366852E-13</v>
      </c>
      <c r="I13" s="535">
        <f t="shared" si="9"/>
        <v>40.974459263493479</v>
      </c>
      <c r="J13" s="535">
        <f t="shared" si="9"/>
        <v>83.059499173603399</v>
      </c>
      <c r="K13" s="535">
        <f t="shared" si="9"/>
        <v>83.056295210677931</v>
      </c>
      <c r="L13" s="535">
        <f t="shared" si="9"/>
        <v>82.99989486226842</v>
      </c>
      <c r="M13" s="535">
        <f t="shared" si="9"/>
        <v>82.960913007770586</v>
      </c>
      <c r="N13" s="535">
        <f t="shared" si="9"/>
        <v>82.891261870736059</v>
      </c>
      <c r="O13" s="535">
        <f t="shared" si="9"/>
        <v>82.762799653873088</v>
      </c>
    </row>
    <row r="14" spans="1:15">
      <c r="A14" s="528"/>
      <c r="B14" s="529" t="s">
        <v>3292</v>
      </c>
      <c r="C14" s="535">
        <f t="shared" ref="C14:O14" si="10">C$3*C26</f>
        <v>0</v>
      </c>
      <c r="D14" s="535">
        <f t="shared" si="10"/>
        <v>0</v>
      </c>
      <c r="E14" s="535">
        <f t="shared" si="10"/>
        <v>0</v>
      </c>
      <c r="F14" s="535">
        <f t="shared" si="10"/>
        <v>0</v>
      </c>
      <c r="G14" s="535">
        <f t="shared" si="10"/>
        <v>-5.8207660913467408E-13</v>
      </c>
      <c r="H14" s="535">
        <f t="shared" si="10"/>
        <v>-5.8207660913467408E-13</v>
      </c>
      <c r="I14" s="535">
        <f t="shared" si="10"/>
        <v>163.89783705397392</v>
      </c>
      <c r="J14" s="535">
        <f t="shared" si="10"/>
        <v>332.2379966944136</v>
      </c>
      <c r="K14" s="535">
        <f t="shared" si="10"/>
        <v>332.22518084271172</v>
      </c>
      <c r="L14" s="535">
        <f t="shared" si="10"/>
        <v>331.99957944907368</v>
      </c>
      <c r="M14" s="535">
        <f t="shared" si="10"/>
        <v>331.84365203108234</v>
      </c>
      <c r="N14" s="535">
        <f t="shared" si="10"/>
        <v>331.56504748294424</v>
      </c>
      <c r="O14" s="535">
        <f t="shared" si="10"/>
        <v>331.05119861549235</v>
      </c>
    </row>
    <row r="15" spans="1:15">
      <c r="A15" s="528"/>
      <c r="B15" s="529" t="s">
        <v>3286</v>
      </c>
      <c r="C15" s="535">
        <f t="shared" ref="C15:O15" si="11">C$3*C27</f>
        <v>0</v>
      </c>
      <c r="D15" s="535">
        <f t="shared" si="11"/>
        <v>0</v>
      </c>
      <c r="E15" s="535">
        <f t="shared" si="11"/>
        <v>0</v>
      </c>
      <c r="F15" s="535">
        <f t="shared" si="11"/>
        <v>0</v>
      </c>
      <c r="G15" s="535">
        <f t="shared" si="11"/>
        <v>-2.4374458007514474E-12</v>
      </c>
      <c r="H15" s="535">
        <f t="shared" si="11"/>
        <v>-2.4374458007514474E-12</v>
      </c>
      <c r="I15" s="535">
        <f t="shared" si="11"/>
        <v>686.32219266351569</v>
      </c>
      <c r="J15" s="535">
        <f t="shared" si="11"/>
        <v>1391.2466111578567</v>
      </c>
      <c r="K15" s="535">
        <f t="shared" si="11"/>
        <v>1391.1929447788552</v>
      </c>
      <c r="L15" s="535">
        <f t="shared" si="11"/>
        <v>1390.2482389429958</v>
      </c>
      <c r="M15" s="535">
        <f t="shared" si="11"/>
        <v>1389.5952928801571</v>
      </c>
      <c r="N15" s="535">
        <f t="shared" si="11"/>
        <v>1388.4286363348288</v>
      </c>
      <c r="O15" s="535">
        <f t="shared" si="11"/>
        <v>1386.276894202374</v>
      </c>
    </row>
    <row r="16" spans="1:15" collapsed="1">
      <c r="A16" s="542"/>
      <c r="B16" s="542"/>
      <c r="C16" s="543">
        <f t="shared" ref="C16:O16" si="12">SUM(C5:C15)</f>
        <v>0</v>
      </c>
      <c r="D16" s="543">
        <f t="shared" si="12"/>
        <v>0</v>
      </c>
      <c r="E16" s="543">
        <f t="shared" si="12"/>
        <v>0</v>
      </c>
      <c r="F16" s="543">
        <f t="shared" si="12"/>
        <v>0</v>
      </c>
      <c r="G16" s="543">
        <f t="shared" si="12"/>
        <v>-7.2759576141834259E-12</v>
      </c>
      <c r="H16" s="543">
        <f t="shared" si="12"/>
        <v>-7.2759576141834259E-12</v>
      </c>
      <c r="I16" s="543">
        <f t="shared" si="12"/>
        <v>2048.7229631746741</v>
      </c>
      <c r="J16" s="543">
        <f t="shared" si="12"/>
        <v>4152.9749586801699</v>
      </c>
      <c r="K16" s="543">
        <f t="shared" si="12"/>
        <v>4152.8147605338963</v>
      </c>
      <c r="L16" s="543">
        <f t="shared" si="12"/>
        <v>4149.9947431134206</v>
      </c>
      <c r="M16" s="543">
        <f t="shared" si="12"/>
        <v>4148.0456503885289</v>
      </c>
      <c r="N16" s="543">
        <f t="shared" si="12"/>
        <v>4144.5630935368026</v>
      </c>
      <c r="O16" s="543">
        <f t="shared" si="12"/>
        <v>4138.139982693654</v>
      </c>
    </row>
    <row r="17" spans="1:15" s="1018" customFormat="1">
      <c r="A17" s="1015"/>
      <c r="B17" s="1016" t="s">
        <v>3282</v>
      </c>
      <c r="C17" s="1043">
        <v>0.1</v>
      </c>
      <c r="D17" s="1017">
        <f t="shared" ref="D17:O26" si="13">C17</f>
        <v>0.1</v>
      </c>
      <c r="E17" s="1017">
        <f t="shared" si="13"/>
        <v>0.1</v>
      </c>
      <c r="F17" s="1017">
        <f t="shared" si="13"/>
        <v>0.1</v>
      </c>
      <c r="G17" s="1017">
        <f t="shared" si="13"/>
        <v>0.1</v>
      </c>
      <c r="H17" s="1017">
        <f t="shared" si="13"/>
        <v>0.1</v>
      </c>
      <c r="I17" s="1017">
        <f t="shared" si="13"/>
        <v>0.1</v>
      </c>
      <c r="J17" s="1017">
        <f t="shared" si="13"/>
        <v>0.1</v>
      </c>
      <c r="K17" s="1017">
        <f t="shared" si="13"/>
        <v>0.1</v>
      </c>
      <c r="L17" s="1017">
        <f t="shared" si="13"/>
        <v>0.1</v>
      </c>
      <c r="M17" s="1017">
        <f t="shared" si="13"/>
        <v>0.1</v>
      </c>
      <c r="N17" s="1017">
        <f t="shared" si="13"/>
        <v>0.1</v>
      </c>
      <c r="O17" s="1017">
        <f t="shared" si="13"/>
        <v>0.1</v>
      </c>
    </row>
    <row r="18" spans="1:15" s="1018" customFormat="1">
      <c r="A18" s="1015"/>
      <c r="B18" s="1016" t="s">
        <v>3283</v>
      </c>
      <c r="C18" s="1043">
        <v>-0.42</v>
      </c>
      <c r="D18" s="1017">
        <f t="shared" si="13"/>
        <v>-0.42</v>
      </c>
      <c r="E18" s="1017">
        <f t="shared" si="13"/>
        <v>-0.42</v>
      </c>
      <c r="F18" s="1017">
        <f t="shared" si="13"/>
        <v>-0.42</v>
      </c>
      <c r="G18" s="1017">
        <f t="shared" si="13"/>
        <v>-0.42</v>
      </c>
      <c r="H18" s="1017">
        <f t="shared" si="13"/>
        <v>-0.42</v>
      </c>
      <c r="I18" s="1017">
        <f t="shared" si="13"/>
        <v>-0.42</v>
      </c>
      <c r="J18" s="1017">
        <f t="shared" si="13"/>
        <v>-0.42</v>
      </c>
      <c r="K18" s="1017">
        <f t="shared" si="13"/>
        <v>-0.42</v>
      </c>
      <c r="L18" s="1017">
        <f t="shared" si="13"/>
        <v>-0.42</v>
      </c>
      <c r="M18" s="1017">
        <f t="shared" si="13"/>
        <v>-0.42</v>
      </c>
      <c r="N18" s="1017">
        <f t="shared" si="13"/>
        <v>-0.42</v>
      </c>
      <c r="O18" s="1017">
        <f t="shared" si="13"/>
        <v>-0.42</v>
      </c>
    </row>
    <row r="19" spans="1:15" s="1018" customFormat="1">
      <c r="A19" s="1015"/>
      <c r="B19" s="1016" t="s">
        <v>3285</v>
      </c>
      <c r="C19" s="1043">
        <v>0.25</v>
      </c>
      <c r="D19" s="1017">
        <f t="shared" si="13"/>
        <v>0.25</v>
      </c>
      <c r="E19" s="1017">
        <f t="shared" si="13"/>
        <v>0.25</v>
      </c>
      <c r="F19" s="1017">
        <f t="shared" si="13"/>
        <v>0.25</v>
      </c>
      <c r="G19" s="1017">
        <f t="shared" si="13"/>
        <v>0.25</v>
      </c>
      <c r="H19" s="1017">
        <f t="shared" si="13"/>
        <v>0.25</v>
      </c>
      <c r="I19" s="1017">
        <f t="shared" si="13"/>
        <v>0.25</v>
      </c>
      <c r="J19" s="1017">
        <f t="shared" si="13"/>
        <v>0.25</v>
      </c>
      <c r="K19" s="1017">
        <f t="shared" si="13"/>
        <v>0.25</v>
      </c>
      <c r="L19" s="1017">
        <f t="shared" si="13"/>
        <v>0.25</v>
      </c>
      <c r="M19" s="1017">
        <f t="shared" si="13"/>
        <v>0.25</v>
      </c>
      <c r="N19" s="1017">
        <f t="shared" si="13"/>
        <v>0.25</v>
      </c>
      <c r="O19" s="1017">
        <f t="shared" si="13"/>
        <v>0.25</v>
      </c>
    </row>
    <row r="20" spans="1:15" s="1018" customFormat="1">
      <c r="A20" s="1015"/>
      <c r="B20" s="1016" t="s">
        <v>3284</v>
      </c>
      <c r="C20" s="1043">
        <v>0.4</v>
      </c>
      <c r="D20" s="1017">
        <f t="shared" si="13"/>
        <v>0.4</v>
      </c>
      <c r="E20" s="1017">
        <f t="shared" si="13"/>
        <v>0.4</v>
      </c>
      <c r="F20" s="1017">
        <f t="shared" si="13"/>
        <v>0.4</v>
      </c>
      <c r="G20" s="1017">
        <f t="shared" si="13"/>
        <v>0.4</v>
      </c>
      <c r="H20" s="1017">
        <f t="shared" si="13"/>
        <v>0.4</v>
      </c>
      <c r="I20" s="1017">
        <f t="shared" si="13"/>
        <v>0.4</v>
      </c>
      <c r="J20" s="1017">
        <f t="shared" si="13"/>
        <v>0.4</v>
      </c>
      <c r="K20" s="1017">
        <f t="shared" si="13"/>
        <v>0.4</v>
      </c>
      <c r="L20" s="1017">
        <f t="shared" si="13"/>
        <v>0.4</v>
      </c>
      <c r="M20" s="1017">
        <f t="shared" si="13"/>
        <v>0.4</v>
      </c>
      <c r="N20" s="1017">
        <f t="shared" si="13"/>
        <v>0.4</v>
      </c>
      <c r="O20" s="1017">
        <f t="shared" si="13"/>
        <v>0.4</v>
      </c>
    </row>
    <row r="21" spans="1:15" s="1018" customFormat="1">
      <c r="A21" s="1015"/>
      <c r="B21" s="1016" t="s">
        <v>3287</v>
      </c>
      <c r="C21" s="1043">
        <v>-0.25</v>
      </c>
      <c r="D21" s="1017">
        <f t="shared" si="13"/>
        <v>-0.25</v>
      </c>
      <c r="E21" s="1017">
        <f t="shared" si="13"/>
        <v>-0.25</v>
      </c>
      <c r="F21" s="1017">
        <f t="shared" si="13"/>
        <v>-0.25</v>
      </c>
      <c r="G21" s="1017">
        <f t="shared" si="13"/>
        <v>-0.25</v>
      </c>
      <c r="H21" s="1017">
        <f t="shared" si="13"/>
        <v>-0.25</v>
      </c>
      <c r="I21" s="1017">
        <f t="shared" si="13"/>
        <v>-0.25</v>
      </c>
      <c r="J21" s="1017">
        <f t="shared" si="13"/>
        <v>-0.25</v>
      </c>
      <c r="K21" s="1017">
        <f t="shared" si="13"/>
        <v>-0.25</v>
      </c>
      <c r="L21" s="1017">
        <f t="shared" si="13"/>
        <v>-0.25</v>
      </c>
      <c r="M21" s="1017">
        <f t="shared" si="13"/>
        <v>-0.25</v>
      </c>
      <c r="N21" s="1017">
        <f t="shared" si="13"/>
        <v>-0.25</v>
      </c>
      <c r="O21" s="1017">
        <f t="shared" si="13"/>
        <v>-0.25</v>
      </c>
    </row>
    <row r="22" spans="1:15" s="1018" customFormat="1">
      <c r="A22" s="1015"/>
      <c r="B22" s="1016" t="s">
        <v>3288</v>
      </c>
      <c r="C22" s="1043">
        <v>0.43</v>
      </c>
      <c r="D22" s="1017">
        <f t="shared" si="13"/>
        <v>0.43</v>
      </c>
      <c r="E22" s="1017">
        <f t="shared" si="13"/>
        <v>0.43</v>
      </c>
      <c r="F22" s="1017">
        <f t="shared" si="13"/>
        <v>0.43</v>
      </c>
      <c r="G22" s="1017">
        <f t="shared" si="13"/>
        <v>0.43</v>
      </c>
      <c r="H22" s="1017">
        <f t="shared" si="13"/>
        <v>0.43</v>
      </c>
      <c r="I22" s="1017">
        <f t="shared" si="13"/>
        <v>0.43</v>
      </c>
      <c r="J22" s="1017">
        <f t="shared" si="13"/>
        <v>0.43</v>
      </c>
      <c r="K22" s="1017">
        <f t="shared" si="13"/>
        <v>0.43</v>
      </c>
      <c r="L22" s="1017">
        <f t="shared" si="13"/>
        <v>0.43</v>
      </c>
      <c r="M22" s="1017">
        <f t="shared" si="13"/>
        <v>0.43</v>
      </c>
      <c r="N22" s="1017">
        <f t="shared" si="13"/>
        <v>0.43</v>
      </c>
      <c r="O22" s="1017">
        <f t="shared" si="13"/>
        <v>0.43</v>
      </c>
    </row>
    <row r="23" spans="1:15" s="1018" customFormat="1">
      <c r="A23" s="1015"/>
      <c r="B23" s="1016" t="s">
        <v>3289</v>
      </c>
      <c r="C23" s="1043">
        <v>3.5000000000000003E-2</v>
      </c>
      <c r="D23" s="1017">
        <f t="shared" si="13"/>
        <v>3.5000000000000003E-2</v>
      </c>
      <c r="E23" s="1017">
        <f t="shared" si="13"/>
        <v>3.5000000000000003E-2</v>
      </c>
      <c r="F23" s="1017">
        <f t="shared" si="13"/>
        <v>3.5000000000000003E-2</v>
      </c>
      <c r="G23" s="1017">
        <f t="shared" si="13"/>
        <v>3.5000000000000003E-2</v>
      </c>
      <c r="H23" s="1017">
        <f t="shared" si="13"/>
        <v>3.5000000000000003E-2</v>
      </c>
      <c r="I23" s="1017">
        <f t="shared" si="13"/>
        <v>3.5000000000000003E-2</v>
      </c>
      <c r="J23" s="1017">
        <f t="shared" si="13"/>
        <v>3.5000000000000003E-2</v>
      </c>
      <c r="K23" s="1017">
        <f t="shared" si="13"/>
        <v>3.5000000000000003E-2</v>
      </c>
      <c r="L23" s="1017">
        <f t="shared" si="13"/>
        <v>3.5000000000000003E-2</v>
      </c>
      <c r="M23" s="1017">
        <f t="shared" si="13"/>
        <v>3.5000000000000003E-2</v>
      </c>
      <c r="N23" s="1017">
        <f t="shared" si="13"/>
        <v>3.5000000000000003E-2</v>
      </c>
      <c r="O23" s="1017">
        <f t="shared" si="13"/>
        <v>3.5000000000000003E-2</v>
      </c>
    </row>
    <row r="24" spans="1:15" s="1018" customFormat="1">
      <c r="A24" s="1015"/>
      <c r="B24" s="1016" t="s">
        <v>3290</v>
      </c>
      <c r="C24" s="1043">
        <v>0.02</v>
      </c>
      <c r="D24" s="1017">
        <f t="shared" si="13"/>
        <v>0.02</v>
      </c>
      <c r="E24" s="1017">
        <f t="shared" si="13"/>
        <v>0.02</v>
      </c>
      <c r="F24" s="1017">
        <f t="shared" si="13"/>
        <v>0.02</v>
      </c>
      <c r="G24" s="1017">
        <f t="shared" si="13"/>
        <v>0.02</v>
      </c>
      <c r="H24" s="1017">
        <f t="shared" si="13"/>
        <v>0.02</v>
      </c>
      <c r="I24" s="1017">
        <f t="shared" si="13"/>
        <v>0.02</v>
      </c>
      <c r="J24" s="1017">
        <f t="shared" si="13"/>
        <v>0.02</v>
      </c>
      <c r="K24" s="1017">
        <f t="shared" si="13"/>
        <v>0.02</v>
      </c>
      <c r="L24" s="1017">
        <f t="shared" si="13"/>
        <v>0.02</v>
      </c>
      <c r="M24" s="1017">
        <f t="shared" si="13"/>
        <v>0.02</v>
      </c>
      <c r="N24" s="1017">
        <f t="shared" si="13"/>
        <v>0.02</v>
      </c>
      <c r="O24" s="1017">
        <f t="shared" si="13"/>
        <v>0.02</v>
      </c>
    </row>
    <row r="25" spans="1:15" s="1018" customFormat="1">
      <c r="A25" s="1015"/>
      <c r="B25" s="1016" t="s">
        <v>3291</v>
      </c>
      <c r="C25" s="1043">
        <v>0.02</v>
      </c>
      <c r="D25" s="1017">
        <f t="shared" si="13"/>
        <v>0.02</v>
      </c>
      <c r="E25" s="1017">
        <f t="shared" si="13"/>
        <v>0.02</v>
      </c>
      <c r="F25" s="1017">
        <f t="shared" si="13"/>
        <v>0.02</v>
      </c>
      <c r="G25" s="1017">
        <f t="shared" si="13"/>
        <v>0.02</v>
      </c>
      <c r="H25" s="1017">
        <f t="shared" si="13"/>
        <v>0.02</v>
      </c>
      <c r="I25" s="1017">
        <f t="shared" si="13"/>
        <v>0.02</v>
      </c>
      <c r="J25" s="1017">
        <f t="shared" si="13"/>
        <v>0.02</v>
      </c>
      <c r="K25" s="1017">
        <f t="shared" si="13"/>
        <v>0.02</v>
      </c>
      <c r="L25" s="1017">
        <f t="shared" si="13"/>
        <v>0.02</v>
      </c>
      <c r="M25" s="1017">
        <f t="shared" si="13"/>
        <v>0.02</v>
      </c>
      <c r="N25" s="1017">
        <f t="shared" si="13"/>
        <v>0.02</v>
      </c>
      <c r="O25" s="1017">
        <f t="shared" si="13"/>
        <v>0.02</v>
      </c>
    </row>
    <row r="26" spans="1:15" s="1018" customFormat="1">
      <c r="A26" s="1015"/>
      <c r="B26" s="1016" t="s">
        <v>3292</v>
      </c>
      <c r="C26" s="1043">
        <v>0.08</v>
      </c>
      <c r="D26" s="1017">
        <f t="shared" si="13"/>
        <v>0.08</v>
      </c>
      <c r="E26" s="1017">
        <f t="shared" si="13"/>
        <v>0.08</v>
      </c>
      <c r="F26" s="1017">
        <f t="shared" si="13"/>
        <v>0.08</v>
      </c>
      <c r="G26" s="1017">
        <f t="shared" si="13"/>
        <v>0.08</v>
      </c>
      <c r="H26" s="1017">
        <f t="shared" si="13"/>
        <v>0.08</v>
      </c>
      <c r="I26" s="1017">
        <f t="shared" si="13"/>
        <v>0.08</v>
      </c>
      <c r="J26" s="1017">
        <f t="shared" si="13"/>
        <v>0.08</v>
      </c>
      <c r="K26" s="1017">
        <f t="shared" si="13"/>
        <v>0.08</v>
      </c>
      <c r="L26" s="1017">
        <f t="shared" si="13"/>
        <v>0.08</v>
      </c>
      <c r="M26" s="1017">
        <f t="shared" si="13"/>
        <v>0.08</v>
      </c>
      <c r="N26" s="1017">
        <f t="shared" si="13"/>
        <v>0.08</v>
      </c>
      <c r="O26" s="1017">
        <f t="shared" si="13"/>
        <v>0.08</v>
      </c>
    </row>
    <row r="27" spans="1:15" s="1018" customFormat="1">
      <c r="A27" s="1015"/>
      <c r="B27" s="1016" t="s">
        <v>3286</v>
      </c>
      <c r="C27" s="1017">
        <f>1-SUM(C17:C26)</f>
        <v>0.33499999999999996</v>
      </c>
      <c r="D27" s="1017">
        <f t="shared" ref="D27:O27" si="14">1-SUM(D17:D26)</f>
        <v>0.33499999999999996</v>
      </c>
      <c r="E27" s="1017">
        <f t="shared" si="14"/>
        <v>0.33499999999999996</v>
      </c>
      <c r="F27" s="1017">
        <f t="shared" si="14"/>
        <v>0.33499999999999996</v>
      </c>
      <c r="G27" s="1017">
        <f t="shared" si="14"/>
        <v>0.33499999999999996</v>
      </c>
      <c r="H27" s="1017">
        <f t="shared" si="14"/>
        <v>0.33499999999999996</v>
      </c>
      <c r="I27" s="1017">
        <f t="shared" si="14"/>
        <v>0.33499999999999996</v>
      </c>
      <c r="J27" s="1017">
        <f t="shared" si="14"/>
        <v>0.33499999999999996</v>
      </c>
      <c r="K27" s="1017">
        <f t="shared" si="14"/>
        <v>0.33499999999999996</v>
      </c>
      <c r="L27" s="1017">
        <f t="shared" si="14"/>
        <v>0.33499999999999996</v>
      </c>
      <c r="M27" s="1017">
        <f t="shared" si="14"/>
        <v>0.33499999999999996</v>
      </c>
      <c r="N27" s="1017">
        <f t="shared" si="14"/>
        <v>0.33499999999999996</v>
      </c>
      <c r="O27" s="1017">
        <f t="shared" si="14"/>
        <v>0.33499999999999996</v>
      </c>
    </row>
    <row r="28" spans="1:15">
      <c r="A28" s="542"/>
      <c r="B28" s="542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</row>
    <row r="31" spans="1:15">
      <c r="B31" s="529" t="s">
        <v>3468</v>
      </c>
      <c r="C31" s="1043">
        <v>0</v>
      </c>
      <c r="O31" s="535">
        <f>C31*O7</f>
        <v>0</v>
      </c>
    </row>
    <row r="32" spans="1:15">
      <c r="B32" s="515" t="s">
        <v>3469</v>
      </c>
      <c r="C32" s="1043">
        <v>0</v>
      </c>
      <c r="O32" s="535">
        <f>C32*O7</f>
        <v>0</v>
      </c>
    </row>
    <row r="33" spans="2:16">
      <c r="B33" s="515" t="s">
        <v>3469</v>
      </c>
      <c r="C33" s="1043">
        <f>1-SUM(C31:C32)</f>
        <v>1</v>
      </c>
      <c r="O33" s="535">
        <f>C33*O7</f>
        <v>1034.5349956734135</v>
      </c>
    </row>
    <row r="36" spans="2:16">
      <c r="B36" s="529" t="s">
        <v>1132</v>
      </c>
      <c r="C36" s="1043">
        <v>0.3</v>
      </c>
      <c r="O36" s="535">
        <f>C36*O11</f>
        <v>43.450469818283366</v>
      </c>
    </row>
    <row r="37" spans="2:16">
      <c r="B37" s="529" t="s">
        <v>1133</v>
      </c>
      <c r="C37" s="1043">
        <f>1-SUM(C36)</f>
        <v>0.7</v>
      </c>
      <c r="O37" s="535">
        <f>C37*O11</f>
        <v>101.38442957599452</v>
      </c>
    </row>
    <row r="39" spans="2:16">
      <c r="B39" s="515" t="s">
        <v>3470</v>
      </c>
      <c r="C39" s="1043">
        <v>0.05</v>
      </c>
      <c r="O39" s="535">
        <f>C39*$O$15</f>
        <v>69.313844710118701</v>
      </c>
    </row>
    <row r="40" spans="2:16">
      <c r="B40" s="515" t="s">
        <v>3471</v>
      </c>
      <c r="C40" s="1043">
        <v>0.9</v>
      </c>
      <c r="O40" s="535">
        <f t="shared" ref="O40:O44" si="15">C40*$O$15</f>
        <v>1247.6492047821366</v>
      </c>
    </row>
    <row r="41" spans="2:16">
      <c r="B41" s="515" t="s">
        <v>3476</v>
      </c>
      <c r="C41" s="1043">
        <v>0.05</v>
      </c>
      <c r="O41" s="535">
        <f t="shared" si="15"/>
        <v>69.313844710118701</v>
      </c>
    </row>
    <row r="42" spans="2:16">
      <c r="B42" s="515" t="s">
        <v>3472</v>
      </c>
      <c r="C42" s="1043">
        <v>-0.12</v>
      </c>
      <c r="O42" s="535">
        <f t="shared" si="15"/>
        <v>-166.35322730428487</v>
      </c>
    </row>
    <row r="43" spans="2:16">
      <c r="B43" s="515" t="s">
        <v>3473</v>
      </c>
      <c r="C43" s="1043">
        <v>0.18</v>
      </c>
      <c r="O43" s="535">
        <f t="shared" si="15"/>
        <v>249.52984095642731</v>
      </c>
    </row>
    <row r="44" spans="2:16">
      <c r="B44" s="515" t="s">
        <v>3474</v>
      </c>
      <c r="C44" s="1043">
        <v>0.3</v>
      </c>
      <c r="O44" s="535">
        <f t="shared" si="15"/>
        <v>415.88306826071221</v>
      </c>
    </row>
    <row r="45" spans="2:16">
      <c r="B45" s="515" t="s">
        <v>3479</v>
      </c>
      <c r="C45" s="1043">
        <v>0.05</v>
      </c>
      <c r="O45" s="535">
        <f t="shared" ref="O45" si="16">C45*$O$15</f>
        <v>69.313844710118701</v>
      </c>
    </row>
    <row r="46" spans="2:16">
      <c r="B46" s="515" t="s">
        <v>3478</v>
      </c>
      <c r="C46" s="1043">
        <f>1-SUM(C39:C45)</f>
        <v>-0.41000000000000014</v>
      </c>
      <c r="O46" s="535">
        <f>C46*$O$15*P46</f>
        <v>-568.3735266229736</v>
      </c>
      <c r="P46" s="1043">
        <v>1</v>
      </c>
    </row>
    <row r="47" spans="2:16">
      <c r="B47" s="515" t="s">
        <v>3477</v>
      </c>
      <c r="C47" s="1043"/>
      <c r="O47" s="535">
        <f>C46*$O$15*P47</f>
        <v>0</v>
      </c>
      <c r="P47" s="1043">
        <f>1-P46</f>
        <v>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7C397-2422-46A9-A3F6-65F8B4965684}">
  <dimension ref="B2:I58"/>
  <sheetViews>
    <sheetView workbookViewId="0"/>
  </sheetViews>
  <sheetFormatPr baseColWidth="10" defaultColWidth="8.83203125" defaultRowHeight="15"/>
  <cols>
    <col min="1" max="1" width="8.83203125" style="69"/>
    <col min="2" max="2" width="26.6640625" style="69" customWidth="1"/>
    <col min="3" max="5" width="11.83203125" style="69" customWidth="1"/>
    <col min="6" max="9" width="13.33203125" style="69" customWidth="1"/>
    <col min="10" max="20" width="8.83203125" style="69"/>
    <col min="21" max="21" width="12.6640625" style="69" customWidth="1"/>
    <col min="22" max="16384" width="8.83203125" style="69"/>
  </cols>
  <sheetData>
    <row r="2" spans="2:9" s="507" customFormat="1">
      <c r="B2" s="553"/>
      <c r="C2" s="551">
        <v>42735</v>
      </c>
      <c r="D2" s="551">
        <f>EOMONTH(C2,12)</f>
        <v>43100</v>
      </c>
      <c r="E2" s="551">
        <f t="shared" ref="E2:G2" si="0">EOMONTH(D2,12)</f>
        <v>43465</v>
      </c>
      <c r="F2" s="551">
        <f t="shared" si="0"/>
        <v>43830</v>
      </c>
      <c r="G2" s="551">
        <f t="shared" si="0"/>
        <v>44196</v>
      </c>
      <c r="H2" s="551">
        <f t="shared" ref="H2" si="1">EOMONTH(G2,12)</f>
        <v>44561</v>
      </c>
      <c r="I2" s="551"/>
    </row>
    <row r="3" spans="2:9">
      <c r="B3" s="552" t="s">
        <v>1170</v>
      </c>
      <c r="C3" s="69">
        <f>'PL"0"'!C10</f>
        <v>91969966.840000004</v>
      </c>
      <c r="D3" s="69">
        <f>'PL"0"'!D10</f>
        <v>91537466.319999993</v>
      </c>
      <c r="E3" s="69">
        <f>'PL"0"'!E10</f>
        <v>96758427.370000005</v>
      </c>
      <c r="F3" s="69">
        <f>'PL"0"'!F10</f>
        <v>106384314.98</v>
      </c>
      <c r="G3" s="69">
        <f>'PL"0"'!G10</f>
        <v>111345317.31999999</v>
      </c>
      <c r="H3" s="69">
        <f>'PL"0"'!H10</f>
        <v>127492099.15000001</v>
      </c>
    </row>
    <row r="4" spans="2:9">
      <c r="B4" s="568" t="s">
        <v>1185</v>
      </c>
      <c r="C4" s="568"/>
      <c r="D4" s="568"/>
      <c r="E4" s="568"/>
      <c r="F4" s="568">
        <f>F3-F9</f>
        <v>24222158.600000009</v>
      </c>
      <c r="G4" s="568">
        <f>G3-G9</f>
        <v>23933759.379999995</v>
      </c>
      <c r="H4" s="568"/>
    </row>
    <row r="5" spans="2:9">
      <c r="B5" s="574" t="s">
        <v>1204</v>
      </c>
      <c r="C5" s="574"/>
      <c r="D5" s="574"/>
      <c r="E5" s="574"/>
      <c r="F5" s="574">
        <f>F9-F16</f>
        <v>-14757112.969999999</v>
      </c>
      <c r="G5" s="574">
        <f t="shared" ref="G5:H5" si="2">G9-G16</f>
        <v>-18009004.200000003</v>
      </c>
      <c r="H5" s="574">
        <f t="shared" si="2"/>
        <v>-15833365.881499976</v>
      </c>
    </row>
    <row r="6" spans="2:9" s="599" customFormat="1">
      <c r="B6" s="599" t="s">
        <v>2845</v>
      </c>
      <c r="D6" s="599">
        <f>'Revenues"0"'!C4</f>
        <v>85404705.280000046</v>
      </c>
      <c r="E6" s="599">
        <f>'Revenues"0"'!D4</f>
        <v>90862180.170000017</v>
      </c>
      <c r="F6" s="599">
        <f>'Revenues"0"'!E4</f>
        <v>100520072.16999997</v>
      </c>
      <c r="G6" s="599">
        <f>'Revenues"0"'!F4</f>
        <v>106702458.69000004</v>
      </c>
      <c r="H6" s="599">
        <f>'Revenues"0"'!G4</f>
        <v>121758961.49000004</v>
      </c>
    </row>
    <row r="7" spans="2:9">
      <c r="B7" s="572" t="s">
        <v>1181</v>
      </c>
      <c r="C7" s="572"/>
      <c r="D7" s="572"/>
      <c r="E7" s="572"/>
      <c r="F7" s="572">
        <v>94891925.840000004</v>
      </c>
      <c r="G7" s="572">
        <v>100292054.23999999</v>
      </c>
      <c r="H7" s="572">
        <v>112369337</v>
      </c>
    </row>
    <row r="8" spans="2:9">
      <c r="B8" s="568" t="s">
        <v>1184</v>
      </c>
      <c r="C8" s="568"/>
      <c r="D8" s="568"/>
      <c r="E8" s="568"/>
      <c r="F8" s="568">
        <f>F7-F9</f>
        <v>12729769.460000008</v>
      </c>
      <c r="G8" s="568">
        <f t="shared" ref="G8:H8" si="3">G7-G9</f>
        <v>12880496.299999997</v>
      </c>
      <c r="H8" s="568">
        <f t="shared" si="3"/>
        <v>12730072.420000002</v>
      </c>
    </row>
    <row r="9" spans="2:9">
      <c r="B9" s="457" t="s">
        <v>1182</v>
      </c>
      <c r="C9" s="457"/>
      <c r="D9" s="457"/>
      <c r="E9" s="457"/>
      <c r="F9" s="457">
        <f>SUM(F10:F12,F14)</f>
        <v>82162156.379999995</v>
      </c>
      <c r="G9" s="457">
        <f t="shared" ref="G9:H9" si="4">SUM(G10:G12,G14)</f>
        <v>87411557.939999998</v>
      </c>
      <c r="H9" s="457">
        <f t="shared" si="4"/>
        <v>99639264.579999998</v>
      </c>
    </row>
    <row r="10" spans="2:9">
      <c r="B10" s="554" t="s">
        <v>1175</v>
      </c>
      <c r="F10" s="69">
        <v>2762898</v>
      </c>
      <c r="G10" s="69">
        <v>3083899.43</v>
      </c>
      <c r="H10" s="567">
        <v>3216387.5</v>
      </c>
      <c r="I10" s="552" t="s">
        <v>1183</v>
      </c>
    </row>
    <row r="11" spans="2:9">
      <c r="B11" s="554" t="s">
        <v>1176</v>
      </c>
      <c r="F11" s="69">
        <v>6842189.5499999896</v>
      </c>
      <c r="G11" s="69">
        <v>7286642.850000008</v>
      </c>
      <c r="H11" s="567">
        <v>7906925.7599999998</v>
      </c>
    </row>
    <row r="12" spans="2:9">
      <c r="B12" s="554" t="s">
        <v>1177</v>
      </c>
      <c r="F12" s="69">
        <v>4030636.89</v>
      </c>
      <c r="G12" s="69">
        <v>2376328.58</v>
      </c>
      <c r="H12" s="567">
        <v>1582026.6</v>
      </c>
    </row>
    <row r="13" spans="2:9">
      <c r="B13" s="554" t="s">
        <v>1178</v>
      </c>
      <c r="F13" s="69">
        <v>1223</v>
      </c>
      <c r="G13" s="69">
        <v>1389</v>
      </c>
      <c r="H13" s="567">
        <v>1612</v>
      </c>
    </row>
    <row r="14" spans="2:9">
      <c r="B14" s="569" t="s">
        <v>1179</v>
      </c>
      <c r="C14" s="570"/>
      <c r="D14" s="570"/>
      <c r="E14" s="570"/>
      <c r="F14" s="570">
        <v>68526431.940000013</v>
      </c>
      <c r="G14" s="570">
        <v>74664687.079999983</v>
      </c>
      <c r="H14" s="571">
        <v>86933924.719999999</v>
      </c>
    </row>
    <row r="15" spans="2:9">
      <c r="B15" s="552"/>
    </row>
    <row r="16" spans="2:9">
      <c r="B16" s="457" t="s">
        <v>1203</v>
      </c>
      <c r="C16" s="457"/>
      <c r="D16" s="457"/>
      <c r="E16" s="457"/>
      <c r="F16" s="457">
        <f>F22+F30+F38+F44</f>
        <v>96919269.349999994</v>
      </c>
      <c r="G16" s="457">
        <f>G22+G30+G38+G44</f>
        <v>105420562.14</v>
      </c>
      <c r="H16" s="457">
        <f>H22+H30+H38+H44</f>
        <v>115472630.46149997</v>
      </c>
    </row>
    <row r="17" spans="2:9">
      <c r="B17" s="552" t="s">
        <v>1197</v>
      </c>
      <c r="I17" s="567" t="s">
        <v>1202</v>
      </c>
    </row>
    <row r="18" spans="2:9">
      <c r="B18" s="554" t="s">
        <v>1186</v>
      </c>
      <c r="F18" s="69">
        <v>44221</v>
      </c>
      <c r="G18" s="69">
        <v>36430</v>
      </c>
      <c r="H18" s="69">
        <f>I18/10*11.5</f>
        <v>35746.6</v>
      </c>
      <c r="I18" s="567">
        <v>31084</v>
      </c>
    </row>
    <row r="19" spans="2:9">
      <c r="B19" s="554" t="s">
        <v>1187</v>
      </c>
      <c r="F19" s="69">
        <v>65833087.810000025</v>
      </c>
      <c r="G19" s="69">
        <v>63781032.810000017</v>
      </c>
      <c r="H19" s="69">
        <f t="shared" ref="H19:H44" si="5">I19/10*11.5</f>
        <v>76634507.921000019</v>
      </c>
      <c r="I19" s="567">
        <v>66638702.540000014</v>
      </c>
    </row>
    <row r="20" spans="2:9">
      <c r="B20" s="554" t="s">
        <v>1188</v>
      </c>
      <c r="F20" s="69">
        <v>44221</v>
      </c>
      <c r="G20" s="69">
        <v>36430</v>
      </c>
      <c r="H20" s="69">
        <f t="shared" si="5"/>
        <v>35746.6</v>
      </c>
      <c r="I20" s="567">
        <v>31084</v>
      </c>
    </row>
    <row r="21" spans="2:9">
      <c r="B21" s="554" t="s">
        <v>1189</v>
      </c>
      <c r="F21" s="69">
        <v>62832524.49000001</v>
      </c>
      <c r="G21" s="69">
        <v>61376747.039999992</v>
      </c>
      <c r="H21" s="69">
        <f t="shared" si="5"/>
        <v>72893892.6285</v>
      </c>
      <c r="I21" s="567">
        <v>63385993.590000004</v>
      </c>
    </row>
    <row r="22" spans="2:9">
      <c r="B22" s="554" t="s">
        <v>1190</v>
      </c>
      <c r="F22" s="69">
        <v>71776351.829999998</v>
      </c>
      <c r="G22" s="69">
        <v>77508964.940000013</v>
      </c>
      <c r="H22" s="69">
        <f t="shared" si="5"/>
        <v>84937310.224499986</v>
      </c>
      <c r="I22" s="567">
        <v>73858530.629999995</v>
      </c>
    </row>
    <row r="23" spans="2:9">
      <c r="B23" s="575" t="s">
        <v>1205</v>
      </c>
      <c r="C23" s="576"/>
      <c r="D23" s="576"/>
      <c r="E23" s="576"/>
      <c r="F23" s="576">
        <f>F22-F21</f>
        <v>8943827.3399999887</v>
      </c>
      <c r="G23" s="576">
        <f t="shared" ref="G23:I23" si="6">G22-G21</f>
        <v>16132217.900000021</v>
      </c>
      <c r="H23" s="576">
        <f t="shared" si="6"/>
        <v>12043417.595999986</v>
      </c>
      <c r="I23" s="576">
        <f t="shared" si="6"/>
        <v>10472537.039999992</v>
      </c>
    </row>
    <row r="24" spans="2:9">
      <c r="B24" s="552" t="s">
        <v>1198</v>
      </c>
      <c r="I24" s="567"/>
    </row>
    <row r="25" spans="2:9">
      <c r="B25" s="573" t="s">
        <v>1191</v>
      </c>
      <c r="F25" s="69">
        <v>706654</v>
      </c>
      <c r="G25" s="69">
        <v>595152</v>
      </c>
      <c r="H25" s="69">
        <f t="shared" si="5"/>
        <v>702975.45000000007</v>
      </c>
      <c r="I25" s="567">
        <v>611283</v>
      </c>
    </row>
    <row r="26" spans="2:9">
      <c r="B26" s="573" t="s">
        <v>1192</v>
      </c>
      <c r="F26" s="69">
        <v>285165689</v>
      </c>
      <c r="G26" s="69">
        <v>219664950</v>
      </c>
      <c r="H26" s="69">
        <f t="shared" si="5"/>
        <v>207502019.84999999</v>
      </c>
      <c r="I26" s="567">
        <v>180436539</v>
      </c>
    </row>
    <row r="27" spans="2:9">
      <c r="B27" s="573" t="s">
        <v>1193</v>
      </c>
      <c r="F27" s="69">
        <v>12223812.34</v>
      </c>
      <c r="G27" s="69">
        <v>10357217.330000002</v>
      </c>
      <c r="H27" s="69">
        <f t="shared" si="5"/>
        <v>13071864.574000005</v>
      </c>
      <c r="I27" s="567">
        <v>11366838.760000004</v>
      </c>
    </row>
    <row r="28" spans="2:9">
      <c r="B28" s="573" t="s">
        <v>1194</v>
      </c>
      <c r="F28" s="69">
        <v>273542093</v>
      </c>
      <c r="G28" s="69">
        <v>212535508</v>
      </c>
      <c r="H28" s="69">
        <f t="shared" si="5"/>
        <v>198771593.59999999</v>
      </c>
      <c r="I28" s="567">
        <v>172844864</v>
      </c>
    </row>
    <row r="29" spans="2:9">
      <c r="B29" s="573" t="s">
        <v>1195</v>
      </c>
      <c r="F29" s="69">
        <v>12137150.720000008</v>
      </c>
      <c r="G29" s="69">
        <v>10357854.960000001</v>
      </c>
      <c r="H29" s="69">
        <f t="shared" si="5"/>
        <v>12547280.010500006</v>
      </c>
      <c r="I29" s="567">
        <v>10910678.270000005</v>
      </c>
    </row>
    <row r="30" spans="2:9">
      <c r="B30" s="573" t="s">
        <v>1196</v>
      </c>
      <c r="F30" s="69">
        <v>12499884.52</v>
      </c>
      <c r="G30" s="69">
        <v>12559210.91</v>
      </c>
      <c r="H30" s="69">
        <f t="shared" si="5"/>
        <v>15371109.644999992</v>
      </c>
      <c r="I30" s="567">
        <v>13366182.299999993</v>
      </c>
    </row>
    <row r="31" spans="2:9">
      <c r="B31" s="575" t="s">
        <v>1205</v>
      </c>
      <c r="C31" s="576"/>
      <c r="D31" s="576"/>
      <c r="E31" s="576"/>
      <c r="F31" s="576">
        <f>F30-F29</f>
        <v>362733.79999999143</v>
      </c>
      <c r="G31" s="576">
        <f t="shared" ref="G31" si="7">G30-G29</f>
        <v>2201355.9499999993</v>
      </c>
      <c r="H31" s="576">
        <f t="shared" ref="H31" si="8">H30-H29</f>
        <v>2823829.6344999857</v>
      </c>
      <c r="I31" s="576">
        <f t="shared" ref="I31" si="9">I30-I29</f>
        <v>2455504.0299999882</v>
      </c>
    </row>
    <row r="32" spans="2:9">
      <c r="B32" s="552" t="s">
        <v>1171</v>
      </c>
      <c r="I32" s="567"/>
    </row>
    <row r="33" spans="2:9">
      <c r="B33" s="573" t="s">
        <v>1191</v>
      </c>
      <c r="F33" s="69">
        <v>581507</v>
      </c>
      <c r="G33" s="69">
        <v>412794</v>
      </c>
      <c r="H33" s="69">
        <f t="shared" si="5"/>
        <v>585417.85</v>
      </c>
      <c r="I33" s="567">
        <v>509059</v>
      </c>
    </row>
    <row r="34" spans="2:9">
      <c r="B34" s="573" t="s">
        <v>1192</v>
      </c>
      <c r="F34" s="69">
        <v>1282401598</v>
      </c>
      <c r="G34" s="69">
        <v>1155889055</v>
      </c>
      <c r="H34" s="69">
        <f t="shared" si="5"/>
        <v>1646416687.75</v>
      </c>
      <c r="I34" s="567">
        <v>1431666685</v>
      </c>
    </row>
    <row r="35" spans="2:9">
      <c r="B35" s="573" t="s">
        <v>1193</v>
      </c>
      <c r="F35" s="69">
        <v>8097683.9699999997</v>
      </c>
      <c r="G35" s="69">
        <v>7895745.3899999978</v>
      </c>
      <c r="H35" s="69">
        <f t="shared" si="5"/>
        <v>17250770.258499999</v>
      </c>
      <c r="I35" s="567">
        <v>15000669.789999997</v>
      </c>
    </row>
    <row r="36" spans="2:9">
      <c r="B36" s="573" t="s">
        <v>1194</v>
      </c>
      <c r="F36" s="69">
        <v>1685699127</v>
      </c>
      <c r="G36" s="69">
        <v>1490299527</v>
      </c>
      <c r="H36" s="69">
        <f t="shared" si="5"/>
        <v>1770233967.75</v>
      </c>
      <c r="I36" s="567">
        <v>1539333885</v>
      </c>
    </row>
    <row r="37" spans="2:9">
      <c r="B37" s="573" t="s">
        <v>1195</v>
      </c>
      <c r="F37" s="69">
        <v>13438547.919999998</v>
      </c>
      <c r="G37" s="69">
        <v>14169934.26</v>
      </c>
      <c r="H37" s="69">
        <f t="shared" si="5"/>
        <v>15913401.885500001</v>
      </c>
      <c r="I37" s="567">
        <v>13837740.77</v>
      </c>
    </row>
    <row r="38" spans="2:9">
      <c r="B38" s="573" t="s">
        <v>1196</v>
      </c>
      <c r="F38" s="69">
        <v>12634995</v>
      </c>
      <c r="G38" s="69">
        <v>13009253.929999998</v>
      </c>
      <c r="H38" s="69">
        <f t="shared" si="5"/>
        <v>13578458.7215</v>
      </c>
      <c r="I38" s="567">
        <v>11807355.41</v>
      </c>
    </row>
    <row r="39" spans="2:9">
      <c r="B39" s="575" t="s">
        <v>1205</v>
      </c>
      <c r="C39" s="576"/>
      <c r="D39" s="576"/>
      <c r="E39" s="576"/>
      <c r="F39" s="576">
        <f>F38-F37</f>
        <v>-803552.91999999806</v>
      </c>
      <c r="G39" s="576">
        <f t="shared" ref="G39" si="10">G38-G37</f>
        <v>-1160680.3300000019</v>
      </c>
      <c r="H39" s="576">
        <f t="shared" ref="H39" si="11">H38-H37</f>
        <v>-2334943.1640000008</v>
      </c>
      <c r="I39" s="576">
        <f t="shared" ref="I39" si="12">I38-I37</f>
        <v>-2030385.3599999994</v>
      </c>
    </row>
    <row r="40" spans="2:9">
      <c r="B40" s="552" t="s">
        <v>1201</v>
      </c>
      <c r="I40" s="567"/>
    </row>
    <row r="41" spans="2:9">
      <c r="B41" s="573" t="s">
        <v>1199</v>
      </c>
      <c r="F41" s="69">
        <v>8038</v>
      </c>
      <c r="G41" s="69">
        <v>4786</v>
      </c>
      <c r="H41" s="69">
        <f t="shared" si="5"/>
        <v>4488.45</v>
      </c>
      <c r="I41" s="567">
        <v>3903</v>
      </c>
    </row>
    <row r="42" spans="2:9">
      <c r="B42" s="573" t="s">
        <v>1200</v>
      </c>
      <c r="F42" s="69">
        <v>3832417.3200000003</v>
      </c>
      <c r="G42" s="69">
        <v>1851584.02</v>
      </c>
      <c r="H42" s="69">
        <f t="shared" si="5"/>
        <v>1258548.8220000002</v>
      </c>
      <c r="I42" s="567">
        <v>1094390.28</v>
      </c>
    </row>
    <row r="43" spans="2:9">
      <c r="B43" s="573" t="s">
        <v>1195</v>
      </c>
      <c r="F43" s="69">
        <v>3813949.08</v>
      </c>
      <c r="G43" s="69">
        <v>1823901.63</v>
      </c>
      <c r="H43" s="69">
        <f t="shared" si="5"/>
        <v>1204539.7964999999</v>
      </c>
      <c r="I43" s="567">
        <v>1047425.91</v>
      </c>
    </row>
    <row r="44" spans="2:9">
      <c r="B44" s="573" t="s">
        <v>1196</v>
      </c>
      <c r="F44" s="69">
        <v>8038</v>
      </c>
      <c r="G44" s="69">
        <v>2343132.3600000003</v>
      </c>
      <c r="H44" s="69">
        <f t="shared" si="5"/>
        <v>1585751.8705</v>
      </c>
      <c r="I44" s="567">
        <v>1378914.6700000002</v>
      </c>
    </row>
    <row r="45" spans="2:9">
      <c r="B45" s="575" t="s">
        <v>1205</v>
      </c>
      <c r="C45" s="576"/>
      <c r="D45" s="576"/>
      <c r="E45" s="576"/>
      <c r="F45" s="576">
        <f>F44-F43</f>
        <v>-3805911.08</v>
      </c>
      <c r="G45" s="576">
        <f t="shared" ref="G45" si="13">G44-G43</f>
        <v>519230.73000000045</v>
      </c>
      <c r="H45" s="576">
        <f t="shared" ref="H45" si="14">H44-H43</f>
        <v>381212.07400000002</v>
      </c>
      <c r="I45" s="576">
        <f t="shared" ref="I45" si="15">I44-I43</f>
        <v>331488.76000000013</v>
      </c>
    </row>
    <row r="46" spans="2:9">
      <c r="F46" s="69">
        <f>F41/250</f>
        <v>32.152000000000001</v>
      </c>
    </row>
    <row r="53" spans="2:2">
      <c r="B53" s="552"/>
    </row>
    <row r="54" spans="2:2">
      <c r="B54" s="552"/>
    </row>
    <row r="55" spans="2:2">
      <c r="B55" s="552"/>
    </row>
    <row r="56" spans="2:2">
      <c r="B56" s="552"/>
    </row>
    <row r="57" spans="2:2">
      <c r="B57" s="552"/>
    </row>
    <row r="58" spans="2:2">
      <c r="B58" s="552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4F92B-D39E-4174-9A44-035A6DDD94DC}">
  <dimension ref="A2:AO69"/>
  <sheetViews>
    <sheetView workbookViewId="0"/>
  </sheetViews>
  <sheetFormatPr baseColWidth="10" defaultColWidth="8.83203125" defaultRowHeight="15"/>
  <cols>
    <col min="1" max="1" width="6" style="169" customWidth="1"/>
    <col min="2" max="2" width="19.6640625" style="169" customWidth="1"/>
    <col min="3" max="4" width="8.83203125" style="169"/>
    <col min="5" max="22" width="12.33203125" style="169" customWidth="1"/>
    <col min="23" max="16384" width="8.83203125" style="169"/>
  </cols>
  <sheetData>
    <row r="2" spans="1:22" s="558" customFormat="1">
      <c r="A2" s="555"/>
      <c r="B2" s="556" t="s">
        <v>1174</v>
      </c>
      <c r="C2" s="556" t="s">
        <v>1138</v>
      </c>
      <c r="D2" s="556" t="s">
        <v>1139</v>
      </c>
      <c r="E2" s="557" t="s">
        <v>1140</v>
      </c>
      <c r="F2" s="557" t="s">
        <v>1141</v>
      </c>
      <c r="G2" s="557" t="s">
        <v>1142</v>
      </c>
      <c r="H2" s="557" t="s">
        <v>1143</v>
      </c>
      <c r="I2" s="557" t="s">
        <v>1144</v>
      </c>
      <c r="J2" s="557" t="s">
        <v>1145</v>
      </c>
      <c r="K2" s="557" t="s">
        <v>1146</v>
      </c>
      <c r="L2" s="557" t="s">
        <v>1147</v>
      </c>
      <c r="M2" s="557" t="s">
        <v>1148</v>
      </c>
      <c r="N2" s="557" t="s">
        <v>1149</v>
      </c>
      <c r="O2" s="557" t="s">
        <v>1150</v>
      </c>
      <c r="P2" s="557" t="s">
        <v>1151</v>
      </c>
      <c r="Q2" s="557" t="s">
        <v>1152</v>
      </c>
      <c r="R2" s="557" t="s">
        <v>1153</v>
      </c>
      <c r="S2" s="557" t="s">
        <v>1154</v>
      </c>
      <c r="T2" s="557" t="s">
        <v>1155</v>
      </c>
      <c r="U2" s="557" t="s">
        <v>1156</v>
      </c>
      <c r="V2" s="557" t="s">
        <v>1157</v>
      </c>
    </row>
    <row r="3" spans="1:22" s="558" customFormat="1">
      <c r="A3" s="559"/>
      <c r="B3" s="560" t="s">
        <v>1164</v>
      </c>
      <c r="C3" s="561">
        <f t="shared" ref="C3:C4" si="0">V3-H3</f>
        <v>143783.39673560485</v>
      </c>
      <c r="D3" s="562">
        <f>IFERROR(C3/H3,"n/a")</f>
        <v>0.14098829149522848</v>
      </c>
      <c r="E3" s="563">
        <v>1067869.7667072171</v>
      </c>
      <c r="F3" s="563">
        <v>1019825.0876773761</v>
      </c>
      <c r="G3" s="563">
        <v>693401.75246482529</v>
      </c>
      <c r="H3" s="563">
        <v>1019825.0876773761</v>
      </c>
      <c r="I3" s="563">
        <v>1020743.2328718918</v>
      </c>
      <c r="J3" s="563">
        <v>1021524.8440131585</v>
      </c>
      <c r="K3" s="563">
        <v>1042869.3241372877</v>
      </c>
      <c r="L3" s="563">
        <v>1084991.8237758614</v>
      </c>
      <c r="M3" s="563">
        <v>1115255.6534478341</v>
      </c>
      <c r="N3" s="563">
        <v>1130795.1224816216</v>
      </c>
      <c r="O3" s="563">
        <v>1135157.2320597814</v>
      </c>
      <c r="P3" s="563">
        <v>1139162.0856317079</v>
      </c>
      <c r="Q3" s="563">
        <v>1143161.5804961997</v>
      </c>
      <c r="R3" s="563">
        <v>1148031.5771512478</v>
      </c>
      <c r="S3" s="563">
        <v>1153191.065890701</v>
      </c>
      <c r="T3" s="563">
        <v>1157807.5157029887</v>
      </c>
      <c r="U3" s="563">
        <v>1161344.3794944368</v>
      </c>
      <c r="V3" s="563">
        <v>1163608.484412981</v>
      </c>
    </row>
    <row r="4" spans="1:22" s="558" customFormat="1">
      <c r="A4" s="559"/>
      <c r="B4" s="560" t="s">
        <v>1167</v>
      </c>
      <c r="C4" s="561">
        <f t="shared" si="0"/>
        <v>0</v>
      </c>
      <c r="D4" s="562">
        <f>IFERROR(C4/H4,"n/a")</f>
        <v>0</v>
      </c>
      <c r="E4" s="563">
        <v>1067869.7667072171</v>
      </c>
      <c r="F4" s="563">
        <v>1067869.7667072171</v>
      </c>
      <c r="G4" s="563">
        <v>1067869.7667072171</v>
      </c>
      <c r="H4" s="563">
        <v>1067869.7667072171</v>
      </c>
      <c r="I4" s="563">
        <v>1067869.7667072171</v>
      </c>
      <c r="J4" s="563">
        <v>1067869.7667072171</v>
      </c>
      <c r="K4" s="563">
        <v>1067869.7667072171</v>
      </c>
      <c r="L4" s="563">
        <v>1067869.7667072171</v>
      </c>
      <c r="M4" s="563">
        <v>1067869.7667072171</v>
      </c>
      <c r="N4" s="563">
        <v>1067869.7667072171</v>
      </c>
      <c r="O4" s="563">
        <v>1067869.7667072171</v>
      </c>
      <c r="P4" s="563">
        <v>1067869.7667072171</v>
      </c>
      <c r="Q4" s="563">
        <v>1067869.7667072171</v>
      </c>
      <c r="R4" s="563">
        <v>1067869.7667072171</v>
      </c>
      <c r="S4" s="563">
        <v>1067869.7667072171</v>
      </c>
      <c r="T4" s="563">
        <v>1067869.7667072171</v>
      </c>
      <c r="U4" s="563">
        <v>1067869.7667072171</v>
      </c>
      <c r="V4" s="563">
        <v>1067869.7667072171</v>
      </c>
    </row>
    <row r="5" spans="1:22" s="558" customFormat="1">
      <c r="A5" s="564"/>
      <c r="B5" s="565" t="s">
        <v>317</v>
      </c>
      <c r="C5" s="566">
        <v>1048406.7667072173</v>
      </c>
      <c r="D5" s="566">
        <v>1052483.7667072173</v>
      </c>
      <c r="E5" s="566">
        <f t="shared" ref="E5:V5" si="1">SUM(E3:E4)</f>
        <v>2135739.5334144342</v>
      </c>
      <c r="F5" s="566">
        <f t="shared" si="1"/>
        <v>2087694.8543845932</v>
      </c>
      <c r="G5" s="566">
        <f t="shared" si="1"/>
        <v>1761271.5191720424</v>
      </c>
      <c r="H5" s="566">
        <f t="shared" si="1"/>
        <v>2087694.8543845932</v>
      </c>
      <c r="I5" s="566">
        <f t="shared" si="1"/>
        <v>2088612.9995791088</v>
      </c>
      <c r="J5" s="566">
        <f t="shared" si="1"/>
        <v>2089394.6107203756</v>
      </c>
      <c r="K5" s="566">
        <f t="shared" si="1"/>
        <v>2110739.0908445045</v>
      </c>
      <c r="L5" s="566">
        <f t="shared" si="1"/>
        <v>2152861.5904830787</v>
      </c>
      <c r="M5" s="566">
        <f t="shared" si="1"/>
        <v>2183125.4201550512</v>
      </c>
      <c r="N5" s="566">
        <f t="shared" si="1"/>
        <v>2198664.8891888387</v>
      </c>
      <c r="O5" s="566">
        <f t="shared" si="1"/>
        <v>2203026.9987669988</v>
      </c>
      <c r="P5" s="566">
        <f t="shared" si="1"/>
        <v>2207031.852338925</v>
      </c>
      <c r="Q5" s="566">
        <f t="shared" si="1"/>
        <v>2211031.3472034167</v>
      </c>
      <c r="R5" s="566">
        <f t="shared" si="1"/>
        <v>2215901.3438584646</v>
      </c>
      <c r="S5" s="566">
        <f t="shared" si="1"/>
        <v>2221060.8325979179</v>
      </c>
      <c r="T5" s="566">
        <f t="shared" si="1"/>
        <v>2225677.2824102058</v>
      </c>
      <c r="U5" s="566">
        <f t="shared" si="1"/>
        <v>2229214.1462016539</v>
      </c>
      <c r="V5" s="566">
        <f t="shared" si="1"/>
        <v>2231478.2511201981</v>
      </c>
    </row>
    <row r="8" spans="1:22">
      <c r="B8" s="169" t="s">
        <v>2977</v>
      </c>
      <c r="E8" s="70">
        <f>SUM(I23:I86)</f>
        <v>44531</v>
      </c>
      <c r="F8" s="70">
        <f>SUM(J23:J86)</f>
        <v>43631</v>
      </c>
      <c r="G8" s="70">
        <f>SUM(K23:K86)</f>
        <v>35425</v>
      </c>
    </row>
    <row r="9" spans="1:22">
      <c r="B9" s="169" t="s">
        <v>2978</v>
      </c>
      <c r="E9" s="70">
        <f>SUM(M23:M67)</f>
        <v>51957</v>
      </c>
      <c r="F9" s="70">
        <f>SUM(N23:N67)</f>
        <v>50913</v>
      </c>
      <c r="G9" s="70">
        <f>SUM(O23:O67)</f>
        <v>42148</v>
      </c>
    </row>
    <row r="10" spans="1:22">
      <c r="B10" s="169" t="s">
        <v>2982</v>
      </c>
      <c r="E10" s="660">
        <f>E9/E8</f>
        <v>1.1667602344434214</v>
      </c>
      <c r="F10" s="660">
        <f t="shared" ref="F10:G10" si="2">F9/F8</f>
        <v>1.1668996814191746</v>
      </c>
      <c r="G10" s="660">
        <f t="shared" si="2"/>
        <v>1.1897812279463655</v>
      </c>
    </row>
    <row r="11" spans="1:22">
      <c r="B11" s="169" t="s">
        <v>2979</v>
      </c>
      <c r="E11" s="70">
        <f>SUM(Q23:Q68)</f>
        <v>1353.6219178082192</v>
      </c>
      <c r="F11" s="70">
        <f>SUM(R23:R68)</f>
        <v>1356</v>
      </c>
      <c r="G11" s="882">
        <f>SUM(S23:S68)+88</f>
        <v>1249.5</v>
      </c>
      <c r="H11" s="923"/>
    </row>
    <row r="12" spans="1:22">
      <c r="B12" s="169" t="s">
        <v>2980</v>
      </c>
      <c r="E12" s="70">
        <f>SUM(AK23:AK69)</f>
        <v>269632.47941319313</v>
      </c>
      <c r="F12" s="70">
        <f>SUM(AL23:AL69)</f>
        <v>260976.59687266551</v>
      </c>
      <c r="G12" s="70">
        <f>SUM(AM23:AM69)</f>
        <v>212777.30540898757</v>
      </c>
    </row>
    <row r="13" spans="1:22">
      <c r="B13" s="804" t="s">
        <v>3092</v>
      </c>
      <c r="C13" s="804"/>
      <c r="D13" s="804"/>
      <c r="E13" s="567">
        <f>E18*'Revenues"0"'!D50</f>
        <v>0</v>
      </c>
      <c r="F13" s="567">
        <f>F18*'Revenues"0"'!E50</f>
        <v>0</v>
      </c>
      <c r="G13" s="567">
        <f>G18*'Revenues"0"'!F50</f>
        <v>0</v>
      </c>
    </row>
    <row r="14" spans="1:22">
      <c r="B14" s="804" t="s">
        <v>3093</v>
      </c>
      <c r="C14" s="804"/>
      <c r="D14" s="804"/>
      <c r="E14" s="567">
        <f>E12-E13</f>
        <v>269632.47941319313</v>
      </c>
      <c r="F14" s="567">
        <f t="shared" ref="F14:G14" si="3">F12-F13</f>
        <v>260976.59687266551</v>
      </c>
      <c r="G14" s="567">
        <f t="shared" si="3"/>
        <v>212777.30540898757</v>
      </c>
    </row>
    <row r="15" spans="1:22">
      <c r="B15" s="169" t="s">
        <v>1045</v>
      </c>
      <c r="E15" s="658">
        <f>E12/(E11*365)</f>
        <v>0.54573519530188541</v>
      </c>
      <c r="F15" s="658">
        <f>F12/(F11*365)</f>
        <v>0.52728936208967858</v>
      </c>
      <c r="G15" s="658">
        <f>G12/(G11*365)</f>
        <v>0.46654783646935499</v>
      </c>
    </row>
    <row r="16" spans="1:22">
      <c r="B16" s="169" t="s">
        <v>1044</v>
      </c>
      <c r="E16" s="659">
        <f>E12/E8</f>
        <v>6.0549387934965111</v>
      </c>
      <c r="F16" s="659">
        <f>F12/F8</f>
        <v>5.9814488980923084</v>
      </c>
      <c r="G16" s="659">
        <f>G12/G8</f>
        <v>6.0064165253066353</v>
      </c>
    </row>
    <row r="17" spans="1:41">
      <c r="E17" s="659"/>
      <c r="F17" s="659"/>
      <c r="G17" s="659"/>
    </row>
    <row r="18" spans="1:41">
      <c r="E18" s="659"/>
      <c r="F18" s="659"/>
      <c r="G18" s="659"/>
    </row>
    <row r="20" spans="1:41" s="512" customFormat="1">
      <c r="A20" s="637"/>
      <c r="B20" s="637"/>
      <c r="G20" s="638"/>
      <c r="H20" s="638" t="s">
        <v>2940</v>
      </c>
      <c r="L20" s="639" t="s">
        <v>2941</v>
      </c>
      <c r="M20" s="639"/>
      <c r="N20" s="640"/>
      <c r="O20" s="640"/>
      <c r="P20" s="638" t="s">
        <v>2942</v>
      </c>
      <c r="Q20" s="638"/>
      <c r="T20" s="639" t="s">
        <v>1044</v>
      </c>
      <c r="U20" s="639"/>
      <c r="V20" s="640"/>
      <c r="W20" s="640"/>
      <c r="X20" s="638" t="s">
        <v>2943</v>
      </c>
      <c r="Y20" s="638"/>
      <c r="AB20" s="641" t="s">
        <v>2944</v>
      </c>
      <c r="AC20" s="641"/>
      <c r="AD20" s="642"/>
      <c r="AE20" s="642"/>
      <c r="AF20" s="643" t="s">
        <v>2945</v>
      </c>
      <c r="AG20" s="643"/>
      <c r="AH20" s="644"/>
      <c r="AI20" s="644"/>
      <c r="AK20" s="643" t="s">
        <v>2981</v>
      </c>
      <c r="AL20" s="644"/>
      <c r="AM20" s="644"/>
    </row>
    <row r="21" spans="1:41" s="512" customFormat="1">
      <c r="A21" s="637"/>
      <c r="B21" s="637"/>
      <c r="I21" s="645">
        <f>SUBTOTAL(9,I23:I67)</f>
        <v>44531</v>
      </c>
      <c r="J21" s="645">
        <f>SUBTOTAL(9,J23:J67)</f>
        <v>43631</v>
      </c>
      <c r="K21" s="645">
        <f>SUBTOTAL(9,K23:K67)</f>
        <v>35425</v>
      </c>
      <c r="L21" s="640"/>
      <c r="M21" s="646">
        <f>SUBTOTAL(9,M23:M67)</f>
        <v>51957</v>
      </c>
      <c r="N21" s="646">
        <f>SUBTOTAL(9,N23:N67)</f>
        <v>50913</v>
      </c>
      <c r="O21" s="646">
        <f>SUBTOTAL(9,O23:O67)</f>
        <v>42148</v>
      </c>
      <c r="Q21" s="645">
        <f>SUBTOTAL(9,Q23:Q67)</f>
        <v>1353.6219178082192</v>
      </c>
      <c r="R21" s="645">
        <f>SUBTOTAL(9,R23:R67)</f>
        <v>1356</v>
      </c>
      <c r="S21" s="645">
        <f>SUBTOTAL(9,S23:S67)</f>
        <v>1161.5</v>
      </c>
      <c r="T21" s="640"/>
      <c r="U21" s="647">
        <f>AVERAGEIFS(U23:U67,U23:U67,"&lt;&gt;0")</f>
        <v>6.499154801670632</v>
      </c>
      <c r="V21" s="647">
        <f>AVERAGEIFS(V23:V67,V23:V67,"&lt;&gt;0")</f>
        <v>6.3105974458836069</v>
      </c>
      <c r="W21" s="647">
        <f>AVERAGEIFS(W23:W67,W23:W67,"&lt;&gt;0")</f>
        <v>6.4584586641238362</v>
      </c>
      <c r="Y21" s="648">
        <f>AVERAGEIFS(Y23:Y67,Y23:Y67,"&lt;&gt;0")</f>
        <v>60.630612752706689</v>
      </c>
      <c r="Z21" s="648">
        <f>AVERAGEIFS(Z23:Z67,Z23:Z67,"&lt;&gt;0")</f>
        <v>58.150557895516677</v>
      </c>
      <c r="AA21" s="648">
        <f>AVERAGEIFS(AA23:AA67,AA23:AA67,"&lt;&gt;0")</f>
        <v>57.521992502991203</v>
      </c>
      <c r="AB21" s="642"/>
      <c r="AC21" s="649"/>
      <c r="AD21" s="649"/>
      <c r="AE21" s="649"/>
      <c r="AF21" s="644"/>
      <c r="AG21" s="650"/>
      <c r="AH21" s="650"/>
      <c r="AI21" s="650"/>
      <c r="AK21" s="650"/>
      <c r="AL21" s="650"/>
      <c r="AM21" s="650"/>
    </row>
    <row r="22" spans="1:41" s="512" customFormat="1">
      <c r="A22" s="637" t="s">
        <v>2946</v>
      </c>
      <c r="B22" s="637" t="s">
        <v>2947</v>
      </c>
      <c r="D22" s="512" t="s">
        <v>2948</v>
      </c>
      <c r="E22" s="512" t="s">
        <v>2947</v>
      </c>
      <c r="F22" s="512" t="s">
        <v>2949</v>
      </c>
      <c r="I22" s="651">
        <v>2018</v>
      </c>
      <c r="J22" s="651">
        <v>2019</v>
      </c>
      <c r="K22" s="651">
        <v>2020</v>
      </c>
      <c r="L22" s="652"/>
      <c r="M22" s="652">
        <v>2018</v>
      </c>
      <c r="N22" s="652">
        <v>2019</v>
      </c>
      <c r="O22" s="652">
        <v>2020</v>
      </c>
      <c r="P22" s="651"/>
      <c r="Q22" s="651">
        <v>2018</v>
      </c>
      <c r="R22" s="651">
        <v>2019</v>
      </c>
      <c r="S22" s="651">
        <v>2020</v>
      </c>
      <c r="T22" s="652"/>
      <c r="U22" s="652">
        <v>2018</v>
      </c>
      <c r="V22" s="652">
        <v>2019</v>
      </c>
      <c r="W22" s="652">
        <v>2020</v>
      </c>
      <c r="X22" s="651"/>
      <c r="Y22" s="651">
        <v>2018</v>
      </c>
      <c r="Z22" s="651">
        <v>2019</v>
      </c>
      <c r="AA22" s="651">
        <v>2020</v>
      </c>
      <c r="AB22" s="653"/>
      <c r="AC22" s="653">
        <v>2018</v>
      </c>
      <c r="AD22" s="653">
        <v>2019</v>
      </c>
      <c r="AE22" s="653">
        <v>2020</v>
      </c>
      <c r="AF22" s="654"/>
      <c r="AG22" s="654">
        <v>2018</v>
      </c>
      <c r="AH22" s="654">
        <v>2019</v>
      </c>
      <c r="AI22" s="654">
        <v>2020</v>
      </c>
      <c r="AK22" s="654">
        <v>2018</v>
      </c>
      <c r="AL22" s="654">
        <v>2019</v>
      </c>
      <c r="AM22" s="654">
        <v>2020</v>
      </c>
    </row>
    <row r="23" spans="1:41" customFormat="1">
      <c r="A23" s="655" t="s">
        <v>1117</v>
      </c>
      <c r="B23" s="655" t="s">
        <v>1164</v>
      </c>
      <c r="D23" t="s">
        <v>1081</v>
      </c>
      <c r="E23" t="s">
        <v>1167</v>
      </c>
      <c r="F23" t="s">
        <v>1080</v>
      </c>
      <c r="I23" s="550">
        <v>2759</v>
      </c>
      <c r="J23" s="550">
        <v>2701</v>
      </c>
      <c r="K23" s="550">
        <v>2353</v>
      </c>
      <c r="M23" s="550">
        <v>2773</v>
      </c>
      <c r="N23" s="550">
        <v>2723.5</v>
      </c>
      <c r="O23" s="550">
        <v>2361.5</v>
      </c>
      <c r="Q23" s="550">
        <v>60</v>
      </c>
      <c r="R23" s="550">
        <v>60</v>
      </c>
      <c r="S23" s="550">
        <v>59.693989071038253</v>
      </c>
      <c r="U23" s="513">
        <v>4.2441399206635415</v>
      </c>
      <c r="V23" s="513">
        <v>4.2988801174958695</v>
      </c>
      <c r="W23" s="513">
        <v>4.2460300656362477</v>
      </c>
      <c r="Y23" s="513">
        <v>53.739726027397261</v>
      </c>
      <c r="Z23" s="513">
        <v>53.461187214611876</v>
      </c>
      <c r="AA23" s="513">
        <v>45.89436103991212</v>
      </c>
      <c r="AC23" s="513">
        <f t="shared" ref="AC23:AC67" si="4">IFERROR(Q23/SUMIFS(Q$4:Q$53,$A$4:$A$53,$A23,$B$4:$B$53,$B23),0)</f>
        <v>0.46153846153846156</v>
      </c>
      <c r="AD23" s="513">
        <f t="shared" ref="AD23:AD67" si="5">IFERROR(R23/SUMIFS(R$4:R$53,$A$4:$A$53,$A23,$B$4:$B$53,$B23),0)</f>
        <v>0.46153846153846156</v>
      </c>
      <c r="AE23" s="513">
        <f t="shared" ref="AE23:AE67" si="6">IFERROR(S23/SUMIFS(S$4:S$53,$A$4:$A$53,$A23,$B$4:$B$53,$B23),0)</f>
        <v>0.46026797000084263</v>
      </c>
      <c r="AG23" s="513">
        <f t="shared" ref="AG23:AG67" si="7">IFERROR(M23/SUMIFS(M$4:M$53,$A$4:$A$53,$A23,$B$4:$B$53,$B23),0)</f>
        <v>0.46793790077624031</v>
      </c>
      <c r="AH23" s="513">
        <f t="shared" ref="AH23:AH67" si="8">IFERROR(N23/SUMIFS(N$4:N$53,$A$4:$A$53,$A23,$B$4:$B$53,$B23),0)</f>
        <v>0.47596994058021669</v>
      </c>
      <c r="AI23" s="513">
        <f t="shared" ref="AI23:AI67" si="9">IFERROR(O23/SUMIFS(O$4:O$53,$A$4:$A$53,$A23,$B$4:$B$53,$B23),0)</f>
        <v>0.47808482639943312</v>
      </c>
      <c r="AK23" s="550">
        <f>U23*I23</f>
        <v>11709.582041110711</v>
      </c>
      <c r="AL23" s="550">
        <f t="shared" ref="AL23:AM23" si="10">V23*J23</f>
        <v>11611.275197356343</v>
      </c>
      <c r="AM23" s="550">
        <f t="shared" si="10"/>
        <v>9990.9087444420911</v>
      </c>
      <c r="AN23">
        <v>365</v>
      </c>
      <c r="AO23">
        <f>Q23*AN23*Y23/100</f>
        <v>11769</v>
      </c>
    </row>
    <row r="24" spans="1:41" customFormat="1">
      <c r="A24" s="655" t="s">
        <v>1117</v>
      </c>
      <c r="B24" s="655" t="s">
        <v>1164</v>
      </c>
      <c r="D24" t="s">
        <v>1047</v>
      </c>
      <c r="E24" t="s">
        <v>1164</v>
      </c>
      <c r="F24" t="s">
        <v>1046</v>
      </c>
      <c r="I24" s="550">
        <v>3140</v>
      </c>
      <c r="J24" s="550">
        <v>2993</v>
      </c>
      <c r="K24" s="550">
        <v>2559</v>
      </c>
      <c r="M24" s="550">
        <v>3153</v>
      </c>
      <c r="N24" s="550">
        <v>2998.5</v>
      </c>
      <c r="O24" s="550">
        <v>2578</v>
      </c>
      <c r="Q24" s="550">
        <v>70</v>
      </c>
      <c r="R24" s="550">
        <v>70</v>
      </c>
      <c r="S24" s="550">
        <v>70</v>
      </c>
      <c r="U24" s="513">
        <v>4.9613066920393276</v>
      </c>
      <c r="V24" s="513">
        <v>4.6079706519926633</v>
      </c>
      <c r="W24" s="513">
        <v>4.6656322730799067</v>
      </c>
      <c r="Y24" s="513">
        <v>61.225048923679061</v>
      </c>
      <c r="Z24" s="513">
        <v>54.078277886497062</v>
      </c>
      <c r="AA24" s="513">
        <v>46.947697111631541</v>
      </c>
      <c r="AC24" s="513">
        <f t="shared" si="4"/>
        <v>0.53846153846153844</v>
      </c>
      <c r="AD24" s="513">
        <f t="shared" si="5"/>
        <v>0.53846153846153844</v>
      </c>
      <c r="AE24" s="513">
        <f t="shared" si="6"/>
        <v>0.53973202999915726</v>
      </c>
      <c r="AG24" s="513">
        <f t="shared" si="7"/>
        <v>0.53206209922375969</v>
      </c>
      <c r="AH24" s="513">
        <f t="shared" si="8"/>
        <v>0.52403005941978331</v>
      </c>
      <c r="AI24" s="513">
        <f t="shared" si="9"/>
        <v>0.52191517360056683</v>
      </c>
      <c r="AK24" s="550">
        <f t="shared" ref="AK24:AK67" si="11">U24*I24</f>
        <v>15578.503013003488</v>
      </c>
      <c r="AL24" s="550">
        <f t="shared" ref="AL24:AL67" si="12">V24*J24</f>
        <v>13791.656161414041</v>
      </c>
      <c r="AM24" s="550">
        <f t="shared" ref="AM24:AM67" si="13">W24*K24</f>
        <v>11939.352986811482</v>
      </c>
    </row>
    <row r="25" spans="1:41" customFormat="1">
      <c r="A25" s="655" t="s">
        <v>1112</v>
      </c>
      <c r="B25" s="655" t="s">
        <v>1164</v>
      </c>
      <c r="D25" t="s">
        <v>1083</v>
      </c>
      <c r="E25" t="s">
        <v>1167</v>
      </c>
      <c r="F25" t="s">
        <v>1082</v>
      </c>
      <c r="I25" s="550">
        <v>2040</v>
      </c>
      <c r="J25" s="550">
        <v>2050</v>
      </c>
      <c r="K25" s="550">
        <v>1750</v>
      </c>
      <c r="M25" s="550">
        <v>3341.5</v>
      </c>
      <c r="N25" s="550">
        <v>3265</v>
      </c>
      <c r="O25" s="550">
        <v>2857.5</v>
      </c>
      <c r="Q25" s="550">
        <v>60</v>
      </c>
      <c r="R25" s="550">
        <v>60</v>
      </c>
      <c r="S25" s="550">
        <v>57.661202185792348</v>
      </c>
      <c r="U25" s="513">
        <v>4.9612449498728113</v>
      </c>
      <c r="V25" s="513">
        <v>5.0140888208269532</v>
      </c>
      <c r="W25" s="513">
        <v>4.9987751531058615</v>
      </c>
      <c r="Y25" s="513">
        <v>75.698630136986296</v>
      </c>
      <c r="Z25" s="513">
        <v>74.753424657534254</v>
      </c>
      <c r="AA25" s="513">
        <v>67.683851402577716</v>
      </c>
      <c r="AC25" s="513">
        <f t="shared" si="4"/>
        <v>0.42857142857142855</v>
      </c>
      <c r="AD25" s="513">
        <f t="shared" si="5"/>
        <v>0.42857142857142855</v>
      </c>
      <c r="AE25" s="513">
        <f t="shared" si="6"/>
        <v>0.45922186439202717</v>
      </c>
      <c r="AG25" s="513">
        <f t="shared" si="7"/>
        <v>0.39839046199701938</v>
      </c>
      <c r="AH25" s="513">
        <f t="shared" si="8"/>
        <v>0.38425326585853831</v>
      </c>
      <c r="AI25" s="513">
        <f t="shared" si="9"/>
        <v>0.40491710358509281</v>
      </c>
      <c r="AK25" s="550">
        <f t="shared" si="11"/>
        <v>10120.939697740536</v>
      </c>
      <c r="AL25" s="550">
        <f t="shared" si="12"/>
        <v>10278.882082695254</v>
      </c>
      <c r="AM25" s="550">
        <f t="shared" si="13"/>
        <v>8747.8565179352572</v>
      </c>
    </row>
    <row r="26" spans="1:41" customFormat="1">
      <c r="A26" s="655" t="s">
        <v>1112</v>
      </c>
      <c r="B26" s="655" t="s">
        <v>1164</v>
      </c>
      <c r="D26" t="s">
        <v>1049</v>
      </c>
      <c r="E26" t="s">
        <v>1164</v>
      </c>
      <c r="F26" t="s">
        <v>1048</v>
      </c>
      <c r="I26" s="550">
        <v>2756</v>
      </c>
      <c r="J26" s="550">
        <v>2958</v>
      </c>
      <c r="K26" s="550">
        <v>2283</v>
      </c>
      <c r="M26" s="550">
        <v>5046</v>
      </c>
      <c r="N26" s="550">
        <v>5232</v>
      </c>
      <c r="O26" s="550">
        <v>4199.5</v>
      </c>
      <c r="Q26" s="550">
        <v>80</v>
      </c>
      <c r="R26" s="550">
        <v>80</v>
      </c>
      <c r="S26" s="550">
        <v>67.901639344262293</v>
      </c>
      <c r="U26" s="513">
        <v>4.2259215219976216</v>
      </c>
      <c r="V26" s="513">
        <v>4.2150229357798166</v>
      </c>
      <c r="W26" s="513">
        <v>4.1297773544469578</v>
      </c>
      <c r="Y26" s="513">
        <v>73.027397260273972</v>
      </c>
      <c r="Z26" s="513">
        <v>75.523972602739718</v>
      </c>
      <c r="AA26" s="513">
        <v>69.78512795750845</v>
      </c>
      <c r="AC26" s="513">
        <f t="shared" si="4"/>
        <v>0.5714285714285714</v>
      </c>
      <c r="AD26" s="513">
        <f t="shared" si="5"/>
        <v>0.5714285714285714</v>
      </c>
      <c r="AE26" s="513">
        <f t="shared" si="6"/>
        <v>0.54077813560797283</v>
      </c>
      <c r="AG26" s="513">
        <f t="shared" si="7"/>
        <v>0.60160953800298067</v>
      </c>
      <c r="AH26" s="513">
        <f t="shared" si="8"/>
        <v>0.61574673414146164</v>
      </c>
      <c r="AI26" s="513">
        <f t="shared" si="9"/>
        <v>0.59508289641490719</v>
      </c>
      <c r="AK26" s="550">
        <f t="shared" si="11"/>
        <v>11646.639714625446</v>
      </c>
      <c r="AL26" s="550">
        <f t="shared" si="12"/>
        <v>12468.037844036697</v>
      </c>
      <c r="AM26" s="550">
        <f t="shared" si="13"/>
        <v>9428.281700202404</v>
      </c>
    </row>
    <row r="27" spans="1:41" customFormat="1">
      <c r="A27" s="655" t="s">
        <v>1113</v>
      </c>
      <c r="B27" s="655" t="s">
        <v>1164</v>
      </c>
      <c r="D27" t="s">
        <v>1051</v>
      </c>
      <c r="E27" t="s">
        <v>1164</v>
      </c>
      <c r="F27" t="s">
        <v>1050</v>
      </c>
      <c r="I27" s="550">
        <v>1897</v>
      </c>
      <c r="J27" s="550">
        <v>1749</v>
      </c>
      <c r="K27" s="550">
        <v>1334</v>
      </c>
      <c r="M27" s="550">
        <v>2403.5</v>
      </c>
      <c r="N27" s="550">
        <v>2260.5</v>
      </c>
      <c r="O27" s="550">
        <v>1682</v>
      </c>
      <c r="Q27" s="550">
        <v>65</v>
      </c>
      <c r="R27" s="550">
        <v>65</v>
      </c>
      <c r="S27" s="550">
        <v>52.508196721311478</v>
      </c>
      <c r="U27" s="513">
        <v>6.8163095485749947</v>
      </c>
      <c r="V27" s="513">
        <v>6.7047113470471134</v>
      </c>
      <c r="W27" s="513">
        <v>6.8614744351961949</v>
      </c>
      <c r="Y27" s="513">
        <v>69.053740779768177</v>
      </c>
      <c r="Z27" s="513">
        <v>63.881981032665962</v>
      </c>
      <c r="AA27" s="513">
        <v>60.053075241960656</v>
      </c>
      <c r="AC27" s="513">
        <f t="shared" si="4"/>
        <v>0.39393939393939392</v>
      </c>
      <c r="AD27" s="513">
        <f t="shared" si="5"/>
        <v>0.39393939393939392</v>
      </c>
      <c r="AE27" s="513">
        <f t="shared" si="6"/>
        <v>0.35302546015650832</v>
      </c>
      <c r="AG27" s="513">
        <f t="shared" si="7"/>
        <v>0.42637927975873691</v>
      </c>
      <c r="AH27" s="513">
        <f t="shared" si="8"/>
        <v>0.40470862053531464</v>
      </c>
      <c r="AI27" s="513">
        <f t="shared" si="9"/>
        <v>0.39157257595157724</v>
      </c>
      <c r="AK27" s="550">
        <f t="shared" si="11"/>
        <v>12930.539213646765</v>
      </c>
      <c r="AL27" s="550">
        <f t="shared" si="12"/>
        <v>11726.540145985402</v>
      </c>
      <c r="AM27" s="550">
        <f t="shared" si="13"/>
        <v>9153.2068965517246</v>
      </c>
    </row>
    <row r="28" spans="1:41" customFormat="1">
      <c r="A28" s="655" t="s">
        <v>1119</v>
      </c>
      <c r="B28" s="655" t="s">
        <v>1164</v>
      </c>
      <c r="D28" t="s">
        <v>1085</v>
      </c>
      <c r="E28" t="s">
        <v>1167</v>
      </c>
      <c r="F28" t="s">
        <v>1084</v>
      </c>
      <c r="I28" s="550">
        <v>1474</v>
      </c>
      <c r="J28" s="550">
        <v>1293</v>
      </c>
      <c r="K28" s="550">
        <v>944</v>
      </c>
      <c r="M28" s="550">
        <v>1497</v>
      </c>
      <c r="N28" s="550">
        <v>1324.5</v>
      </c>
      <c r="O28" s="550">
        <v>963</v>
      </c>
      <c r="Q28" s="550">
        <v>34</v>
      </c>
      <c r="R28" s="550">
        <v>34</v>
      </c>
      <c r="S28" s="550">
        <v>26.010928961748633</v>
      </c>
      <c r="U28" s="513">
        <v>5.3266533066132267</v>
      </c>
      <c r="V28" s="513">
        <v>6.0083050207625517</v>
      </c>
      <c r="W28" s="513">
        <v>6.7237798546209762</v>
      </c>
      <c r="Y28" s="513">
        <v>64.254633360193395</v>
      </c>
      <c r="Z28" s="513">
        <v>64.125705076551171</v>
      </c>
      <c r="AA28" s="513">
        <v>68.014705882352942</v>
      </c>
      <c r="AC28" s="513">
        <f t="shared" si="4"/>
        <v>0.49275362318840582</v>
      </c>
      <c r="AD28" s="513">
        <f t="shared" si="5"/>
        <v>0.49275362318840582</v>
      </c>
      <c r="AE28" s="513">
        <f t="shared" si="6"/>
        <v>0.56532066508313539</v>
      </c>
      <c r="AG28" s="513">
        <f t="shared" si="7"/>
        <v>0.53207748356140039</v>
      </c>
      <c r="AH28" s="513">
        <f t="shared" si="8"/>
        <v>0.47738331230852404</v>
      </c>
      <c r="AI28" s="513">
        <f t="shared" si="9"/>
        <v>0.45349658582528846</v>
      </c>
      <c r="AK28" s="550">
        <f t="shared" si="11"/>
        <v>7851.4869739478963</v>
      </c>
      <c r="AL28" s="550">
        <f t="shared" si="12"/>
        <v>7768.7383918459791</v>
      </c>
      <c r="AM28" s="550">
        <f t="shared" si="13"/>
        <v>6347.2481827622014</v>
      </c>
    </row>
    <row r="29" spans="1:41" customFormat="1">
      <c r="A29" s="655" t="s">
        <v>1119</v>
      </c>
      <c r="B29" s="655" t="s">
        <v>1164</v>
      </c>
      <c r="D29" t="s">
        <v>1053</v>
      </c>
      <c r="E29" t="s">
        <v>1164</v>
      </c>
      <c r="F29" t="s">
        <v>1052</v>
      </c>
      <c r="I29" s="550">
        <v>1284</v>
      </c>
      <c r="J29" s="550">
        <v>1417</v>
      </c>
      <c r="K29" s="550">
        <v>1132</v>
      </c>
      <c r="M29" s="550">
        <v>1316.5</v>
      </c>
      <c r="N29" s="550">
        <v>1450</v>
      </c>
      <c r="O29" s="550">
        <v>1160.5</v>
      </c>
      <c r="Q29" s="550">
        <v>35</v>
      </c>
      <c r="R29" s="550">
        <v>35</v>
      </c>
      <c r="S29" s="550">
        <v>20</v>
      </c>
      <c r="U29" s="513">
        <v>4.9191036840106346</v>
      </c>
      <c r="V29" s="513">
        <v>4.4896551724137934</v>
      </c>
      <c r="W29" s="513">
        <v>4.2050840155105558</v>
      </c>
      <c r="Y29" s="513">
        <v>50.692759295499023</v>
      </c>
      <c r="Z29" s="513">
        <v>50.958904109589042</v>
      </c>
      <c r="AA29" s="513">
        <v>66.666666666666671</v>
      </c>
      <c r="AC29" s="513">
        <f t="shared" si="4"/>
        <v>0.50724637681159424</v>
      </c>
      <c r="AD29" s="513">
        <f t="shared" si="5"/>
        <v>0.50724637681159424</v>
      </c>
      <c r="AE29" s="513">
        <f t="shared" si="6"/>
        <v>0.43467933491686461</v>
      </c>
      <c r="AG29" s="513">
        <f t="shared" si="7"/>
        <v>0.46792251643859961</v>
      </c>
      <c r="AH29" s="513">
        <f t="shared" si="8"/>
        <v>0.52261668769147596</v>
      </c>
      <c r="AI29" s="513">
        <f t="shared" si="9"/>
        <v>0.5465034141747116</v>
      </c>
      <c r="AK29" s="550">
        <f t="shared" si="11"/>
        <v>6316.1291302696545</v>
      </c>
      <c r="AL29" s="550">
        <f t="shared" si="12"/>
        <v>6361.8413793103455</v>
      </c>
      <c r="AM29" s="550">
        <f t="shared" si="13"/>
        <v>4760.1551055579494</v>
      </c>
    </row>
    <row r="30" spans="1:41" customFormat="1">
      <c r="A30" s="655" t="s">
        <v>1113</v>
      </c>
      <c r="B30" s="655" t="s">
        <v>1164</v>
      </c>
      <c r="D30" t="s">
        <v>1087</v>
      </c>
      <c r="E30" t="s">
        <v>1167</v>
      </c>
      <c r="F30" t="s">
        <v>1086</v>
      </c>
      <c r="I30" s="550">
        <v>2605</v>
      </c>
      <c r="J30" s="550">
        <v>2742</v>
      </c>
      <c r="K30" s="550">
        <v>2126</v>
      </c>
      <c r="M30" s="550">
        <v>3233.5</v>
      </c>
      <c r="N30" s="550">
        <v>3325</v>
      </c>
      <c r="O30" s="550">
        <v>2613.5</v>
      </c>
      <c r="Q30" s="550">
        <v>100</v>
      </c>
      <c r="R30" s="550">
        <v>100</v>
      </c>
      <c r="S30" s="550">
        <v>96.229508196721312</v>
      </c>
      <c r="U30" s="513">
        <v>7.4940466986237819</v>
      </c>
      <c r="V30" s="513">
        <v>7.3446616541353382</v>
      </c>
      <c r="W30" s="513">
        <v>8.0298450353931514</v>
      </c>
      <c r="Y30" s="513">
        <v>66.38904109589042</v>
      </c>
      <c r="Z30" s="513">
        <v>66.906849315068499</v>
      </c>
      <c r="AA30" s="513">
        <v>59.585462805224303</v>
      </c>
      <c r="AC30" s="513">
        <f t="shared" si="4"/>
        <v>0.60606060606060608</v>
      </c>
      <c r="AD30" s="513">
        <f t="shared" si="5"/>
        <v>0.60606060606060608</v>
      </c>
      <c r="AE30" s="513">
        <f t="shared" si="6"/>
        <v>0.64697453984349163</v>
      </c>
      <c r="AG30" s="513">
        <f t="shared" si="7"/>
        <v>0.57362072024126309</v>
      </c>
      <c r="AH30" s="513">
        <f t="shared" si="8"/>
        <v>0.59529137946468536</v>
      </c>
      <c r="AI30" s="513">
        <f t="shared" si="9"/>
        <v>0.60842742404842276</v>
      </c>
      <c r="AK30" s="550">
        <f t="shared" si="11"/>
        <v>19521.991649914951</v>
      </c>
      <c r="AL30" s="550">
        <f t="shared" si="12"/>
        <v>20139.062255639099</v>
      </c>
      <c r="AM30" s="550">
        <f t="shared" si="13"/>
        <v>17071.45054524584</v>
      </c>
    </row>
    <row r="31" spans="1:41" customFormat="1">
      <c r="A31" s="655" t="s">
        <v>1122</v>
      </c>
      <c r="B31" s="655" t="s">
        <v>1164</v>
      </c>
      <c r="D31" t="s">
        <v>1055</v>
      </c>
      <c r="E31" t="s">
        <v>1164</v>
      </c>
      <c r="F31" t="s">
        <v>1054</v>
      </c>
      <c r="I31" s="550">
        <v>815</v>
      </c>
      <c r="J31" s="550">
        <v>734</v>
      </c>
      <c r="K31" s="550">
        <v>439</v>
      </c>
      <c r="M31" s="550">
        <v>833</v>
      </c>
      <c r="N31" s="550">
        <v>739.5</v>
      </c>
      <c r="O31" s="550">
        <v>454</v>
      </c>
      <c r="Q31" s="550">
        <v>19</v>
      </c>
      <c r="R31" s="550">
        <v>19</v>
      </c>
      <c r="S31" s="550">
        <v>19.508196721311474</v>
      </c>
      <c r="U31" s="513">
        <v>3.8931572629051621</v>
      </c>
      <c r="V31" s="513">
        <v>4.3056118999323871</v>
      </c>
      <c r="W31" s="513">
        <v>5.0220264317180616</v>
      </c>
      <c r="Y31" s="513">
        <v>46.762797404470078</v>
      </c>
      <c r="Z31" s="513">
        <v>45.912040374909878</v>
      </c>
      <c r="AA31" s="513">
        <v>31.932773109243698</v>
      </c>
      <c r="AC31" s="513">
        <f t="shared" si="4"/>
        <v>1</v>
      </c>
      <c r="AD31" s="513">
        <f t="shared" si="5"/>
        <v>1</v>
      </c>
      <c r="AE31" s="513">
        <f t="shared" si="6"/>
        <v>1</v>
      </c>
      <c r="AG31" s="513">
        <f t="shared" si="7"/>
        <v>1</v>
      </c>
      <c r="AH31" s="513">
        <f t="shared" si="8"/>
        <v>1</v>
      </c>
      <c r="AI31" s="513">
        <f t="shared" si="9"/>
        <v>1</v>
      </c>
      <c r="AK31" s="550">
        <f t="shared" si="11"/>
        <v>3172.9231692677072</v>
      </c>
      <c r="AL31" s="550">
        <f t="shared" si="12"/>
        <v>3160.3191345503719</v>
      </c>
      <c r="AM31" s="550">
        <f t="shared" si="13"/>
        <v>2204.6696035242289</v>
      </c>
    </row>
    <row r="32" spans="1:41" customFormat="1">
      <c r="A32" s="655" t="s">
        <v>387</v>
      </c>
      <c r="B32" s="655" t="s">
        <v>1164</v>
      </c>
      <c r="D32" t="s">
        <v>1089</v>
      </c>
      <c r="E32" t="s">
        <v>1167</v>
      </c>
      <c r="F32" t="s">
        <v>1088</v>
      </c>
      <c r="I32" s="550">
        <v>1441</v>
      </c>
      <c r="J32" s="550">
        <v>1022</v>
      </c>
      <c r="K32" s="550">
        <v>723</v>
      </c>
      <c r="M32" s="550">
        <v>1441</v>
      </c>
      <c r="N32" s="550">
        <v>1024.5</v>
      </c>
      <c r="O32" s="550">
        <v>726.5</v>
      </c>
      <c r="Q32" s="550">
        <v>10</v>
      </c>
      <c r="R32" s="550">
        <v>10</v>
      </c>
      <c r="S32" s="550">
        <v>10</v>
      </c>
      <c r="U32" s="513">
        <v>1.6384455239417071</v>
      </c>
      <c r="V32" s="513">
        <v>1.8789653489507077</v>
      </c>
      <c r="W32" s="513">
        <v>1.9628355127322781</v>
      </c>
      <c r="Y32" s="513">
        <v>64.68493150684931</v>
      </c>
      <c r="Z32" s="513">
        <v>52.739726027397261</v>
      </c>
      <c r="AA32" s="513">
        <v>38.961748633879779</v>
      </c>
      <c r="AC32" s="513">
        <f t="shared" si="4"/>
        <v>0.41666666666666669</v>
      </c>
      <c r="AD32" s="513">
        <f t="shared" si="5"/>
        <v>0.41666666666666669</v>
      </c>
      <c r="AE32" s="513">
        <f t="shared" si="6"/>
        <v>0.44601511089446749</v>
      </c>
      <c r="AG32" s="513">
        <f t="shared" si="7"/>
        <v>0.56004663816556544</v>
      </c>
      <c r="AH32" s="513">
        <f t="shared" si="8"/>
        <v>0.53793646626411129</v>
      </c>
      <c r="AI32" s="513">
        <f t="shared" si="9"/>
        <v>0.53517495395948433</v>
      </c>
      <c r="AK32" s="550">
        <f t="shared" si="11"/>
        <v>2361</v>
      </c>
      <c r="AL32" s="550">
        <f t="shared" si="12"/>
        <v>1920.3025866276232</v>
      </c>
      <c r="AM32" s="550">
        <f t="shared" si="13"/>
        <v>1419.1300757054371</v>
      </c>
    </row>
    <row r="33" spans="1:39" customFormat="1">
      <c r="A33" s="655" t="s">
        <v>387</v>
      </c>
      <c r="B33" s="655" t="s">
        <v>1164</v>
      </c>
      <c r="D33" t="s">
        <v>1057</v>
      </c>
      <c r="E33" t="s">
        <v>1164</v>
      </c>
      <c r="F33" t="s">
        <v>1056</v>
      </c>
      <c r="I33" s="550">
        <v>1129</v>
      </c>
      <c r="J33" s="550">
        <v>881</v>
      </c>
      <c r="K33" s="550">
        <v>622</v>
      </c>
      <c r="M33" s="550">
        <v>1132</v>
      </c>
      <c r="N33" s="550">
        <v>880</v>
      </c>
      <c r="O33" s="550">
        <v>631</v>
      </c>
      <c r="Q33" s="550">
        <v>14</v>
      </c>
      <c r="R33" s="550">
        <v>14</v>
      </c>
      <c r="S33" s="550">
        <v>12.420765027322405</v>
      </c>
      <c r="U33" s="513">
        <v>2.2137809187279154</v>
      </c>
      <c r="V33" s="513">
        <v>2.4840909090909089</v>
      </c>
      <c r="W33" s="513">
        <v>2.8621236133122028</v>
      </c>
      <c r="Y33" s="513">
        <v>49.041095890410958</v>
      </c>
      <c r="Z33" s="513">
        <v>42.778864970645792</v>
      </c>
      <c r="AA33" s="513">
        <v>39.727232732072146</v>
      </c>
      <c r="AC33" s="513">
        <f t="shared" si="4"/>
        <v>0.58333333333333337</v>
      </c>
      <c r="AD33" s="513">
        <f t="shared" si="5"/>
        <v>0.58333333333333337</v>
      </c>
      <c r="AE33" s="513">
        <f t="shared" si="6"/>
        <v>0.55398488910553256</v>
      </c>
      <c r="AG33" s="513">
        <f t="shared" si="7"/>
        <v>0.43995336183443451</v>
      </c>
      <c r="AH33" s="513">
        <f t="shared" si="8"/>
        <v>0.46206353373588871</v>
      </c>
      <c r="AI33" s="513">
        <f t="shared" si="9"/>
        <v>0.46482504604051567</v>
      </c>
      <c r="AK33" s="550">
        <f t="shared" si="11"/>
        <v>2499.3586572438167</v>
      </c>
      <c r="AL33" s="550">
        <f t="shared" si="12"/>
        <v>2188.4840909090908</v>
      </c>
      <c r="AM33" s="550">
        <f t="shared" si="13"/>
        <v>1780.2408874801902</v>
      </c>
    </row>
    <row r="34" spans="1:39" customFormat="1">
      <c r="A34" s="655" t="s">
        <v>382</v>
      </c>
      <c r="B34" s="655" t="s">
        <v>1164</v>
      </c>
      <c r="D34" t="s">
        <v>1091</v>
      </c>
      <c r="E34" t="s">
        <v>1167</v>
      </c>
      <c r="F34" t="s">
        <v>1090</v>
      </c>
      <c r="I34" s="550">
        <v>63</v>
      </c>
      <c r="J34" s="550">
        <v>81</v>
      </c>
      <c r="K34" s="550">
        <v>86</v>
      </c>
      <c r="M34" s="550">
        <v>157.5</v>
      </c>
      <c r="N34" s="550">
        <v>197</v>
      </c>
      <c r="O34" s="550">
        <v>187</v>
      </c>
      <c r="Q34" s="550">
        <v>14</v>
      </c>
      <c r="R34" s="550">
        <v>14</v>
      </c>
      <c r="S34" s="550">
        <v>10.426229508196721</v>
      </c>
      <c r="U34" s="513">
        <v>14.831746031746032</v>
      </c>
      <c r="V34" s="513">
        <v>11.685279187817258</v>
      </c>
      <c r="W34" s="513">
        <v>13.128342245989305</v>
      </c>
      <c r="Y34" s="513">
        <v>45.714285714285715</v>
      </c>
      <c r="Z34" s="513">
        <v>45.048923679060664</v>
      </c>
      <c r="AA34" s="513">
        <v>64.334381551362682</v>
      </c>
      <c r="AC34" s="513">
        <f t="shared" si="4"/>
        <v>0.53846153846153844</v>
      </c>
      <c r="AD34" s="513">
        <f t="shared" si="5"/>
        <v>0.53846153846153844</v>
      </c>
      <c r="AE34" s="513">
        <f t="shared" si="6"/>
        <v>0.56583629893238441</v>
      </c>
      <c r="AG34" s="513">
        <f t="shared" si="7"/>
        <v>0.27015437392795882</v>
      </c>
      <c r="AH34" s="513">
        <f t="shared" si="8"/>
        <v>0.32508250825082508</v>
      </c>
      <c r="AI34" s="513">
        <f t="shared" si="9"/>
        <v>0.32951541850220262</v>
      </c>
      <c r="AK34" s="550">
        <f t="shared" si="11"/>
        <v>934.40000000000009</v>
      </c>
      <c r="AL34" s="550">
        <f t="shared" si="12"/>
        <v>946.50761421319794</v>
      </c>
      <c r="AM34" s="550">
        <f t="shared" si="13"/>
        <v>1129.0374331550802</v>
      </c>
    </row>
    <row r="35" spans="1:39" customFormat="1">
      <c r="A35" s="655" t="s">
        <v>382</v>
      </c>
      <c r="B35" s="655" t="s">
        <v>1164</v>
      </c>
      <c r="D35" t="s">
        <v>1059</v>
      </c>
      <c r="E35" t="s">
        <v>1164</v>
      </c>
      <c r="F35" t="s">
        <v>1058</v>
      </c>
      <c r="I35" s="550">
        <v>217</v>
      </c>
      <c r="J35" s="550">
        <v>230</v>
      </c>
      <c r="K35" s="550">
        <v>214</v>
      </c>
      <c r="M35" s="550">
        <v>425.5</v>
      </c>
      <c r="N35" s="550">
        <v>409</v>
      </c>
      <c r="O35" s="550">
        <v>380.5</v>
      </c>
      <c r="Q35" s="550">
        <v>12</v>
      </c>
      <c r="R35" s="550">
        <v>12</v>
      </c>
      <c r="S35" s="550">
        <v>8</v>
      </c>
      <c r="U35" s="513">
        <v>5.1421856639247947</v>
      </c>
      <c r="V35" s="513">
        <v>5.2542787286063568</v>
      </c>
      <c r="W35" s="513">
        <v>4.7752956636005255</v>
      </c>
      <c r="Y35" s="513">
        <v>49.954337899543376</v>
      </c>
      <c r="Z35" s="513">
        <v>49.06392694063927</v>
      </c>
      <c r="AA35" s="513">
        <v>62.056010928961747</v>
      </c>
      <c r="AC35" s="513">
        <f t="shared" si="4"/>
        <v>0.46153846153846156</v>
      </c>
      <c r="AD35" s="513">
        <f t="shared" si="5"/>
        <v>0.46153846153846156</v>
      </c>
      <c r="AE35" s="513">
        <f t="shared" si="6"/>
        <v>0.4341637010676157</v>
      </c>
      <c r="AG35" s="513">
        <f t="shared" si="7"/>
        <v>0.72984562607204118</v>
      </c>
      <c r="AH35" s="513">
        <f t="shared" si="8"/>
        <v>0.67491749174917492</v>
      </c>
      <c r="AI35" s="513">
        <f t="shared" si="9"/>
        <v>0.67048458149779733</v>
      </c>
      <c r="AK35" s="550">
        <f t="shared" si="11"/>
        <v>1115.8542890716803</v>
      </c>
      <c r="AL35" s="550">
        <f t="shared" si="12"/>
        <v>1208.484107579462</v>
      </c>
      <c r="AM35" s="550">
        <f t="shared" si="13"/>
        <v>1021.9132720105124</v>
      </c>
    </row>
    <row r="36" spans="1:39" customFormat="1">
      <c r="A36" s="655" t="s">
        <v>375</v>
      </c>
      <c r="B36" s="655" t="s">
        <v>1164</v>
      </c>
      <c r="D36" t="s">
        <v>1061</v>
      </c>
      <c r="E36" t="s">
        <v>1164</v>
      </c>
      <c r="F36" t="s">
        <v>1060</v>
      </c>
      <c r="I36" s="550">
        <v>1736</v>
      </c>
      <c r="J36" s="550">
        <v>1610</v>
      </c>
      <c r="K36" s="550">
        <v>1338</v>
      </c>
      <c r="M36" s="550">
        <v>1964</v>
      </c>
      <c r="N36" s="550">
        <v>1736</v>
      </c>
      <c r="O36" s="550">
        <v>1465</v>
      </c>
      <c r="Q36" s="550">
        <v>57</v>
      </c>
      <c r="R36" s="550">
        <v>57</v>
      </c>
      <c r="S36" s="550">
        <v>39.603825136612024</v>
      </c>
      <c r="U36" s="513">
        <v>7.0432790224032589</v>
      </c>
      <c r="V36" s="513">
        <v>6.008064516129032</v>
      </c>
      <c r="W36" s="513">
        <v>6.0839590443686005</v>
      </c>
      <c r="Y36" s="513">
        <v>66.48882480173036</v>
      </c>
      <c r="Z36" s="513">
        <v>50.132179764479694</v>
      </c>
      <c r="AA36" s="513">
        <v>61.490169023801307</v>
      </c>
      <c r="AC36" s="513">
        <f t="shared" si="4"/>
        <v>1</v>
      </c>
      <c r="AD36" s="513">
        <f t="shared" si="5"/>
        <v>1</v>
      </c>
      <c r="AE36" s="513">
        <f t="shared" si="6"/>
        <v>1</v>
      </c>
      <c r="AG36" s="513">
        <f t="shared" si="7"/>
        <v>1</v>
      </c>
      <c r="AH36" s="513">
        <f t="shared" si="8"/>
        <v>1</v>
      </c>
      <c r="AI36" s="513">
        <f t="shared" si="9"/>
        <v>1</v>
      </c>
      <c r="AK36" s="550">
        <f t="shared" si="11"/>
        <v>12227.132382892058</v>
      </c>
      <c r="AL36" s="550">
        <f t="shared" si="12"/>
        <v>9672.9838709677424</v>
      </c>
      <c r="AM36" s="550">
        <f t="shared" si="13"/>
        <v>8140.3372013651879</v>
      </c>
    </row>
    <row r="37" spans="1:39" customFormat="1">
      <c r="A37" s="655" t="s">
        <v>1126</v>
      </c>
      <c r="B37" s="655" t="s">
        <v>1167</v>
      </c>
      <c r="D37" t="s">
        <v>1093</v>
      </c>
      <c r="E37" t="s">
        <v>1167</v>
      </c>
      <c r="F37" t="s">
        <v>1092</v>
      </c>
      <c r="I37" s="550">
        <v>827</v>
      </c>
      <c r="J37" s="550">
        <v>657</v>
      </c>
      <c r="K37" s="550">
        <v>485</v>
      </c>
      <c r="M37" s="550">
        <v>829</v>
      </c>
      <c r="N37" s="550">
        <v>658</v>
      </c>
      <c r="O37" s="550">
        <v>486</v>
      </c>
      <c r="Q37" s="550">
        <v>20</v>
      </c>
      <c r="R37" s="550">
        <v>20</v>
      </c>
      <c r="S37" s="550">
        <v>14.333333333333334</v>
      </c>
      <c r="U37" s="513">
        <v>3.3112183353437876</v>
      </c>
      <c r="V37" s="513">
        <v>3.478723404255319</v>
      </c>
      <c r="W37" s="513">
        <v>4.3888888888888893</v>
      </c>
      <c r="Y37" s="513">
        <v>37.602739726027394</v>
      </c>
      <c r="Z37" s="513">
        <v>31.356164383561648</v>
      </c>
      <c r="AA37" s="513">
        <v>40.659550133434998</v>
      </c>
      <c r="AC37" s="513">
        <f t="shared" si="4"/>
        <v>1</v>
      </c>
      <c r="AD37" s="513">
        <f t="shared" si="5"/>
        <v>1</v>
      </c>
      <c r="AE37" s="513">
        <f t="shared" si="6"/>
        <v>1</v>
      </c>
      <c r="AG37" s="513">
        <f t="shared" si="7"/>
        <v>1</v>
      </c>
      <c r="AH37" s="513">
        <f t="shared" si="8"/>
        <v>1</v>
      </c>
      <c r="AI37" s="513">
        <f t="shared" si="9"/>
        <v>1</v>
      </c>
      <c r="AK37" s="550">
        <f t="shared" si="11"/>
        <v>2738.3775633293126</v>
      </c>
      <c r="AL37" s="550">
        <f t="shared" si="12"/>
        <v>2285.5212765957444</v>
      </c>
      <c r="AM37" s="550">
        <f t="shared" si="13"/>
        <v>2128.6111111111113</v>
      </c>
    </row>
    <row r="38" spans="1:39" customFormat="1">
      <c r="A38" s="655" t="s">
        <v>1121</v>
      </c>
      <c r="B38" s="655" t="s">
        <v>1164</v>
      </c>
      <c r="D38" t="s">
        <v>1095</v>
      </c>
      <c r="E38" t="s">
        <v>1167</v>
      </c>
      <c r="F38" t="s">
        <v>1094</v>
      </c>
      <c r="I38" s="550">
        <v>635</v>
      </c>
      <c r="J38" s="550">
        <v>379</v>
      </c>
      <c r="K38" s="550">
        <v>310</v>
      </c>
      <c r="M38" s="550">
        <v>651</v>
      </c>
      <c r="N38" s="550">
        <v>383.5</v>
      </c>
      <c r="O38" s="550">
        <v>315</v>
      </c>
      <c r="Q38" s="550">
        <v>20</v>
      </c>
      <c r="R38" s="550">
        <v>20</v>
      </c>
      <c r="S38" s="550">
        <v>9.0081967213114762</v>
      </c>
      <c r="U38" s="513">
        <v>5.1213517665130572</v>
      </c>
      <c r="V38" s="513">
        <v>5.3924380704041717</v>
      </c>
      <c r="W38" s="513">
        <v>5.6507936507936511</v>
      </c>
      <c r="Y38" s="513">
        <v>45.671232876712331</v>
      </c>
      <c r="Z38" s="513">
        <v>28.328767123287673</v>
      </c>
      <c r="AA38" s="513">
        <v>53.98847437063997</v>
      </c>
      <c r="AC38" s="513">
        <f t="shared" si="4"/>
        <v>0.55555555555555558</v>
      </c>
      <c r="AD38" s="513">
        <f t="shared" si="5"/>
        <v>0.55555555555555558</v>
      </c>
      <c r="AE38" s="513">
        <f t="shared" si="6"/>
        <v>0.48392778511668871</v>
      </c>
      <c r="AG38" s="513">
        <f t="shared" si="7"/>
        <v>0.54797979797979801</v>
      </c>
      <c r="AH38" s="513">
        <f t="shared" si="8"/>
        <v>0.38311688311688313</v>
      </c>
      <c r="AI38" s="513">
        <f t="shared" si="9"/>
        <v>0.39399624765478425</v>
      </c>
      <c r="AK38" s="550">
        <f t="shared" si="11"/>
        <v>3252.0583717357913</v>
      </c>
      <c r="AL38" s="550">
        <f t="shared" si="12"/>
        <v>2043.7340286831811</v>
      </c>
      <c r="AM38" s="550">
        <f t="shared" si="13"/>
        <v>1751.7460317460318</v>
      </c>
    </row>
    <row r="39" spans="1:39" customFormat="1">
      <c r="A39" s="655" t="s">
        <v>1121</v>
      </c>
      <c r="B39" s="655" t="s">
        <v>1164</v>
      </c>
      <c r="D39" t="s">
        <v>1063</v>
      </c>
      <c r="E39" t="s">
        <v>1164</v>
      </c>
      <c r="F39" t="s">
        <v>1062</v>
      </c>
      <c r="I39" s="550">
        <v>534</v>
      </c>
      <c r="J39" s="550">
        <v>615</v>
      </c>
      <c r="K39" s="550">
        <v>482</v>
      </c>
      <c r="M39" s="550">
        <v>537</v>
      </c>
      <c r="N39" s="550">
        <v>617.5</v>
      </c>
      <c r="O39" s="550">
        <v>484.5</v>
      </c>
      <c r="Q39" s="550">
        <v>16</v>
      </c>
      <c r="R39" s="550">
        <v>16</v>
      </c>
      <c r="S39" s="550">
        <v>9.6065573770491799</v>
      </c>
      <c r="U39" s="513">
        <v>4.1024208566108005</v>
      </c>
      <c r="V39" s="513">
        <v>3.928744939271255</v>
      </c>
      <c r="W39" s="513">
        <v>3.7626418988648092</v>
      </c>
      <c r="Y39" s="513">
        <v>37.722602739726028</v>
      </c>
      <c r="Z39" s="513">
        <v>41.541095890410958</v>
      </c>
      <c r="AA39" s="513">
        <v>51.84869169510808</v>
      </c>
      <c r="AC39" s="513">
        <f t="shared" si="4"/>
        <v>0.44444444444444442</v>
      </c>
      <c r="AD39" s="513">
        <f t="shared" si="5"/>
        <v>0.44444444444444442</v>
      </c>
      <c r="AE39" s="513">
        <f t="shared" si="6"/>
        <v>0.51607221488331123</v>
      </c>
      <c r="AG39" s="513">
        <f t="shared" si="7"/>
        <v>0.45202020202020204</v>
      </c>
      <c r="AH39" s="513">
        <f t="shared" si="8"/>
        <v>0.61688311688311692</v>
      </c>
      <c r="AI39" s="513">
        <f t="shared" si="9"/>
        <v>0.60600375234521575</v>
      </c>
      <c r="AK39" s="550">
        <f t="shared" si="11"/>
        <v>2190.6927374301677</v>
      </c>
      <c r="AL39" s="550">
        <f t="shared" si="12"/>
        <v>2416.178137651822</v>
      </c>
      <c r="AM39" s="550">
        <f t="shared" si="13"/>
        <v>1813.593395252838</v>
      </c>
    </row>
    <row r="40" spans="1:39" customFormat="1">
      <c r="A40" s="655" t="s">
        <v>2950</v>
      </c>
      <c r="B40" s="655" t="s">
        <v>1164</v>
      </c>
      <c r="D40" t="s">
        <v>2951</v>
      </c>
      <c r="E40" t="s">
        <v>1167</v>
      </c>
      <c r="F40" t="s">
        <v>2952</v>
      </c>
      <c r="I40" s="550">
        <v>0</v>
      </c>
      <c r="J40" s="550">
        <v>0</v>
      </c>
      <c r="K40" s="550">
        <v>0</v>
      </c>
      <c r="M40" s="550">
        <v>0</v>
      </c>
      <c r="N40" s="550">
        <v>0</v>
      </c>
      <c r="O40" s="550">
        <v>0</v>
      </c>
      <c r="Q40" s="550">
        <v>0</v>
      </c>
      <c r="R40" s="550">
        <v>0</v>
      </c>
      <c r="S40" s="550">
        <v>0</v>
      </c>
      <c r="U40" s="513">
        <v>0</v>
      </c>
      <c r="V40" s="513">
        <v>0</v>
      </c>
      <c r="W40" s="513">
        <v>0</v>
      </c>
      <c r="Y40" s="513">
        <v>0</v>
      </c>
      <c r="Z40" s="513">
        <v>0</v>
      </c>
      <c r="AA40" s="513">
        <v>0</v>
      </c>
      <c r="AC40" s="513">
        <f t="shared" si="4"/>
        <v>0</v>
      </c>
      <c r="AD40" s="513">
        <f t="shared" si="5"/>
        <v>0</v>
      </c>
      <c r="AE40" s="513">
        <f t="shared" si="6"/>
        <v>0</v>
      </c>
      <c r="AG40" s="513">
        <f t="shared" si="7"/>
        <v>0</v>
      </c>
      <c r="AH40" s="513">
        <f t="shared" si="8"/>
        <v>0</v>
      </c>
      <c r="AI40" s="513">
        <f t="shared" si="9"/>
        <v>0</v>
      </c>
      <c r="AK40" s="550">
        <f t="shared" si="11"/>
        <v>0</v>
      </c>
      <c r="AL40" s="550">
        <f t="shared" si="12"/>
        <v>0</v>
      </c>
      <c r="AM40" s="550">
        <f t="shared" si="13"/>
        <v>0</v>
      </c>
    </row>
    <row r="41" spans="1:39" customFormat="1">
      <c r="A41" s="655" t="s">
        <v>412</v>
      </c>
      <c r="B41" s="655" t="s">
        <v>1164</v>
      </c>
      <c r="D41" t="s">
        <v>2953</v>
      </c>
      <c r="E41" t="s">
        <v>1167</v>
      </c>
      <c r="F41" t="s">
        <v>2954</v>
      </c>
      <c r="I41" s="550">
        <v>0</v>
      </c>
      <c r="J41" s="550">
        <v>0</v>
      </c>
      <c r="K41" s="550">
        <v>0</v>
      </c>
      <c r="M41" s="550">
        <v>0</v>
      </c>
      <c r="N41" s="550">
        <v>0</v>
      </c>
      <c r="O41" s="550">
        <v>0</v>
      </c>
      <c r="Q41" s="550">
        <v>0</v>
      </c>
      <c r="R41" s="550">
        <v>0</v>
      </c>
      <c r="S41" s="550">
        <v>0</v>
      </c>
      <c r="U41" s="513">
        <v>0</v>
      </c>
      <c r="V41" s="513">
        <v>0</v>
      </c>
      <c r="W41" s="513">
        <v>0</v>
      </c>
      <c r="Y41" s="513">
        <v>0</v>
      </c>
      <c r="Z41" s="513">
        <v>0</v>
      </c>
      <c r="AA41" s="513">
        <v>0</v>
      </c>
      <c r="AC41" s="513">
        <f t="shared" si="4"/>
        <v>0</v>
      </c>
      <c r="AD41" s="513">
        <f t="shared" si="5"/>
        <v>0</v>
      </c>
      <c r="AE41" s="513">
        <f t="shared" si="6"/>
        <v>0</v>
      </c>
      <c r="AG41" s="513">
        <f t="shared" si="7"/>
        <v>0</v>
      </c>
      <c r="AH41" s="513">
        <f t="shared" si="8"/>
        <v>0</v>
      </c>
      <c r="AI41" s="513">
        <f t="shared" si="9"/>
        <v>0</v>
      </c>
      <c r="AK41" s="550">
        <f t="shared" si="11"/>
        <v>0</v>
      </c>
      <c r="AL41" s="550">
        <f t="shared" si="12"/>
        <v>0</v>
      </c>
      <c r="AM41" s="550">
        <f t="shared" si="13"/>
        <v>0</v>
      </c>
    </row>
    <row r="42" spans="1:39" customFormat="1">
      <c r="A42" s="655" t="s">
        <v>412</v>
      </c>
      <c r="B42" s="655" t="s">
        <v>1164</v>
      </c>
      <c r="D42" t="s">
        <v>2955</v>
      </c>
      <c r="E42" t="s">
        <v>1167</v>
      </c>
      <c r="F42" t="s">
        <v>2956</v>
      </c>
      <c r="I42" s="550">
        <v>0</v>
      </c>
      <c r="J42" s="550">
        <v>0</v>
      </c>
      <c r="K42" s="550">
        <v>0</v>
      </c>
      <c r="M42" s="550">
        <v>0</v>
      </c>
      <c r="N42" s="550">
        <v>0</v>
      </c>
      <c r="O42" s="550">
        <v>0</v>
      </c>
      <c r="Q42" s="550">
        <v>0</v>
      </c>
      <c r="R42" s="550">
        <v>0</v>
      </c>
      <c r="S42" s="550">
        <v>0</v>
      </c>
      <c r="U42" s="513">
        <v>0</v>
      </c>
      <c r="V42" s="513">
        <v>0</v>
      </c>
      <c r="W42" s="513">
        <v>0</v>
      </c>
      <c r="Y42" s="513">
        <v>0</v>
      </c>
      <c r="Z42" s="513">
        <v>0</v>
      </c>
      <c r="AA42" s="513">
        <v>0</v>
      </c>
      <c r="AC42" s="513">
        <f t="shared" si="4"/>
        <v>0</v>
      </c>
      <c r="AD42" s="513">
        <f t="shared" si="5"/>
        <v>0</v>
      </c>
      <c r="AE42" s="513">
        <f t="shared" si="6"/>
        <v>0</v>
      </c>
      <c r="AG42" s="513">
        <f t="shared" si="7"/>
        <v>0</v>
      </c>
      <c r="AH42" s="513">
        <f t="shared" si="8"/>
        <v>0</v>
      </c>
      <c r="AI42" s="513">
        <f t="shared" si="9"/>
        <v>0</v>
      </c>
      <c r="AK42" s="550">
        <f t="shared" si="11"/>
        <v>0</v>
      </c>
      <c r="AL42" s="550">
        <f t="shared" si="12"/>
        <v>0</v>
      </c>
      <c r="AM42" s="550">
        <f t="shared" si="13"/>
        <v>0</v>
      </c>
    </row>
    <row r="43" spans="1:39" customFormat="1">
      <c r="A43" s="655" t="s">
        <v>1117</v>
      </c>
      <c r="B43" s="655" t="s">
        <v>1164</v>
      </c>
      <c r="D43" t="s">
        <v>2957</v>
      </c>
      <c r="E43" t="s">
        <v>1167</v>
      </c>
      <c r="F43" t="s">
        <v>2958</v>
      </c>
      <c r="I43" s="550">
        <v>0</v>
      </c>
      <c r="J43" s="550">
        <v>0</v>
      </c>
      <c r="K43" s="550">
        <v>0</v>
      </c>
      <c r="M43" s="550">
        <v>0</v>
      </c>
      <c r="N43" s="550">
        <v>0</v>
      </c>
      <c r="O43" s="550">
        <v>0</v>
      </c>
      <c r="Q43" s="550">
        <v>0</v>
      </c>
      <c r="R43" s="550">
        <v>0</v>
      </c>
      <c r="S43" s="550">
        <v>0</v>
      </c>
      <c r="U43" s="513">
        <v>0</v>
      </c>
      <c r="V43" s="513">
        <v>0</v>
      </c>
      <c r="W43" s="513">
        <v>0</v>
      </c>
      <c r="Y43" s="513">
        <v>0</v>
      </c>
      <c r="Z43" s="513">
        <v>0</v>
      </c>
      <c r="AA43" s="513">
        <v>0</v>
      </c>
      <c r="AC43" s="513">
        <f t="shared" si="4"/>
        <v>0</v>
      </c>
      <c r="AD43" s="513">
        <f t="shared" si="5"/>
        <v>0</v>
      </c>
      <c r="AE43" s="513">
        <f t="shared" si="6"/>
        <v>0</v>
      </c>
      <c r="AG43" s="513">
        <f t="shared" si="7"/>
        <v>0</v>
      </c>
      <c r="AH43" s="513">
        <f t="shared" si="8"/>
        <v>0</v>
      </c>
      <c r="AI43" s="513">
        <f t="shared" si="9"/>
        <v>0</v>
      </c>
      <c r="AK43" s="550">
        <f t="shared" si="11"/>
        <v>0</v>
      </c>
      <c r="AL43" s="550">
        <f t="shared" si="12"/>
        <v>0</v>
      </c>
      <c r="AM43" s="550">
        <f t="shared" si="13"/>
        <v>0</v>
      </c>
    </row>
    <row r="44" spans="1:39" customFormat="1">
      <c r="A44" s="656"/>
      <c r="B44" s="656"/>
      <c r="D44" t="s">
        <v>2959</v>
      </c>
      <c r="E44" t="s">
        <v>1164</v>
      </c>
      <c r="F44" t="s">
        <v>2960</v>
      </c>
      <c r="I44" s="550">
        <v>0</v>
      </c>
      <c r="J44" s="550">
        <v>0</v>
      </c>
      <c r="K44" s="550">
        <v>0</v>
      </c>
      <c r="M44" s="550">
        <v>0</v>
      </c>
      <c r="N44" s="550">
        <v>0</v>
      </c>
      <c r="O44" s="550">
        <v>0</v>
      </c>
      <c r="Q44" s="550">
        <v>0</v>
      </c>
      <c r="R44" s="550">
        <v>0</v>
      </c>
      <c r="S44" s="550">
        <v>0</v>
      </c>
      <c r="U44" s="513">
        <v>0</v>
      </c>
      <c r="V44" s="513">
        <v>0</v>
      </c>
      <c r="W44" s="513">
        <v>0</v>
      </c>
      <c r="Y44" s="513">
        <v>0</v>
      </c>
      <c r="Z44" s="513">
        <v>0</v>
      </c>
      <c r="AA44" s="513">
        <v>0</v>
      </c>
      <c r="AC44" s="513">
        <f t="shared" si="4"/>
        <v>0</v>
      </c>
      <c r="AD44" s="513">
        <f t="shared" si="5"/>
        <v>0</v>
      </c>
      <c r="AE44" s="513">
        <f t="shared" si="6"/>
        <v>0</v>
      </c>
      <c r="AG44" s="513">
        <f t="shared" si="7"/>
        <v>0</v>
      </c>
      <c r="AH44" s="513">
        <f t="shared" si="8"/>
        <v>0</v>
      </c>
      <c r="AI44" s="513">
        <f t="shared" si="9"/>
        <v>0</v>
      </c>
      <c r="AK44" s="550">
        <f t="shared" si="11"/>
        <v>0</v>
      </c>
      <c r="AL44" s="550">
        <f t="shared" si="12"/>
        <v>0</v>
      </c>
      <c r="AM44" s="550">
        <f t="shared" si="13"/>
        <v>0</v>
      </c>
    </row>
    <row r="45" spans="1:39" customFormat="1">
      <c r="A45" s="655" t="s">
        <v>363</v>
      </c>
      <c r="B45" s="655" t="s">
        <v>1164</v>
      </c>
      <c r="D45" t="s">
        <v>2961</v>
      </c>
      <c r="E45" t="s">
        <v>1164</v>
      </c>
      <c r="F45" t="s">
        <v>2962</v>
      </c>
      <c r="I45" s="550">
        <v>0</v>
      </c>
      <c r="J45" s="550">
        <v>0</v>
      </c>
      <c r="K45" s="550">
        <v>0</v>
      </c>
      <c r="M45" s="550">
        <v>0</v>
      </c>
      <c r="N45" s="550">
        <v>0</v>
      </c>
      <c r="O45" s="550">
        <v>0</v>
      </c>
      <c r="Q45" s="550">
        <v>0</v>
      </c>
      <c r="R45" s="550">
        <v>0</v>
      </c>
      <c r="S45" s="550">
        <v>0</v>
      </c>
      <c r="U45" s="513">
        <v>0</v>
      </c>
      <c r="V45" s="513">
        <v>0</v>
      </c>
      <c r="W45" s="513">
        <v>0</v>
      </c>
      <c r="Y45" s="513">
        <v>0</v>
      </c>
      <c r="Z45" s="513">
        <v>0</v>
      </c>
      <c r="AA45" s="513">
        <v>0</v>
      </c>
      <c r="AC45" s="513">
        <f t="shared" si="4"/>
        <v>0</v>
      </c>
      <c r="AD45" s="513">
        <f t="shared" si="5"/>
        <v>0</v>
      </c>
      <c r="AE45" s="513">
        <f t="shared" si="6"/>
        <v>0</v>
      </c>
      <c r="AG45" s="513">
        <f t="shared" si="7"/>
        <v>0</v>
      </c>
      <c r="AH45" s="513">
        <f t="shared" si="8"/>
        <v>0</v>
      </c>
      <c r="AI45" s="513">
        <f t="shared" si="9"/>
        <v>0</v>
      </c>
      <c r="AK45" s="550">
        <f t="shared" si="11"/>
        <v>0</v>
      </c>
      <c r="AL45" s="550">
        <f t="shared" si="12"/>
        <v>0</v>
      </c>
      <c r="AM45" s="550">
        <f t="shared" si="13"/>
        <v>0</v>
      </c>
    </row>
    <row r="46" spans="1:39" customFormat="1">
      <c r="A46" s="657" t="s">
        <v>1168</v>
      </c>
      <c r="B46" s="657" t="s">
        <v>1167</v>
      </c>
      <c r="D46" t="s">
        <v>1097</v>
      </c>
      <c r="E46" t="s">
        <v>1167</v>
      </c>
      <c r="F46" t="s">
        <v>1096</v>
      </c>
      <c r="I46" s="550">
        <v>1933</v>
      </c>
      <c r="J46" s="550">
        <v>2011</v>
      </c>
      <c r="K46" s="550">
        <v>1644</v>
      </c>
      <c r="M46" s="550">
        <v>2258</v>
      </c>
      <c r="N46" s="550">
        <v>2368.5</v>
      </c>
      <c r="O46" s="550">
        <v>1920.5</v>
      </c>
      <c r="Q46" s="550">
        <v>60</v>
      </c>
      <c r="R46" s="550">
        <v>60</v>
      </c>
      <c r="S46" s="550">
        <v>59.289617486338798</v>
      </c>
      <c r="U46" s="513">
        <v>7.771922054915855</v>
      </c>
      <c r="V46" s="513">
        <v>6.9660122440363104</v>
      </c>
      <c r="W46" s="513">
        <v>7.6396771674043213</v>
      </c>
      <c r="Y46" s="513">
        <v>80.132420091324192</v>
      </c>
      <c r="Z46" s="513">
        <v>75.337899543378995</v>
      </c>
      <c r="AA46" s="513">
        <v>67.612903225806448</v>
      </c>
      <c r="AC46" s="513">
        <f t="shared" si="4"/>
        <v>1</v>
      </c>
      <c r="AD46" s="513">
        <f t="shared" si="5"/>
        <v>1</v>
      </c>
      <c r="AE46" s="513">
        <f t="shared" si="6"/>
        <v>1</v>
      </c>
      <c r="AG46" s="513">
        <f t="shared" si="7"/>
        <v>1</v>
      </c>
      <c r="AH46" s="513">
        <f t="shared" si="8"/>
        <v>1</v>
      </c>
      <c r="AI46" s="513">
        <f t="shared" si="9"/>
        <v>1</v>
      </c>
      <c r="AK46" s="550">
        <f t="shared" si="11"/>
        <v>15023.125332152347</v>
      </c>
      <c r="AL46" s="550">
        <f t="shared" si="12"/>
        <v>14008.650622757021</v>
      </c>
      <c r="AM46" s="550">
        <f t="shared" si="13"/>
        <v>12559.629263212704</v>
      </c>
    </row>
    <row r="47" spans="1:39" customFormat="1">
      <c r="A47" s="657" t="s">
        <v>1114</v>
      </c>
      <c r="B47" s="657" t="s">
        <v>1164</v>
      </c>
      <c r="D47" t="s">
        <v>1065</v>
      </c>
      <c r="E47" t="s">
        <v>1164</v>
      </c>
      <c r="F47" t="s">
        <v>1064</v>
      </c>
      <c r="I47" s="550">
        <v>2563</v>
      </c>
      <c r="J47" s="550">
        <v>2674</v>
      </c>
      <c r="K47" s="550">
        <v>2570</v>
      </c>
      <c r="M47" s="550">
        <v>3202.5</v>
      </c>
      <c r="N47" s="550">
        <v>3353.5</v>
      </c>
      <c r="O47" s="550">
        <v>3237.5</v>
      </c>
      <c r="Q47" s="550">
        <v>87</v>
      </c>
      <c r="R47" s="550">
        <v>87</v>
      </c>
      <c r="S47" s="550">
        <v>63.251366120218577</v>
      </c>
      <c r="U47" s="513">
        <v>6.2176424668227952</v>
      </c>
      <c r="V47" s="513">
        <v>5.8404651856269574</v>
      </c>
      <c r="W47" s="513">
        <v>5.5403861003861001</v>
      </c>
      <c r="Y47" s="513">
        <v>62.705085813257753</v>
      </c>
      <c r="Z47" s="513">
        <v>61.678475830577867</v>
      </c>
      <c r="AA47" s="513">
        <v>77.481641468682511</v>
      </c>
      <c r="AC47" s="513">
        <f t="shared" si="4"/>
        <v>1</v>
      </c>
      <c r="AD47" s="513">
        <f t="shared" si="5"/>
        <v>1</v>
      </c>
      <c r="AE47" s="513">
        <f t="shared" si="6"/>
        <v>1</v>
      </c>
      <c r="AG47" s="513">
        <f t="shared" si="7"/>
        <v>1</v>
      </c>
      <c r="AH47" s="513">
        <f t="shared" si="8"/>
        <v>1</v>
      </c>
      <c r="AI47" s="513">
        <f t="shared" si="9"/>
        <v>1</v>
      </c>
      <c r="AK47" s="550">
        <f t="shared" si="11"/>
        <v>15935.817642466824</v>
      </c>
      <c r="AL47" s="550">
        <f t="shared" si="12"/>
        <v>15617.403906366484</v>
      </c>
      <c r="AM47" s="550">
        <f t="shared" si="13"/>
        <v>14238.792277992277</v>
      </c>
    </row>
    <row r="48" spans="1:39" customFormat="1">
      <c r="A48" s="655" t="s">
        <v>1128</v>
      </c>
      <c r="B48" s="655" t="s">
        <v>1167</v>
      </c>
      <c r="D48" t="s">
        <v>1099</v>
      </c>
      <c r="E48" t="s">
        <v>1167</v>
      </c>
      <c r="F48" t="s">
        <v>1098</v>
      </c>
      <c r="I48" s="550">
        <v>931</v>
      </c>
      <c r="J48" s="550">
        <v>1039</v>
      </c>
      <c r="K48" s="550">
        <v>1165</v>
      </c>
      <c r="M48" s="550">
        <v>1013.5</v>
      </c>
      <c r="N48" s="550">
        <v>1146.5</v>
      </c>
      <c r="O48" s="550">
        <v>1518.5</v>
      </c>
      <c r="Q48" s="550">
        <v>50</v>
      </c>
      <c r="R48" s="550">
        <v>50</v>
      </c>
      <c r="S48" s="550">
        <v>47.631147540983605</v>
      </c>
      <c r="U48" s="513">
        <v>4.6946225949679334</v>
      </c>
      <c r="V48" s="513">
        <v>4.7405146096816395</v>
      </c>
      <c r="W48" s="513">
        <v>5.3572604543957851</v>
      </c>
      <c r="Y48" s="513">
        <v>26.071232876712326</v>
      </c>
      <c r="Z48" s="513">
        <v>29.780821917808225</v>
      </c>
      <c r="AA48" s="513">
        <v>46.664372167727876</v>
      </c>
      <c r="AC48" s="513">
        <f t="shared" si="4"/>
        <v>1</v>
      </c>
      <c r="AD48" s="513">
        <f t="shared" si="5"/>
        <v>1</v>
      </c>
      <c r="AE48" s="513">
        <f t="shared" si="6"/>
        <v>1</v>
      </c>
      <c r="AG48" s="513">
        <f t="shared" si="7"/>
        <v>1</v>
      </c>
      <c r="AH48" s="513">
        <f t="shared" si="8"/>
        <v>1</v>
      </c>
      <c r="AI48" s="513">
        <f t="shared" si="9"/>
        <v>1</v>
      </c>
      <c r="AK48" s="550">
        <f t="shared" si="11"/>
        <v>4370.6936359151459</v>
      </c>
      <c r="AL48" s="550">
        <f t="shared" si="12"/>
        <v>4925.3946794592239</v>
      </c>
      <c r="AM48" s="550">
        <f t="shared" si="13"/>
        <v>6241.2084293710896</v>
      </c>
    </row>
    <row r="49" spans="1:39" customFormat="1">
      <c r="A49" s="655" t="s">
        <v>1129</v>
      </c>
      <c r="B49" s="655" t="s">
        <v>1167</v>
      </c>
      <c r="D49" t="s">
        <v>1101</v>
      </c>
      <c r="E49" t="s">
        <v>1167</v>
      </c>
      <c r="F49" t="s">
        <v>1100</v>
      </c>
      <c r="I49" s="550">
        <v>1088</v>
      </c>
      <c r="J49" s="550">
        <v>1029</v>
      </c>
      <c r="K49" s="550">
        <v>891</v>
      </c>
      <c r="M49" s="550">
        <v>1183</v>
      </c>
      <c r="N49" s="550">
        <v>1127.5</v>
      </c>
      <c r="O49" s="550">
        <v>1028</v>
      </c>
      <c r="Q49" s="550">
        <v>44</v>
      </c>
      <c r="R49" s="550">
        <v>44</v>
      </c>
      <c r="S49" s="550">
        <v>40.54371584699453</v>
      </c>
      <c r="U49" s="513">
        <v>8.4835164835164836</v>
      </c>
      <c r="V49" s="513">
        <v>8.4310421286031048</v>
      </c>
      <c r="W49" s="513">
        <v>7.6984435797665363</v>
      </c>
      <c r="Y49" s="513">
        <v>62.490660024906603</v>
      </c>
      <c r="Z49" s="513">
        <v>59.190535491905351</v>
      </c>
      <c r="AA49" s="513">
        <v>53.332434800188693</v>
      </c>
      <c r="AC49" s="513">
        <f t="shared" si="4"/>
        <v>1</v>
      </c>
      <c r="AD49" s="513">
        <f t="shared" si="5"/>
        <v>1</v>
      </c>
      <c r="AE49" s="513">
        <f t="shared" si="6"/>
        <v>1</v>
      </c>
      <c r="AG49" s="513">
        <f t="shared" si="7"/>
        <v>1</v>
      </c>
      <c r="AH49" s="513">
        <f t="shared" si="8"/>
        <v>1</v>
      </c>
      <c r="AI49" s="513">
        <f t="shared" si="9"/>
        <v>1</v>
      </c>
      <c r="AK49" s="550">
        <f t="shared" si="11"/>
        <v>9230.0659340659349</v>
      </c>
      <c r="AL49" s="550">
        <f t="shared" si="12"/>
        <v>8675.5423503325947</v>
      </c>
      <c r="AM49" s="550">
        <f t="shared" si="13"/>
        <v>6859.3132295719834</v>
      </c>
    </row>
    <row r="50" spans="1:39" customFormat="1">
      <c r="A50" s="657" t="s">
        <v>1120</v>
      </c>
      <c r="B50" s="657" t="s">
        <v>1167</v>
      </c>
      <c r="D50" t="s">
        <v>1103</v>
      </c>
      <c r="E50" t="s">
        <v>1167</v>
      </c>
      <c r="F50" t="s">
        <v>1102</v>
      </c>
      <c r="I50" s="550">
        <v>998</v>
      </c>
      <c r="J50" s="550">
        <v>1191</v>
      </c>
      <c r="K50" s="550">
        <v>804</v>
      </c>
      <c r="M50" s="550">
        <v>1089</v>
      </c>
      <c r="N50" s="550">
        <v>1290</v>
      </c>
      <c r="O50" s="550">
        <v>895</v>
      </c>
      <c r="Q50" s="550">
        <v>34</v>
      </c>
      <c r="R50" s="550">
        <v>34</v>
      </c>
      <c r="S50" s="550">
        <v>31.234972677595628</v>
      </c>
      <c r="U50" s="513">
        <v>7.296602387511478</v>
      </c>
      <c r="V50" s="513">
        <v>7.4984496124031006</v>
      </c>
      <c r="W50" s="513">
        <v>7.2860335195530723</v>
      </c>
      <c r="Y50" s="513">
        <v>64.029008863819499</v>
      </c>
      <c r="Z50" s="513">
        <v>77.945205479452056</v>
      </c>
      <c r="AA50" s="513">
        <v>57.041637508747378</v>
      </c>
      <c r="AC50" s="513">
        <f t="shared" si="4"/>
        <v>1</v>
      </c>
      <c r="AD50" s="513">
        <f t="shared" si="5"/>
        <v>1</v>
      </c>
      <c r="AE50" s="513">
        <f t="shared" si="6"/>
        <v>1</v>
      </c>
      <c r="AG50" s="513">
        <f t="shared" si="7"/>
        <v>1</v>
      </c>
      <c r="AH50" s="513">
        <f t="shared" si="8"/>
        <v>1</v>
      </c>
      <c r="AI50" s="513">
        <f t="shared" si="9"/>
        <v>1</v>
      </c>
      <c r="AK50" s="550">
        <f t="shared" si="11"/>
        <v>7282.0091827364549</v>
      </c>
      <c r="AL50" s="550">
        <f t="shared" si="12"/>
        <v>8930.6534883720924</v>
      </c>
      <c r="AM50" s="550">
        <f t="shared" si="13"/>
        <v>5857.9709497206704</v>
      </c>
    </row>
    <row r="51" spans="1:39" customFormat="1">
      <c r="A51" s="657" t="s">
        <v>1120</v>
      </c>
      <c r="B51" s="657" t="s">
        <v>1164</v>
      </c>
      <c r="D51" t="s">
        <v>1067</v>
      </c>
      <c r="E51" t="s">
        <v>1164</v>
      </c>
      <c r="F51" t="s">
        <v>1066</v>
      </c>
      <c r="I51" s="550">
        <v>1369</v>
      </c>
      <c r="J51" s="550">
        <v>1333</v>
      </c>
      <c r="K51" s="550">
        <v>1255</v>
      </c>
      <c r="M51" s="550">
        <v>2083</v>
      </c>
      <c r="N51" s="550">
        <v>2038.5</v>
      </c>
      <c r="O51" s="550">
        <v>2000</v>
      </c>
      <c r="Q51" s="550">
        <v>50</v>
      </c>
      <c r="R51" s="550">
        <v>50</v>
      </c>
      <c r="S51" s="550">
        <v>37.213114754098356</v>
      </c>
      <c r="U51" s="513">
        <v>5.9207873259721557</v>
      </c>
      <c r="V51" s="513">
        <v>5.0468481726759871</v>
      </c>
      <c r="W51" s="513">
        <v>4.5374999999999996</v>
      </c>
      <c r="Y51" s="513">
        <v>67.578082191780823</v>
      </c>
      <c r="Z51" s="513">
        <v>56.372602739726034</v>
      </c>
      <c r="AA51" s="513">
        <v>66.629955947136565</v>
      </c>
      <c r="AC51" s="513">
        <f t="shared" si="4"/>
        <v>1</v>
      </c>
      <c r="AD51" s="513">
        <f t="shared" si="5"/>
        <v>1</v>
      </c>
      <c r="AE51" s="513">
        <f t="shared" si="6"/>
        <v>1</v>
      </c>
      <c r="AG51" s="513">
        <f t="shared" si="7"/>
        <v>1</v>
      </c>
      <c r="AH51" s="513">
        <f t="shared" si="8"/>
        <v>1</v>
      </c>
      <c r="AI51" s="513">
        <f t="shared" si="9"/>
        <v>1</v>
      </c>
      <c r="AK51" s="550">
        <f t="shared" si="11"/>
        <v>8105.5578492558816</v>
      </c>
      <c r="AL51" s="550">
        <f t="shared" si="12"/>
        <v>6727.4486141770903</v>
      </c>
      <c r="AM51" s="550">
        <f t="shared" si="13"/>
        <v>5694.5625</v>
      </c>
    </row>
    <row r="52" spans="1:39" customFormat="1">
      <c r="A52" s="655" t="s">
        <v>1125</v>
      </c>
      <c r="B52" s="655" t="s">
        <v>1167</v>
      </c>
      <c r="D52" t="s">
        <v>1105</v>
      </c>
      <c r="E52" t="s">
        <v>1167</v>
      </c>
      <c r="F52" t="s">
        <v>1104</v>
      </c>
      <c r="I52" s="550">
        <v>895</v>
      </c>
      <c r="J52" s="550">
        <v>1081</v>
      </c>
      <c r="K52" s="550">
        <v>737</v>
      </c>
      <c r="M52" s="550">
        <v>897</v>
      </c>
      <c r="N52" s="550">
        <v>1079</v>
      </c>
      <c r="O52" s="550">
        <v>732.5</v>
      </c>
      <c r="Q52" s="550">
        <v>48</v>
      </c>
      <c r="R52" s="550">
        <v>48</v>
      </c>
      <c r="S52" s="550">
        <v>48</v>
      </c>
      <c r="U52" s="513">
        <v>12.738015607580824</v>
      </c>
      <c r="V52" s="513">
        <v>11.96014828544949</v>
      </c>
      <c r="W52" s="513">
        <v>10.083276450511944</v>
      </c>
      <c r="Y52" s="513">
        <v>59.743150684931507</v>
      </c>
      <c r="Z52" s="513">
        <v>64.394977168949765</v>
      </c>
      <c r="AA52" s="513">
        <v>42.019581056466301</v>
      </c>
      <c r="AC52" s="513">
        <f t="shared" si="4"/>
        <v>0.35555555555555557</v>
      </c>
      <c r="AD52" s="513">
        <f t="shared" si="5"/>
        <v>0.35555555555555557</v>
      </c>
      <c r="AE52" s="513">
        <f t="shared" si="6"/>
        <v>0.39368067226890757</v>
      </c>
      <c r="AG52" s="513">
        <f t="shared" si="7"/>
        <v>0.34526558891454967</v>
      </c>
      <c r="AH52" s="513">
        <f t="shared" si="8"/>
        <v>0.40096618357487923</v>
      </c>
      <c r="AI52" s="513">
        <f t="shared" si="9"/>
        <v>0.34822914190634657</v>
      </c>
      <c r="AK52" s="550">
        <f t="shared" si="11"/>
        <v>11400.523968784837</v>
      </c>
      <c r="AL52" s="550">
        <f t="shared" si="12"/>
        <v>12928.920296570899</v>
      </c>
      <c r="AM52" s="550">
        <f t="shared" si="13"/>
        <v>7431.3747440273028</v>
      </c>
    </row>
    <row r="53" spans="1:39" customFormat="1">
      <c r="A53" s="655" t="s">
        <v>1125</v>
      </c>
      <c r="B53" s="655" t="s">
        <v>1167</v>
      </c>
      <c r="D53" t="s">
        <v>1069</v>
      </c>
      <c r="E53" t="s">
        <v>1164</v>
      </c>
      <c r="F53" t="s">
        <v>1068</v>
      </c>
      <c r="I53" s="550">
        <v>1712</v>
      </c>
      <c r="J53" s="550">
        <v>1601</v>
      </c>
      <c r="K53" s="550">
        <v>1364</v>
      </c>
      <c r="M53" s="550">
        <v>1701</v>
      </c>
      <c r="N53" s="550">
        <v>1612</v>
      </c>
      <c r="O53" s="550">
        <v>1371</v>
      </c>
      <c r="Q53" s="550">
        <v>87</v>
      </c>
      <c r="R53" s="550">
        <v>87</v>
      </c>
      <c r="S53" s="550">
        <v>73.926229508196727</v>
      </c>
      <c r="U53" s="513">
        <v>12.783068783068783</v>
      </c>
      <c r="V53" s="513">
        <v>12.465880893300248</v>
      </c>
      <c r="W53" s="513">
        <v>12.849744711889132</v>
      </c>
      <c r="Y53" s="513">
        <v>66.43993071957172</v>
      </c>
      <c r="Z53" s="513">
        <v>62.320894347346872</v>
      </c>
      <c r="AA53" s="513">
        <v>65.110692242303287</v>
      </c>
      <c r="AC53" s="513">
        <f t="shared" si="4"/>
        <v>0.64444444444444449</v>
      </c>
      <c r="AD53" s="513">
        <f t="shared" si="5"/>
        <v>0.64444444444444449</v>
      </c>
      <c r="AE53" s="513">
        <f t="shared" si="6"/>
        <v>0.60631932773109243</v>
      </c>
      <c r="AG53" s="513">
        <f t="shared" si="7"/>
        <v>0.65473441108545039</v>
      </c>
      <c r="AH53" s="513">
        <f t="shared" si="8"/>
        <v>0.59903381642512077</v>
      </c>
      <c r="AI53" s="513">
        <f t="shared" si="9"/>
        <v>0.65177085809365343</v>
      </c>
      <c r="AK53" s="550">
        <f t="shared" si="11"/>
        <v>21884.613756613759</v>
      </c>
      <c r="AL53" s="550">
        <f t="shared" si="12"/>
        <v>19957.875310173698</v>
      </c>
      <c r="AM53" s="550">
        <f t="shared" si="13"/>
        <v>17527.051787016775</v>
      </c>
    </row>
    <row r="54" spans="1:39" customFormat="1">
      <c r="A54" s="655" t="s">
        <v>1130</v>
      </c>
      <c r="B54" s="655" t="s">
        <v>1167</v>
      </c>
      <c r="D54" t="s">
        <v>1107</v>
      </c>
      <c r="E54" t="s">
        <v>1167</v>
      </c>
      <c r="F54" t="s">
        <v>1106</v>
      </c>
      <c r="I54" s="550">
        <v>958</v>
      </c>
      <c r="J54" s="550">
        <v>950</v>
      </c>
      <c r="K54" s="550">
        <v>432</v>
      </c>
      <c r="M54" s="550">
        <v>960</v>
      </c>
      <c r="N54" s="550">
        <v>952</v>
      </c>
      <c r="O54" s="550">
        <v>434</v>
      </c>
      <c r="Q54" s="550">
        <v>22</v>
      </c>
      <c r="R54" s="550">
        <v>22</v>
      </c>
      <c r="S54" s="550">
        <v>12.639344262295081</v>
      </c>
      <c r="U54" s="513">
        <v>6.9666666666666668</v>
      </c>
      <c r="V54" s="513">
        <v>6.8918067226890756</v>
      </c>
      <c r="W54" s="513">
        <v>6.6820276497695854</v>
      </c>
      <c r="Y54" s="513">
        <v>83.287671232876718</v>
      </c>
      <c r="Z54" s="513">
        <v>81.706102117061022</v>
      </c>
      <c r="AA54" s="513">
        <v>62.689148292261137</v>
      </c>
      <c r="AC54" s="513">
        <f t="shared" si="4"/>
        <v>0</v>
      </c>
      <c r="AD54" s="513">
        <f t="shared" si="5"/>
        <v>0</v>
      </c>
      <c r="AE54" s="513">
        <f t="shared" si="6"/>
        <v>0</v>
      </c>
      <c r="AG54" s="513">
        <f t="shared" si="7"/>
        <v>0</v>
      </c>
      <c r="AH54" s="513">
        <f t="shared" si="8"/>
        <v>0</v>
      </c>
      <c r="AI54" s="513">
        <f t="shared" si="9"/>
        <v>0</v>
      </c>
      <c r="AK54" s="550">
        <f t="shared" si="11"/>
        <v>6674.0666666666666</v>
      </c>
      <c r="AL54" s="550">
        <f t="shared" si="12"/>
        <v>6547.2163865546217</v>
      </c>
      <c r="AM54" s="550">
        <f t="shared" si="13"/>
        <v>2886.6359447004611</v>
      </c>
    </row>
    <row r="55" spans="1:39" customFormat="1">
      <c r="A55" s="655" t="s">
        <v>1127</v>
      </c>
      <c r="B55" s="655" t="s">
        <v>1167</v>
      </c>
      <c r="D55" t="s">
        <v>1071</v>
      </c>
      <c r="E55" t="s">
        <v>1164</v>
      </c>
      <c r="F55" t="s">
        <v>1070</v>
      </c>
      <c r="I55" s="550">
        <v>857</v>
      </c>
      <c r="J55" s="550">
        <v>824</v>
      </c>
      <c r="K55" s="550">
        <v>563</v>
      </c>
      <c r="M55" s="550">
        <v>867</v>
      </c>
      <c r="N55" s="550">
        <v>843</v>
      </c>
      <c r="O55" s="550">
        <v>579</v>
      </c>
      <c r="Q55" s="550">
        <v>29</v>
      </c>
      <c r="R55" s="550">
        <v>29</v>
      </c>
      <c r="S55" s="550">
        <v>28.920765027322403</v>
      </c>
      <c r="U55" s="513">
        <v>6.5294117647058822</v>
      </c>
      <c r="V55" s="513">
        <v>5.9300118623962037</v>
      </c>
      <c r="W55" s="513">
        <v>6.8946459412780658</v>
      </c>
      <c r="Y55" s="513">
        <v>53.481341521020312</v>
      </c>
      <c r="Z55" s="513">
        <v>47.227208313651396</v>
      </c>
      <c r="AA55" s="513">
        <v>37.713745866792635</v>
      </c>
      <c r="AC55" s="513">
        <f t="shared" si="4"/>
        <v>0</v>
      </c>
      <c r="AD55" s="513">
        <f t="shared" si="5"/>
        <v>0</v>
      </c>
      <c r="AE55" s="513">
        <f t="shared" si="6"/>
        <v>0</v>
      </c>
      <c r="AG55" s="513">
        <f t="shared" si="7"/>
        <v>0</v>
      </c>
      <c r="AH55" s="513">
        <f t="shared" si="8"/>
        <v>0</v>
      </c>
      <c r="AI55" s="513">
        <f t="shared" si="9"/>
        <v>0</v>
      </c>
      <c r="AK55" s="550">
        <f t="shared" si="11"/>
        <v>5595.7058823529414</v>
      </c>
      <c r="AL55" s="550">
        <f t="shared" si="12"/>
        <v>4886.3297746144717</v>
      </c>
      <c r="AM55" s="550">
        <f t="shared" si="13"/>
        <v>3881.6856649395509</v>
      </c>
    </row>
    <row r="56" spans="1:39" customFormat="1">
      <c r="A56" s="657" t="s">
        <v>1123</v>
      </c>
      <c r="B56" s="657" t="s">
        <v>1167</v>
      </c>
      <c r="D56" t="s">
        <v>1109</v>
      </c>
      <c r="E56" t="s">
        <v>1167</v>
      </c>
      <c r="F56" t="s">
        <v>1108</v>
      </c>
      <c r="I56" s="550">
        <v>1088</v>
      </c>
      <c r="J56" s="550">
        <v>1149</v>
      </c>
      <c r="K56" s="550">
        <v>641</v>
      </c>
      <c r="M56" s="550">
        <v>1103</v>
      </c>
      <c r="N56" s="550">
        <v>1158</v>
      </c>
      <c r="O56" s="550">
        <v>646</v>
      </c>
      <c r="Q56" s="550">
        <v>30</v>
      </c>
      <c r="R56" s="550">
        <v>30</v>
      </c>
      <c r="S56" s="550">
        <v>14.819672131147541</v>
      </c>
      <c r="U56" s="513">
        <v>7.4442429737080689</v>
      </c>
      <c r="V56" s="513">
        <v>7.3670120898100171</v>
      </c>
      <c r="W56" s="513">
        <v>7.1315789473684212</v>
      </c>
      <c r="Y56" s="513">
        <v>74.986301369863014</v>
      </c>
      <c r="Z56" s="513">
        <v>77.908675799086751</v>
      </c>
      <c r="AA56" s="513">
        <v>84.93731563421828</v>
      </c>
      <c r="AC56" s="513">
        <f t="shared" si="4"/>
        <v>0</v>
      </c>
      <c r="AD56" s="513">
        <f t="shared" si="5"/>
        <v>0</v>
      </c>
      <c r="AE56" s="513">
        <f t="shared" si="6"/>
        <v>0</v>
      </c>
      <c r="AG56" s="513">
        <f t="shared" si="7"/>
        <v>0</v>
      </c>
      <c r="AH56" s="513">
        <f t="shared" si="8"/>
        <v>0</v>
      </c>
      <c r="AI56" s="513">
        <f t="shared" si="9"/>
        <v>0</v>
      </c>
      <c r="AK56" s="550">
        <f t="shared" si="11"/>
        <v>8099.3363553943791</v>
      </c>
      <c r="AL56" s="550">
        <f t="shared" si="12"/>
        <v>8464.6968911917102</v>
      </c>
      <c r="AM56" s="550">
        <f t="shared" si="13"/>
        <v>4571.3421052631584</v>
      </c>
    </row>
    <row r="57" spans="1:39" customFormat="1">
      <c r="A57" s="657" t="s">
        <v>1123</v>
      </c>
      <c r="B57" s="657" t="s">
        <v>1164</v>
      </c>
      <c r="D57" t="s">
        <v>1073</v>
      </c>
      <c r="E57" t="s">
        <v>1164</v>
      </c>
      <c r="F57" t="s">
        <v>1072</v>
      </c>
      <c r="I57" s="550">
        <v>934</v>
      </c>
      <c r="J57" s="550">
        <v>889</v>
      </c>
      <c r="K57" s="550">
        <v>646</v>
      </c>
      <c r="M57" s="550">
        <v>959</v>
      </c>
      <c r="N57" s="550">
        <v>911</v>
      </c>
      <c r="O57" s="550">
        <v>661</v>
      </c>
      <c r="Q57" s="550">
        <v>25.621917808219177</v>
      </c>
      <c r="R57" s="550">
        <v>28</v>
      </c>
      <c r="S57" s="550">
        <v>27.327868852459016</v>
      </c>
      <c r="U57" s="513">
        <v>8.5213764337851927</v>
      </c>
      <c r="V57" s="513">
        <v>8.23271130625686</v>
      </c>
      <c r="W57" s="513">
        <v>8.3600605143721634</v>
      </c>
      <c r="Y57" s="513">
        <v>87.382378100940983</v>
      </c>
      <c r="Z57" s="513">
        <v>73.385518590998046</v>
      </c>
      <c r="AA57" s="513">
        <v>55.248950209958011</v>
      </c>
      <c r="AC57" s="513">
        <f t="shared" si="4"/>
        <v>0</v>
      </c>
      <c r="AD57" s="513">
        <f t="shared" si="5"/>
        <v>0</v>
      </c>
      <c r="AE57" s="513">
        <f t="shared" si="6"/>
        <v>0</v>
      </c>
      <c r="AG57" s="513">
        <f t="shared" si="7"/>
        <v>0</v>
      </c>
      <c r="AH57" s="513">
        <f t="shared" si="8"/>
        <v>0</v>
      </c>
      <c r="AI57" s="513">
        <f t="shared" si="9"/>
        <v>0</v>
      </c>
      <c r="AK57" s="550">
        <f t="shared" si="11"/>
        <v>7958.9655891553703</v>
      </c>
      <c r="AL57" s="550">
        <f t="shared" si="12"/>
        <v>7318.8803512623481</v>
      </c>
      <c r="AM57" s="550">
        <f t="shared" si="13"/>
        <v>5400.5990922844176</v>
      </c>
    </row>
    <row r="58" spans="1:39" customFormat="1">
      <c r="A58" s="655" t="s">
        <v>1131</v>
      </c>
      <c r="B58" s="655" t="s">
        <v>1167</v>
      </c>
      <c r="D58" t="s">
        <v>1075</v>
      </c>
      <c r="E58" t="s">
        <v>1164</v>
      </c>
      <c r="F58" t="s">
        <v>1074</v>
      </c>
      <c r="I58" s="550">
        <v>517</v>
      </c>
      <c r="J58" s="550">
        <v>524</v>
      </c>
      <c r="K58" s="550">
        <v>444</v>
      </c>
      <c r="M58" s="550">
        <v>552.5</v>
      </c>
      <c r="N58" s="550">
        <v>574.5</v>
      </c>
      <c r="O58" s="550">
        <v>481.5</v>
      </c>
      <c r="Q58" s="550">
        <v>22</v>
      </c>
      <c r="R58" s="550">
        <v>22</v>
      </c>
      <c r="S58" s="550">
        <v>21.789617486338798</v>
      </c>
      <c r="U58" s="513">
        <v>10.269683257918551</v>
      </c>
      <c r="V58" s="513">
        <v>10.644038294168844</v>
      </c>
      <c r="W58" s="513">
        <v>12.386292834890966</v>
      </c>
      <c r="Y58" s="513">
        <v>70.660024906600242</v>
      </c>
      <c r="Z58" s="513">
        <v>76.151930261519297</v>
      </c>
      <c r="AA58" s="513">
        <v>74.78369905956113</v>
      </c>
      <c r="AC58" s="513">
        <f t="shared" si="4"/>
        <v>0</v>
      </c>
      <c r="AD58" s="513">
        <f t="shared" si="5"/>
        <v>0</v>
      </c>
      <c r="AE58" s="513">
        <f t="shared" si="6"/>
        <v>0</v>
      </c>
      <c r="AG58" s="513">
        <f t="shared" si="7"/>
        <v>0</v>
      </c>
      <c r="AH58" s="513">
        <f t="shared" si="8"/>
        <v>0</v>
      </c>
      <c r="AI58" s="513">
        <f t="shared" si="9"/>
        <v>0</v>
      </c>
      <c r="AK58" s="550">
        <f t="shared" si="11"/>
        <v>5309.4262443438911</v>
      </c>
      <c r="AL58" s="550">
        <f t="shared" si="12"/>
        <v>5577.4760661444743</v>
      </c>
      <c r="AM58" s="550">
        <f t="shared" si="13"/>
        <v>5499.5140186915887</v>
      </c>
    </row>
    <row r="59" spans="1:39" customFormat="1">
      <c r="A59" s="655" t="s">
        <v>1118</v>
      </c>
      <c r="B59" s="655" t="s">
        <v>1164</v>
      </c>
      <c r="D59" t="s">
        <v>1111</v>
      </c>
      <c r="E59" t="s">
        <v>1167</v>
      </c>
      <c r="F59" t="s">
        <v>1110</v>
      </c>
      <c r="I59" s="550">
        <v>1429</v>
      </c>
      <c r="J59" s="550">
        <v>1399</v>
      </c>
      <c r="K59" s="550">
        <v>1437</v>
      </c>
      <c r="M59" s="550">
        <v>1431.5</v>
      </c>
      <c r="N59" s="550">
        <v>1396.5</v>
      </c>
      <c r="O59" s="550">
        <v>1435.5</v>
      </c>
      <c r="Q59" s="550">
        <v>29</v>
      </c>
      <c r="R59" s="550">
        <v>29</v>
      </c>
      <c r="S59" s="550">
        <v>29</v>
      </c>
      <c r="U59" s="513">
        <v>4.5812085225288159</v>
      </c>
      <c r="V59" s="513">
        <v>4.5041174364482632</v>
      </c>
      <c r="W59" s="513">
        <v>4.3956809474050855</v>
      </c>
      <c r="Y59" s="513">
        <v>61.955597543693905</v>
      </c>
      <c r="Z59" s="513">
        <v>59.423712801133682</v>
      </c>
      <c r="AA59" s="513">
        <v>59.449783305068777</v>
      </c>
      <c r="AC59" s="513">
        <f t="shared" si="4"/>
        <v>0</v>
      </c>
      <c r="AD59" s="513">
        <f t="shared" si="5"/>
        <v>0</v>
      </c>
      <c r="AE59" s="513">
        <f t="shared" si="6"/>
        <v>0</v>
      </c>
      <c r="AG59" s="513">
        <f t="shared" si="7"/>
        <v>0</v>
      </c>
      <c r="AH59" s="513">
        <f t="shared" si="8"/>
        <v>0</v>
      </c>
      <c r="AI59" s="513">
        <f t="shared" si="9"/>
        <v>0</v>
      </c>
      <c r="AK59" s="550">
        <f t="shared" si="11"/>
        <v>6546.5469786936783</v>
      </c>
      <c r="AL59" s="550">
        <f t="shared" si="12"/>
        <v>6301.26029359112</v>
      </c>
      <c r="AM59" s="550">
        <f t="shared" si="13"/>
        <v>6316.5935214211077</v>
      </c>
    </row>
    <row r="60" spans="1:39" customFormat="1">
      <c r="A60" s="655" t="s">
        <v>1118</v>
      </c>
      <c r="B60" s="655" t="s">
        <v>1164</v>
      </c>
      <c r="D60" t="s">
        <v>1077</v>
      </c>
      <c r="E60" t="s">
        <v>1164</v>
      </c>
      <c r="F60" t="s">
        <v>1076</v>
      </c>
      <c r="I60" s="550">
        <v>1624</v>
      </c>
      <c r="J60" s="550">
        <v>1538</v>
      </c>
      <c r="K60" s="550">
        <v>1439</v>
      </c>
      <c r="M60" s="550">
        <v>1625</v>
      </c>
      <c r="N60" s="550">
        <v>1534.5</v>
      </c>
      <c r="O60" s="550">
        <v>1439.5</v>
      </c>
      <c r="Q60" s="550">
        <v>35</v>
      </c>
      <c r="R60" s="550">
        <v>35</v>
      </c>
      <c r="S60" s="550">
        <v>28</v>
      </c>
      <c r="U60" s="513">
        <v>4.537230769230769</v>
      </c>
      <c r="V60" s="513">
        <v>4.7331378299120237</v>
      </c>
      <c r="W60" s="513">
        <v>4.7579020493226816</v>
      </c>
      <c r="Y60" s="513">
        <v>57.714285714285715</v>
      </c>
      <c r="Z60" s="513">
        <v>56.853228962818001</v>
      </c>
      <c r="AA60" s="513">
        <v>66.832552693208427</v>
      </c>
      <c r="AC60" s="513">
        <f t="shared" si="4"/>
        <v>0</v>
      </c>
      <c r="AD60" s="513">
        <f t="shared" si="5"/>
        <v>0</v>
      </c>
      <c r="AE60" s="513">
        <f t="shared" si="6"/>
        <v>0</v>
      </c>
      <c r="AG60" s="513">
        <f t="shared" si="7"/>
        <v>0</v>
      </c>
      <c r="AH60" s="513">
        <f t="shared" si="8"/>
        <v>0</v>
      </c>
      <c r="AI60" s="513">
        <f t="shared" si="9"/>
        <v>0</v>
      </c>
      <c r="AK60" s="550">
        <f t="shared" si="11"/>
        <v>7368.4627692307686</v>
      </c>
      <c r="AL60" s="550">
        <f t="shared" si="12"/>
        <v>7279.5659824046925</v>
      </c>
      <c r="AM60" s="550">
        <f t="shared" si="13"/>
        <v>6846.6210489753385</v>
      </c>
    </row>
    <row r="61" spans="1:39" customFormat="1">
      <c r="A61" s="655" t="s">
        <v>1124</v>
      </c>
      <c r="B61" s="655" t="s">
        <v>1164</v>
      </c>
      <c r="D61" t="s">
        <v>1079</v>
      </c>
      <c r="E61" t="s">
        <v>1164</v>
      </c>
      <c r="F61" t="s">
        <v>1078</v>
      </c>
      <c r="I61" s="550">
        <v>283</v>
      </c>
      <c r="J61" s="550">
        <v>287</v>
      </c>
      <c r="K61" s="550">
        <v>213</v>
      </c>
      <c r="M61" s="550">
        <v>298</v>
      </c>
      <c r="N61" s="550">
        <v>304</v>
      </c>
      <c r="O61" s="550">
        <v>223.5</v>
      </c>
      <c r="Q61" s="550">
        <v>12</v>
      </c>
      <c r="R61" s="550">
        <v>12</v>
      </c>
      <c r="S61" s="550">
        <v>12</v>
      </c>
      <c r="U61" s="513">
        <v>9.4697986577181208</v>
      </c>
      <c r="V61" s="513">
        <v>9.8980263157894743</v>
      </c>
      <c r="W61" s="513">
        <v>10.031319910514542</v>
      </c>
      <c r="Y61" s="513">
        <v>64.429223744292244</v>
      </c>
      <c r="Z61" s="513">
        <v>68.698630136986296</v>
      </c>
      <c r="AA61" s="513">
        <v>51.047358834244079</v>
      </c>
      <c r="AC61" s="513">
        <f t="shared" si="4"/>
        <v>0</v>
      </c>
      <c r="AD61" s="513">
        <f t="shared" si="5"/>
        <v>0</v>
      </c>
      <c r="AE61" s="513">
        <f t="shared" si="6"/>
        <v>0</v>
      </c>
      <c r="AG61" s="513">
        <f t="shared" si="7"/>
        <v>0</v>
      </c>
      <c r="AH61" s="513">
        <f t="shared" si="8"/>
        <v>0</v>
      </c>
      <c r="AI61" s="513">
        <f t="shared" si="9"/>
        <v>0</v>
      </c>
      <c r="AK61" s="550">
        <f t="shared" si="11"/>
        <v>2679.9530201342282</v>
      </c>
      <c r="AL61" s="550">
        <f t="shared" si="12"/>
        <v>2840.7335526315792</v>
      </c>
      <c r="AM61" s="550">
        <f t="shared" si="13"/>
        <v>2136.6711409395975</v>
      </c>
    </row>
    <row r="62" spans="1:39" customFormat="1">
      <c r="A62" s="655" t="s">
        <v>2963</v>
      </c>
      <c r="B62" s="655" t="s">
        <v>1164</v>
      </c>
      <c r="D62" t="s">
        <v>2964</v>
      </c>
      <c r="E62" t="s">
        <v>1167</v>
      </c>
      <c r="F62" t="s">
        <v>2965</v>
      </c>
      <c r="I62" s="550">
        <v>0</v>
      </c>
      <c r="J62" s="550">
        <v>0</v>
      </c>
      <c r="K62" s="550">
        <v>0</v>
      </c>
      <c r="M62" s="550">
        <v>0</v>
      </c>
      <c r="N62" s="550">
        <v>0</v>
      </c>
      <c r="O62" s="550">
        <v>0</v>
      </c>
      <c r="Q62" s="550">
        <v>0</v>
      </c>
      <c r="R62" s="550">
        <v>0</v>
      </c>
      <c r="S62" s="550">
        <v>0</v>
      </c>
      <c r="U62" s="513">
        <v>0</v>
      </c>
      <c r="V62" s="513">
        <v>0</v>
      </c>
      <c r="W62" s="513">
        <v>0</v>
      </c>
      <c r="Y62" s="513">
        <v>0</v>
      </c>
      <c r="Z62" s="513">
        <v>0</v>
      </c>
      <c r="AA62" s="513">
        <v>0</v>
      </c>
      <c r="AC62" s="513">
        <f t="shared" si="4"/>
        <v>0</v>
      </c>
      <c r="AD62" s="513">
        <f t="shared" si="5"/>
        <v>0</v>
      </c>
      <c r="AE62" s="513">
        <f t="shared" si="6"/>
        <v>0</v>
      </c>
      <c r="AG62" s="513">
        <f t="shared" si="7"/>
        <v>0</v>
      </c>
      <c r="AH62" s="513">
        <f t="shared" si="8"/>
        <v>0</v>
      </c>
      <c r="AI62" s="513">
        <f t="shared" si="9"/>
        <v>0</v>
      </c>
      <c r="AK62" s="550">
        <f t="shared" si="11"/>
        <v>0</v>
      </c>
      <c r="AL62" s="550">
        <f t="shared" si="12"/>
        <v>0</v>
      </c>
      <c r="AM62" s="550">
        <f t="shared" si="13"/>
        <v>0</v>
      </c>
    </row>
    <row r="63" spans="1:39" customFormat="1">
      <c r="A63" s="655" t="s">
        <v>2963</v>
      </c>
      <c r="B63" s="655" t="s">
        <v>1164</v>
      </c>
      <c r="D63" t="s">
        <v>2966</v>
      </c>
      <c r="E63" t="s">
        <v>1164</v>
      </c>
      <c r="F63" t="s">
        <v>2967</v>
      </c>
      <c r="I63" s="550">
        <v>0</v>
      </c>
      <c r="J63" s="550">
        <v>0</v>
      </c>
      <c r="K63" s="550">
        <v>0</v>
      </c>
      <c r="M63" s="550">
        <v>0</v>
      </c>
      <c r="N63" s="550">
        <v>0</v>
      </c>
      <c r="O63" s="550">
        <v>0</v>
      </c>
      <c r="Q63" s="550">
        <v>0</v>
      </c>
      <c r="R63" s="550">
        <v>0</v>
      </c>
      <c r="S63" s="550">
        <v>0</v>
      </c>
      <c r="U63" s="513">
        <v>0</v>
      </c>
      <c r="V63" s="513">
        <v>0</v>
      </c>
      <c r="W63" s="513">
        <v>0</v>
      </c>
      <c r="Y63" s="513">
        <v>0</v>
      </c>
      <c r="Z63" s="513">
        <v>0</v>
      </c>
      <c r="AA63" s="513">
        <v>0</v>
      </c>
      <c r="AC63" s="513">
        <f t="shared" si="4"/>
        <v>0</v>
      </c>
      <c r="AD63" s="513">
        <f t="shared" si="5"/>
        <v>0</v>
      </c>
      <c r="AE63" s="513">
        <f t="shared" si="6"/>
        <v>0</v>
      </c>
      <c r="AG63" s="513">
        <f t="shared" si="7"/>
        <v>0</v>
      </c>
      <c r="AH63" s="513">
        <f t="shared" si="8"/>
        <v>0</v>
      </c>
      <c r="AI63" s="513">
        <f t="shared" si="9"/>
        <v>0</v>
      </c>
      <c r="AK63" s="550">
        <f t="shared" si="11"/>
        <v>0</v>
      </c>
      <c r="AL63" s="550">
        <f t="shared" si="12"/>
        <v>0</v>
      </c>
      <c r="AM63" s="550">
        <f t="shared" si="13"/>
        <v>0</v>
      </c>
    </row>
    <row r="64" spans="1:39" customFormat="1">
      <c r="A64" s="655" t="s">
        <v>2968</v>
      </c>
      <c r="B64" s="655" t="s">
        <v>1164</v>
      </c>
      <c r="D64" t="s">
        <v>2969</v>
      </c>
      <c r="E64" t="s">
        <v>1167</v>
      </c>
      <c r="F64" t="s">
        <v>2970</v>
      </c>
      <c r="I64" s="550">
        <v>0</v>
      </c>
      <c r="J64" s="550">
        <v>0</v>
      </c>
      <c r="K64" s="550">
        <v>0</v>
      </c>
      <c r="M64" s="550">
        <v>0</v>
      </c>
      <c r="N64" s="550">
        <v>0</v>
      </c>
      <c r="O64" s="550">
        <v>0</v>
      </c>
      <c r="Q64" s="550">
        <v>0</v>
      </c>
      <c r="R64" s="550">
        <v>0</v>
      </c>
      <c r="S64" s="550">
        <v>0</v>
      </c>
      <c r="U64" s="513">
        <v>0</v>
      </c>
      <c r="V64" s="513">
        <v>0</v>
      </c>
      <c r="W64" s="513">
        <v>0</v>
      </c>
      <c r="Y64" s="513">
        <v>0</v>
      </c>
      <c r="Z64" s="513">
        <v>0</v>
      </c>
      <c r="AA64" s="513">
        <v>0</v>
      </c>
      <c r="AC64" s="513">
        <f t="shared" si="4"/>
        <v>0</v>
      </c>
      <c r="AD64" s="513">
        <f t="shared" si="5"/>
        <v>0</v>
      </c>
      <c r="AE64" s="513">
        <f t="shared" si="6"/>
        <v>0</v>
      </c>
      <c r="AG64" s="513">
        <f t="shared" si="7"/>
        <v>0</v>
      </c>
      <c r="AH64" s="513">
        <f t="shared" si="8"/>
        <v>0</v>
      </c>
      <c r="AI64" s="513">
        <f t="shared" si="9"/>
        <v>0</v>
      </c>
      <c r="AK64" s="550">
        <f t="shared" si="11"/>
        <v>0</v>
      </c>
      <c r="AL64" s="550">
        <f t="shared" si="12"/>
        <v>0</v>
      </c>
      <c r="AM64" s="550">
        <f t="shared" si="13"/>
        <v>0</v>
      </c>
    </row>
    <row r="65" spans="1:39" customFormat="1">
      <c r="A65" s="655" t="s">
        <v>2963</v>
      </c>
      <c r="B65" s="655" t="s">
        <v>1164</v>
      </c>
      <c r="D65" t="s">
        <v>2971</v>
      </c>
      <c r="E65" t="s">
        <v>1164</v>
      </c>
      <c r="F65" t="s">
        <v>2972</v>
      </c>
      <c r="I65" s="550">
        <v>0</v>
      </c>
      <c r="J65" s="550">
        <v>0</v>
      </c>
      <c r="K65" s="550">
        <v>0</v>
      </c>
      <c r="M65" s="550">
        <v>0</v>
      </c>
      <c r="N65" s="550">
        <v>0</v>
      </c>
      <c r="O65" s="550">
        <v>0</v>
      </c>
      <c r="Q65" s="550">
        <v>3</v>
      </c>
      <c r="R65" s="550">
        <v>3</v>
      </c>
      <c r="S65" s="550">
        <v>3</v>
      </c>
      <c r="U65" s="513">
        <v>0</v>
      </c>
      <c r="V65" s="513">
        <v>0</v>
      </c>
      <c r="W65" s="513">
        <v>0</v>
      </c>
      <c r="Y65" s="513">
        <v>0</v>
      </c>
      <c r="Z65" s="513">
        <v>0</v>
      </c>
      <c r="AA65" s="513">
        <v>0</v>
      </c>
      <c r="AC65" s="513">
        <f t="shared" si="4"/>
        <v>0</v>
      </c>
      <c r="AD65" s="513">
        <f t="shared" si="5"/>
        <v>0</v>
      </c>
      <c r="AE65" s="513">
        <f t="shared" si="6"/>
        <v>0</v>
      </c>
      <c r="AG65" s="513">
        <f t="shared" si="7"/>
        <v>0</v>
      </c>
      <c r="AH65" s="513">
        <f t="shared" si="8"/>
        <v>0</v>
      </c>
      <c r="AI65" s="513">
        <f t="shared" si="9"/>
        <v>0</v>
      </c>
      <c r="AK65" s="550">
        <f t="shared" si="11"/>
        <v>0</v>
      </c>
      <c r="AL65" s="550">
        <f t="shared" si="12"/>
        <v>0</v>
      </c>
      <c r="AM65" s="550">
        <f t="shared" si="13"/>
        <v>0</v>
      </c>
    </row>
    <row r="66" spans="1:39" customFormat="1">
      <c r="A66" s="655" t="s">
        <v>1131</v>
      </c>
      <c r="B66" s="655" t="s">
        <v>1167</v>
      </c>
      <c r="D66" t="s">
        <v>2973</v>
      </c>
      <c r="E66" t="s">
        <v>1164</v>
      </c>
      <c r="F66" t="s">
        <v>2974</v>
      </c>
      <c r="I66" s="550">
        <v>0</v>
      </c>
      <c r="J66" s="550">
        <v>0</v>
      </c>
      <c r="K66" s="550">
        <v>0</v>
      </c>
      <c r="M66" s="550">
        <v>0</v>
      </c>
      <c r="N66" s="550">
        <v>0</v>
      </c>
      <c r="O66" s="550">
        <v>0</v>
      </c>
      <c r="Q66" s="550">
        <v>0</v>
      </c>
      <c r="R66" s="550">
        <v>0</v>
      </c>
      <c r="S66" s="550">
        <v>0</v>
      </c>
      <c r="U66" s="513">
        <v>0</v>
      </c>
      <c r="V66" s="513">
        <v>0</v>
      </c>
      <c r="W66" s="513">
        <v>0</v>
      </c>
      <c r="Y66" s="513">
        <v>0</v>
      </c>
      <c r="Z66" s="513">
        <v>0</v>
      </c>
      <c r="AA66" s="513">
        <v>0</v>
      </c>
      <c r="AC66" s="513">
        <f t="shared" si="4"/>
        <v>0</v>
      </c>
      <c r="AD66" s="513">
        <f t="shared" si="5"/>
        <v>0</v>
      </c>
      <c r="AE66" s="513">
        <f t="shared" si="6"/>
        <v>0</v>
      </c>
      <c r="AG66" s="513">
        <f t="shared" si="7"/>
        <v>0</v>
      </c>
      <c r="AH66" s="513">
        <f t="shared" si="8"/>
        <v>0</v>
      </c>
      <c r="AI66" s="513">
        <f t="shared" si="9"/>
        <v>0</v>
      </c>
      <c r="AK66" s="550">
        <f t="shared" si="11"/>
        <v>0</v>
      </c>
      <c r="AL66" s="550">
        <f t="shared" si="12"/>
        <v>0</v>
      </c>
      <c r="AM66" s="550">
        <f t="shared" si="13"/>
        <v>0</v>
      </c>
    </row>
    <row r="67" spans="1:39" customFormat="1">
      <c r="A67" s="655" t="s">
        <v>1114</v>
      </c>
      <c r="B67" s="655" t="s">
        <v>1164</v>
      </c>
      <c r="D67" t="s">
        <v>2975</v>
      </c>
      <c r="E67" t="s">
        <v>1164</v>
      </c>
      <c r="F67" t="s">
        <v>2976</v>
      </c>
      <c r="I67" s="550">
        <v>0</v>
      </c>
      <c r="J67" s="550">
        <v>0</v>
      </c>
      <c r="K67" s="550">
        <v>0</v>
      </c>
      <c r="M67" s="550">
        <v>0</v>
      </c>
      <c r="N67" s="550">
        <v>0</v>
      </c>
      <c r="O67" s="550">
        <v>0</v>
      </c>
      <c r="Q67" s="550">
        <v>0</v>
      </c>
      <c r="R67" s="550">
        <v>0</v>
      </c>
      <c r="S67" s="550">
        <v>0</v>
      </c>
      <c r="U67" s="513">
        <v>0</v>
      </c>
      <c r="V67" s="513">
        <v>0</v>
      </c>
      <c r="W67" s="513">
        <v>0</v>
      </c>
      <c r="Y67" s="513">
        <v>0</v>
      </c>
      <c r="Z67" s="513">
        <v>0</v>
      </c>
      <c r="AA67" s="513">
        <v>0</v>
      </c>
      <c r="AC67" s="513">
        <f t="shared" si="4"/>
        <v>0</v>
      </c>
      <c r="AD67" s="513">
        <f t="shared" si="5"/>
        <v>0</v>
      </c>
      <c r="AE67" s="513">
        <f t="shared" si="6"/>
        <v>0</v>
      </c>
      <c r="AG67" s="513">
        <f t="shared" si="7"/>
        <v>0</v>
      </c>
      <c r="AH67" s="513">
        <f t="shared" si="8"/>
        <v>0</v>
      </c>
      <c r="AI67" s="513">
        <f t="shared" si="9"/>
        <v>0</v>
      </c>
      <c r="AK67" s="550">
        <f t="shared" si="11"/>
        <v>0</v>
      </c>
      <c r="AL67" s="550">
        <f t="shared" si="12"/>
        <v>0</v>
      </c>
      <c r="AM67" s="550">
        <f t="shared" si="13"/>
        <v>0</v>
      </c>
    </row>
    <row r="68" spans="1:39" customFormat="1"/>
    <row r="69" spans="1:39" customFormat="1"/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E0F6C-7E52-462B-B27C-363D4C2E3C76}">
  <sheetPr>
    <tabColor theme="0"/>
  </sheetPr>
  <dimension ref="A1:E817"/>
  <sheetViews>
    <sheetView workbookViewId="0"/>
  </sheetViews>
  <sheetFormatPr baseColWidth="10" defaultColWidth="8.83203125" defaultRowHeight="15"/>
  <cols>
    <col min="1" max="1" width="20.5" bestFit="1" customWidth="1"/>
    <col min="2" max="2" width="31.5" bestFit="1" customWidth="1"/>
    <col min="3" max="3" width="20.5" bestFit="1" customWidth="1"/>
    <col min="4" max="4" width="22.33203125" bestFit="1" customWidth="1"/>
    <col min="5" max="5" width="16.5" customWidth="1"/>
  </cols>
  <sheetData>
    <row r="1" spans="1:5">
      <c r="A1" s="577" t="s">
        <v>1206</v>
      </c>
      <c r="B1" s="577" t="s">
        <v>1207</v>
      </c>
      <c r="C1" s="577" t="s">
        <v>1208</v>
      </c>
      <c r="D1" s="577" t="s">
        <v>1209</v>
      </c>
    </row>
    <row r="2" spans="1:5">
      <c r="A2" s="578" t="s">
        <v>1210</v>
      </c>
      <c r="B2" s="578" t="s">
        <v>1211</v>
      </c>
      <c r="C2" s="513">
        <v>910196.23</v>
      </c>
      <c r="D2" s="513">
        <v>916508.92</v>
      </c>
      <c r="E2">
        <f>VLOOKUP(A2,Ucto_HK_summ!$A$2:$D$963,4,FALSE)</f>
        <v>910196.23</v>
      </c>
    </row>
    <row r="3" spans="1:5">
      <c r="A3" s="578" t="s">
        <v>1212</v>
      </c>
      <c r="C3" s="513">
        <v>910196.23</v>
      </c>
      <c r="D3" s="513">
        <v>916508.92</v>
      </c>
      <c r="E3">
        <f>VLOOKUP(A3,Ucto_HK_summ!$A$2:$D$963,4,FALSE)</f>
        <v>910196.23</v>
      </c>
    </row>
    <row r="4" spans="1:5">
      <c r="A4" s="577" t="s">
        <v>1213</v>
      </c>
      <c r="C4" s="579">
        <v>910196.23</v>
      </c>
      <c r="D4" s="579">
        <v>916508.92</v>
      </c>
      <c r="E4">
        <f>VLOOKUP(A4,Ucto_HK_summ!$A$2:$D$963,4,FALSE)</f>
        <v>910196.23</v>
      </c>
    </row>
    <row r="5" spans="1:5">
      <c r="E5" t="e">
        <f>VLOOKUP(A5,Ucto_HK_summ!$A$2:$D$963,4,FALSE)</f>
        <v>#N/A</v>
      </c>
    </row>
    <row r="6" spans="1:5">
      <c r="A6" s="578" t="s">
        <v>1214</v>
      </c>
      <c r="B6" s="578" t="s">
        <v>1215</v>
      </c>
      <c r="C6" s="513">
        <v>33074421.640000001</v>
      </c>
      <c r="D6" s="513">
        <v>33041619.109999999</v>
      </c>
      <c r="E6">
        <f>VLOOKUP(A6,Ucto_HK_summ!$A$2:$D$963,4,FALSE)</f>
        <v>33074421.640000001</v>
      </c>
    </row>
    <row r="7" spans="1:5">
      <c r="A7" s="578" t="s">
        <v>1216</v>
      </c>
      <c r="B7" s="578" t="s">
        <v>1217</v>
      </c>
      <c r="C7" s="513">
        <v>31943289.579999998</v>
      </c>
      <c r="D7" s="513">
        <v>31943289.579999998</v>
      </c>
      <c r="E7">
        <f>VLOOKUP(A7,Ucto_HK_summ!$A$2:$D$963,4,FALSE)</f>
        <v>31943289.579999998</v>
      </c>
    </row>
    <row r="8" spans="1:5">
      <c r="A8" s="578" t="s">
        <v>1218</v>
      </c>
      <c r="C8" s="513">
        <v>65017711.219999999</v>
      </c>
      <c r="D8" s="513">
        <v>64984908.689999998</v>
      </c>
      <c r="E8">
        <f>VLOOKUP(A8,Ucto_HK_summ!$A$2:$D$963,4,FALSE)</f>
        <v>65017711.219999999</v>
      </c>
    </row>
    <row r="9" spans="1:5">
      <c r="A9" s="578" t="s">
        <v>1219</v>
      </c>
      <c r="B9" s="578" t="s">
        <v>1220</v>
      </c>
      <c r="C9" s="513">
        <v>76265147.239999995</v>
      </c>
      <c r="D9" s="513">
        <v>72753875.400000006</v>
      </c>
      <c r="E9">
        <f>VLOOKUP(A9,Ucto_HK_summ!$A$2:$D$963,4,FALSE)</f>
        <v>76265147.239999995</v>
      </c>
    </row>
    <row r="10" spans="1:5">
      <c r="A10" s="578" t="s">
        <v>1221</v>
      </c>
      <c r="C10" s="513">
        <v>76265147.239999995</v>
      </c>
      <c r="D10" s="513">
        <v>72753875.400000006</v>
      </c>
      <c r="E10">
        <f>VLOOKUP(A10,Ucto_HK_summ!$A$2:$D$963,4,FALSE)</f>
        <v>76265147.239999995</v>
      </c>
    </row>
    <row r="11" spans="1:5">
      <c r="A11" s="578" t="s">
        <v>1222</v>
      </c>
      <c r="B11" s="578" t="s">
        <v>1223</v>
      </c>
      <c r="C11" s="513">
        <v>650964.18000000005</v>
      </c>
      <c r="D11" s="513">
        <v>624614.56000000006</v>
      </c>
      <c r="E11">
        <f>VLOOKUP(A11,Ucto_HK_summ!$A$2:$D$963,4,FALSE)</f>
        <v>650964.18000000005</v>
      </c>
    </row>
    <row r="12" spans="1:5">
      <c r="A12" s="578" t="s">
        <v>1224</v>
      </c>
      <c r="C12" s="513">
        <v>650964.18000000005</v>
      </c>
      <c r="D12" s="513">
        <v>624614.56000000006</v>
      </c>
      <c r="E12">
        <f>VLOOKUP(A12,Ucto_HK_summ!$A$2:$D$963,4,FALSE)</f>
        <v>650964.18000000005</v>
      </c>
    </row>
    <row r="13" spans="1:5">
      <c r="A13" s="578" t="s">
        <v>1225</v>
      </c>
      <c r="B13" s="578" t="s">
        <v>1226</v>
      </c>
      <c r="C13" s="513">
        <v>287898.98</v>
      </c>
      <c r="D13" s="513">
        <v>287464.31</v>
      </c>
      <c r="E13">
        <f>VLOOKUP(A13,Ucto_HK_summ!$A$2:$D$963,4,FALSE)</f>
        <v>287898.98</v>
      </c>
    </row>
    <row r="14" spans="1:5">
      <c r="A14" s="578" t="s">
        <v>1227</v>
      </c>
      <c r="B14" s="578" t="s">
        <v>1228</v>
      </c>
      <c r="C14" s="513">
        <v>8634287.2899999991</v>
      </c>
      <c r="D14" s="513">
        <v>8634287.2899999991</v>
      </c>
      <c r="E14">
        <f>VLOOKUP(A14,Ucto_HK_summ!$A$2:$D$963,4,FALSE)</f>
        <v>8634287.2899999991</v>
      </c>
    </row>
    <row r="15" spans="1:5">
      <c r="A15" s="578" t="s">
        <v>1229</v>
      </c>
      <c r="B15" s="578" t="s">
        <v>1230</v>
      </c>
      <c r="C15" s="513">
        <v>120290.46</v>
      </c>
      <c r="D15" s="513">
        <v>297460.92</v>
      </c>
      <c r="E15">
        <f>VLOOKUP(A15,Ucto_HK_summ!$A$2:$D$963,4,FALSE)</f>
        <v>120290.46</v>
      </c>
    </row>
    <row r="16" spans="1:5">
      <c r="A16" s="578" t="s">
        <v>1231</v>
      </c>
      <c r="C16" s="513">
        <v>9042476.7300000004</v>
      </c>
      <c r="D16" s="513">
        <v>9219212.5199999996</v>
      </c>
      <c r="E16">
        <f>VLOOKUP(A16,Ucto_HK_summ!$A$2:$D$963,4,FALSE)</f>
        <v>9042476.7300000004</v>
      </c>
    </row>
    <row r="17" spans="1:5">
      <c r="A17" s="577" t="s">
        <v>1232</v>
      </c>
      <c r="C17" s="579">
        <v>150976299.37</v>
      </c>
      <c r="D17" s="579">
        <v>147582611.16999999</v>
      </c>
      <c r="E17">
        <f>VLOOKUP(A17,Ucto_HK_summ!$A$2:$D$963,4,FALSE)</f>
        <v>150976299.37</v>
      </c>
    </row>
    <row r="18" spans="1:5">
      <c r="E18" t="e">
        <f>VLOOKUP(A18,Ucto_HK_summ!$A$2:$D$963,4,FALSE)</f>
        <v>#N/A</v>
      </c>
    </row>
    <row r="19" spans="1:5">
      <c r="A19" s="578" t="s">
        <v>1233</v>
      </c>
      <c r="B19" s="578" t="s">
        <v>1234</v>
      </c>
      <c r="C19" s="513">
        <v>7954115.5899999999</v>
      </c>
      <c r="D19" s="513">
        <v>7954115.5899999999</v>
      </c>
      <c r="E19">
        <f>VLOOKUP(A19,Ucto_HK_summ!$A$2:$D$963,4,FALSE)</f>
        <v>7954115.5899999999</v>
      </c>
    </row>
    <row r="20" spans="1:5">
      <c r="A20" s="578" t="s">
        <v>1235</v>
      </c>
      <c r="B20" s="578" t="s">
        <v>1236</v>
      </c>
      <c r="C20" s="513">
        <v>3639731.69</v>
      </c>
      <c r="D20" s="513">
        <v>3639731.69</v>
      </c>
      <c r="E20">
        <f>VLOOKUP(A20,Ucto_HK_summ!$A$2:$D$963,4,FALSE)</f>
        <v>3639731.69</v>
      </c>
    </row>
    <row r="21" spans="1:5">
      <c r="A21" s="578" t="s">
        <v>1237</v>
      </c>
      <c r="C21" s="513">
        <v>11593847.279999999</v>
      </c>
      <c r="D21" s="513">
        <v>11593847.279999999</v>
      </c>
      <c r="E21">
        <f>VLOOKUP(A21,Ucto_HK_summ!$A$2:$D$963,4,FALSE)</f>
        <v>11593847.279999999</v>
      </c>
    </row>
    <row r="22" spans="1:5">
      <c r="A22" s="578" t="s">
        <v>1238</v>
      </c>
      <c r="B22" s="578" t="s">
        <v>1239</v>
      </c>
      <c r="C22" s="513">
        <v>43644.53</v>
      </c>
      <c r="D22" s="513">
        <v>43644.53</v>
      </c>
      <c r="E22">
        <f>VLOOKUP(A22,Ucto_HK_summ!$A$2:$D$963,4,FALSE)</f>
        <v>43644.53</v>
      </c>
    </row>
    <row r="23" spans="1:5">
      <c r="A23" s="578" t="s">
        <v>1240</v>
      </c>
      <c r="C23" s="513">
        <v>43644.53</v>
      </c>
      <c r="D23" s="513">
        <v>43644.53</v>
      </c>
      <c r="E23">
        <f>VLOOKUP(A23,Ucto_HK_summ!$A$2:$D$963,4,FALSE)</f>
        <v>43644.53</v>
      </c>
    </row>
    <row r="24" spans="1:5">
      <c r="A24" s="577" t="s">
        <v>1241</v>
      </c>
      <c r="C24" s="579">
        <v>11637491.810000001</v>
      </c>
      <c r="D24" s="579">
        <v>11637491.810000001</v>
      </c>
      <c r="E24">
        <f>VLOOKUP(A24,Ucto_HK_summ!$A$2:$D$963,4,FALSE)</f>
        <v>11637491.810000001</v>
      </c>
    </row>
    <row r="25" spans="1:5">
      <c r="E25" t="e">
        <f>VLOOKUP(A25,Ucto_HK_summ!$A$2:$D$963,4,FALSE)</f>
        <v>#N/A</v>
      </c>
    </row>
    <row r="26" spans="1:5">
      <c r="A26" s="578" t="s">
        <v>1242</v>
      </c>
      <c r="B26" s="578" t="s">
        <v>1243</v>
      </c>
      <c r="C26">
        <v>0</v>
      </c>
      <c r="D26" s="513">
        <v>9956.4</v>
      </c>
      <c r="E26">
        <f>VLOOKUP(A26,Ucto_HK_summ!$A$2:$D$963,4,FALSE)</f>
        <v>0</v>
      </c>
    </row>
    <row r="27" spans="1:5">
      <c r="A27" s="578" t="s">
        <v>1244</v>
      </c>
      <c r="C27">
        <v>0</v>
      </c>
      <c r="D27" s="513">
        <v>9956.4</v>
      </c>
      <c r="E27">
        <f>VLOOKUP(A27,Ucto_HK_summ!$A$2:$D$963,4,FALSE)</f>
        <v>0</v>
      </c>
    </row>
    <row r="28" spans="1:5">
      <c r="A28" s="578" t="s">
        <v>1245</v>
      </c>
      <c r="B28" s="578" t="s">
        <v>1246</v>
      </c>
      <c r="C28">
        <v>0</v>
      </c>
      <c r="D28">
        <v>0</v>
      </c>
      <c r="E28">
        <f>VLOOKUP(A28,Ucto_HK_summ!$A$2:$D$963,4,FALSE)</f>
        <v>0</v>
      </c>
    </row>
    <row r="29" spans="1:5">
      <c r="A29" s="578" t="s">
        <v>1247</v>
      </c>
      <c r="B29" s="578" t="s">
        <v>1248</v>
      </c>
      <c r="C29" s="513">
        <v>165440.4</v>
      </c>
      <c r="D29" s="513">
        <v>669279.19999999995</v>
      </c>
      <c r="E29">
        <f>VLOOKUP(A29,Ucto_HK_summ!$A$2:$D$963,4,FALSE)</f>
        <v>165440.4</v>
      </c>
    </row>
    <row r="30" spans="1:5">
      <c r="A30" s="578" t="s">
        <v>1249</v>
      </c>
      <c r="B30" s="578" t="s">
        <v>1250</v>
      </c>
      <c r="C30" s="550">
        <v>40344</v>
      </c>
      <c r="D30" s="550">
        <v>65454</v>
      </c>
      <c r="E30">
        <f>VLOOKUP(A30,Ucto_HK_summ!$A$2:$D$963,4,FALSE)</f>
        <v>40344</v>
      </c>
    </row>
    <row r="31" spans="1:5">
      <c r="A31" s="578" t="s">
        <v>2642</v>
      </c>
      <c r="B31" s="578" t="s">
        <v>2643</v>
      </c>
      <c r="C31">
        <v>0</v>
      </c>
      <c r="D31">
        <v>0</v>
      </c>
      <c r="E31">
        <f>VLOOKUP(A31,Ucto_HK_summ!$A$2:$D$963,4,FALSE)</f>
        <v>0</v>
      </c>
    </row>
    <row r="32" spans="1:5">
      <c r="A32" s="578" t="s">
        <v>1251</v>
      </c>
      <c r="C32" s="513">
        <v>205784.4</v>
      </c>
      <c r="D32" s="513">
        <v>734733.2</v>
      </c>
      <c r="E32">
        <f>VLOOKUP(A32,Ucto_HK_summ!$A$2:$D$963,4,FALSE)</f>
        <v>205784.4</v>
      </c>
    </row>
    <row r="33" spans="1:5">
      <c r="A33" s="577" t="s">
        <v>1252</v>
      </c>
      <c r="C33" s="579">
        <v>205784.4</v>
      </c>
      <c r="D33" s="579">
        <v>744689.6</v>
      </c>
      <c r="E33">
        <f>VLOOKUP(A33,Ucto_HK_summ!$A$2:$D$963,4,FALSE)</f>
        <v>205784.4</v>
      </c>
    </row>
    <row r="34" spans="1:5">
      <c r="E34" t="e">
        <f>VLOOKUP(A34,Ucto_HK_summ!$A$2:$D$963,4,FALSE)</f>
        <v>#N/A</v>
      </c>
    </row>
    <row r="35" spans="1:5">
      <c r="A35" s="578" t="s">
        <v>1253</v>
      </c>
      <c r="B35" s="578" t="s">
        <v>1254</v>
      </c>
      <c r="C35">
        <v>0</v>
      </c>
      <c r="D35">
        <v>0</v>
      </c>
      <c r="E35">
        <f>VLOOKUP(A35,Ucto_HK_summ!$A$2:$D$963,4,FALSE)</f>
        <v>0</v>
      </c>
    </row>
    <row r="36" spans="1:5">
      <c r="A36" s="578" t="s">
        <v>1255</v>
      </c>
      <c r="C36">
        <v>0</v>
      </c>
      <c r="D36">
        <v>0</v>
      </c>
      <c r="E36">
        <f>VLOOKUP(A36,Ucto_HK_summ!$A$2:$D$963,4,FALSE)</f>
        <v>0</v>
      </c>
    </row>
    <row r="37" spans="1:5">
      <c r="A37" s="577" t="s">
        <v>1256</v>
      </c>
      <c r="C37" s="369">
        <v>0</v>
      </c>
      <c r="D37" s="369">
        <v>0</v>
      </c>
      <c r="E37">
        <f>VLOOKUP(A37,Ucto_HK_summ!$A$2:$D$963,4,FALSE)</f>
        <v>0</v>
      </c>
    </row>
    <row r="38" spans="1:5">
      <c r="E38" t="e">
        <f>VLOOKUP(A38,Ucto_HK_summ!$A$2:$D$963,4,FALSE)</f>
        <v>#N/A</v>
      </c>
    </row>
    <row r="39" spans="1:5">
      <c r="A39" s="578" t="s">
        <v>1257</v>
      </c>
      <c r="B39" s="578" t="s">
        <v>1258</v>
      </c>
      <c r="C39" s="513">
        <v>-830972.66</v>
      </c>
      <c r="D39" s="513">
        <v>-847896.65</v>
      </c>
      <c r="E39">
        <f>VLOOKUP(A39,Ucto_HK_summ!$A$2:$D$963,4,FALSE)</f>
        <v>-830972.66</v>
      </c>
    </row>
    <row r="40" spans="1:5">
      <c r="A40" s="578" t="s">
        <v>1259</v>
      </c>
      <c r="C40" s="513">
        <v>-830972.66</v>
      </c>
      <c r="D40" s="513">
        <v>-847896.65</v>
      </c>
      <c r="E40">
        <f>VLOOKUP(A40,Ucto_HK_summ!$A$2:$D$963,4,FALSE)</f>
        <v>-830972.66</v>
      </c>
    </row>
    <row r="41" spans="1:5">
      <c r="A41" s="577" t="s">
        <v>1260</v>
      </c>
      <c r="C41" s="579">
        <v>-830972.66</v>
      </c>
      <c r="D41" s="579">
        <v>-847896.65</v>
      </c>
      <c r="E41">
        <f>VLOOKUP(A41,Ucto_HK_summ!$A$2:$D$963,4,FALSE)</f>
        <v>-830972.66</v>
      </c>
    </row>
    <row r="42" spans="1:5">
      <c r="E42" t="e">
        <f>VLOOKUP(A42,Ucto_HK_summ!$A$2:$D$963,4,FALSE)</f>
        <v>#N/A</v>
      </c>
    </row>
    <row r="43" spans="1:5">
      <c r="A43" s="578" t="s">
        <v>1261</v>
      </c>
      <c r="B43" s="578" t="s">
        <v>1262</v>
      </c>
      <c r="C43" s="513">
        <v>-36407180.060000002</v>
      </c>
      <c r="D43" s="513">
        <v>-37828339.119999997</v>
      </c>
      <c r="E43">
        <f>VLOOKUP(A43,Ucto_HK_summ!$A$2:$D$963,4,FALSE)</f>
        <v>-36407180.060000002</v>
      </c>
    </row>
    <row r="44" spans="1:5">
      <c r="A44" s="578" t="s">
        <v>1263</v>
      </c>
      <c r="C44" s="513">
        <v>-36407180.060000002</v>
      </c>
      <c r="D44" s="513">
        <v>-37828339.119999997</v>
      </c>
      <c r="E44">
        <f>VLOOKUP(A44,Ucto_HK_summ!$A$2:$D$963,4,FALSE)</f>
        <v>-36407180.060000002</v>
      </c>
    </row>
    <row r="45" spans="1:5">
      <c r="A45" s="578" t="s">
        <v>1264</v>
      </c>
      <c r="B45" s="578" t="s">
        <v>1265</v>
      </c>
      <c r="C45" s="513">
        <v>-63278282.460000001</v>
      </c>
      <c r="D45" s="513">
        <v>-60494798.640000001</v>
      </c>
      <c r="E45">
        <f>VLOOKUP(A45,Ucto_HK_summ!$A$2:$D$963,4,FALSE)</f>
        <v>-63278282.460000001</v>
      </c>
    </row>
    <row r="46" spans="1:5">
      <c r="A46" s="578" t="s">
        <v>1266</v>
      </c>
      <c r="C46" s="513">
        <v>-63278282.460000001</v>
      </c>
      <c r="D46" s="513">
        <v>-60494798.640000001</v>
      </c>
      <c r="E46">
        <f>VLOOKUP(A46,Ucto_HK_summ!$A$2:$D$963,4,FALSE)</f>
        <v>-63278282.460000001</v>
      </c>
    </row>
    <row r="47" spans="1:5">
      <c r="A47" s="578" t="s">
        <v>1267</v>
      </c>
      <c r="B47" s="578" t="s">
        <v>1268</v>
      </c>
      <c r="C47" s="513">
        <v>-614550.18000000005</v>
      </c>
      <c r="D47" s="513">
        <v>-584609.64</v>
      </c>
      <c r="E47">
        <f>VLOOKUP(A47,Ucto_HK_summ!$A$2:$D$963,4,FALSE)</f>
        <v>-614550.18000000005</v>
      </c>
    </row>
    <row r="48" spans="1:5">
      <c r="A48" s="578" t="s">
        <v>1269</v>
      </c>
      <c r="C48" s="513">
        <v>-614550.18000000005</v>
      </c>
      <c r="D48" s="513">
        <v>-584609.64</v>
      </c>
      <c r="E48">
        <f>VLOOKUP(A48,Ucto_HK_summ!$A$2:$D$963,4,FALSE)</f>
        <v>-614550.18000000005</v>
      </c>
    </row>
    <row r="49" spans="1:5">
      <c r="A49" s="578" t="s">
        <v>1270</v>
      </c>
      <c r="B49" s="578" t="s">
        <v>1271</v>
      </c>
      <c r="C49" s="513">
        <v>-2341373.64</v>
      </c>
      <c r="D49" s="513">
        <v>-2348199.21</v>
      </c>
      <c r="E49">
        <f>VLOOKUP(A49,Ucto_HK_summ!$A$2:$D$963,4,FALSE)</f>
        <v>-2341373.64</v>
      </c>
    </row>
    <row r="50" spans="1:5">
      <c r="A50" s="578" t="s">
        <v>1272</v>
      </c>
      <c r="B50" s="578" t="s">
        <v>1273</v>
      </c>
      <c r="C50" s="513">
        <v>-4928423.3600000003</v>
      </c>
      <c r="D50" s="513">
        <v>-5055867.8899999997</v>
      </c>
      <c r="E50">
        <f>VLOOKUP(A50,Ucto_HK_summ!$A$2:$D$963,4,FALSE)</f>
        <v>-4928423.3600000003</v>
      </c>
    </row>
    <row r="51" spans="1:5">
      <c r="A51" s="578" t="s">
        <v>1274</v>
      </c>
      <c r="B51" s="578" t="s">
        <v>1275</v>
      </c>
      <c r="C51">
        <v>-502</v>
      </c>
      <c r="D51" s="550">
        <v>-6474</v>
      </c>
      <c r="E51">
        <f>VLOOKUP(A51,Ucto_HK_summ!$A$2:$D$963,4,FALSE)</f>
        <v>-502</v>
      </c>
    </row>
    <row r="52" spans="1:5">
      <c r="A52" s="578" t="s">
        <v>1276</v>
      </c>
      <c r="C52" s="550">
        <v>-7270299</v>
      </c>
      <c r="D52" s="513">
        <v>-7410541.0999999996</v>
      </c>
      <c r="E52">
        <f>VLOOKUP(A52,Ucto_HK_summ!$A$2:$D$963,4,FALSE)</f>
        <v>-7270299</v>
      </c>
    </row>
    <row r="53" spans="1:5">
      <c r="A53" s="577" t="s">
        <v>1277</v>
      </c>
      <c r="C53" s="579">
        <v>-107570311.7</v>
      </c>
      <c r="D53" s="579">
        <v>-106318288.5</v>
      </c>
      <c r="E53">
        <f>VLOOKUP(A53,Ucto_HK_summ!$A$2:$D$963,4,FALSE)</f>
        <v>-107570311.7</v>
      </c>
    </row>
    <row r="54" spans="1:5">
      <c r="E54" t="e">
        <f>VLOOKUP(A54,Ucto_HK_summ!$A$2:$D$963,4,FALSE)</f>
        <v>#N/A</v>
      </c>
    </row>
    <row r="55" spans="1:5">
      <c r="A55" s="577" t="s">
        <v>1278</v>
      </c>
      <c r="C55" s="579">
        <v>55328487.450000003</v>
      </c>
      <c r="D55" s="579">
        <v>53715116.350000001</v>
      </c>
      <c r="E55">
        <f>VLOOKUP(A55,Ucto_HK_summ!$A$2:$D$963,4,FALSE)</f>
        <v>55328487.450000003</v>
      </c>
    </row>
    <row r="56" spans="1:5">
      <c r="E56" t="e">
        <f>VLOOKUP(A56,Ucto_HK_summ!$A$2:$D$963,4,FALSE)</f>
        <v>#N/A</v>
      </c>
    </row>
    <row r="57" spans="1:5">
      <c r="E57" t="e">
        <f>VLOOKUP(A57,Ucto_HK_summ!$A$2:$D$963,4,FALSE)</f>
        <v>#N/A</v>
      </c>
    </row>
    <row r="58" spans="1:5">
      <c r="A58" s="578" t="s">
        <v>1279</v>
      </c>
      <c r="B58" s="578" t="s">
        <v>1280</v>
      </c>
      <c r="C58">
        <v>0</v>
      </c>
      <c r="D58">
        <v>0</v>
      </c>
      <c r="E58">
        <f>VLOOKUP(A58,Ucto_HK_summ!$A$2:$D$963,4,FALSE)</f>
        <v>0</v>
      </c>
    </row>
    <row r="59" spans="1:5">
      <c r="A59" s="578" t="s">
        <v>1281</v>
      </c>
      <c r="B59" s="578" t="s">
        <v>1282</v>
      </c>
      <c r="C59">
        <v>0</v>
      </c>
      <c r="D59">
        <v>0</v>
      </c>
      <c r="E59">
        <f>VLOOKUP(A59,Ucto_HK_summ!$A$2:$D$963,4,FALSE)</f>
        <v>0</v>
      </c>
    </row>
    <row r="60" spans="1:5">
      <c r="A60" s="578" t="s">
        <v>1283</v>
      </c>
      <c r="B60" s="578" t="s">
        <v>1284</v>
      </c>
      <c r="C60">
        <v>0</v>
      </c>
      <c r="D60">
        <v>0</v>
      </c>
      <c r="E60">
        <f>VLOOKUP(A60,Ucto_HK_summ!$A$2:$D$963,4,FALSE)</f>
        <v>0</v>
      </c>
    </row>
    <row r="61" spans="1:5">
      <c r="A61" s="578" t="s">
        <v>1285</v>
      </c>
      <c r="B61" s="578" t="s">
        <v>1286</v>
      </c>
      <c r="C61">
        <v>0</v>
      </c>
      <c r="D61">
        <v>0</v>
      </c>
      <c r="E61">
        <f>VLOOKUP(A61,Ucto_HK_summ!$A$2:$D$963,4,FALSE)</f>
        <v>0</v>
      </c>
    </row>
    <row r="62" spans="1:5">
      <c r="A62" s="578" t="s">
        <v>793</v>
      </c>
      <c r="C62">
        <v>0</v>
      </c>
      <c r="D62">
        <v>0</v>
      </c>
      <c r="E62">
        <f>VLOOKUP(A62,Ucto_HK_summ!$A$2:$D$963,4,FALSE)</f>
        <v>0</v>
      </c>
    </row>
    <row r="63" spans="1:5">
      <c r="A63" s="578" t="s">
        <v>1291</v>
      </c>
      <c r="B63" s="578" t="s">
        <v>1292</v>
      </c>
      <c r="C63" s="513">
        <v>38201.21</v>
      </c>
      <c r="D63" s="513">
        <v>39125.269999999997</v>
      </c>
      <c r="E63">
        <f>VLOOKUP(A63,Ucto_HK_summ!$A$2:$D$963,4,FALSE)</f>
        <v>38201.21</v>
      </c>
    </row>
    <row r="64" spans="1:5">
      <c r="A64" s="578" t="s">
        <v>2644</v>
      </c>
      <c r="B64" s="578" t="s">
        <v>2645</v>
      </c>
      <c r="C64">
        <v>0</v>
      </c>
      <c r="D64">
        <v>0</v>
      </c>
      <c r="E64">
        <f>VLOOKUP(A64,Ucto_HK_summ!$A$2:$D$963,4,FALSE)</f>
        <v>0</v>
      </c>
    </row>
    <row r="65" spans="1:5">
      <c r="A65" s="578" t="s">
        <v>1293</v>
      </c>
      <c r="B65" s="578" t="s">
        <v>1294</v>
      </c>
      <c r="C65">
        <v>122.04</v>
      </c>
      <c r="D65">
        <v>122.04</v>
      </c>
      <c r="E65">
        <f>VLOOKUP(A65,Ucto_HK_summ!$A$2:$D$963,4,FALSE)</f>
        <v>122.04</v>
      </c>
    </row>
    <row r="66" spans="1:5">
      <c r="A66" s="578" t="s">
        <v>1295</v>
      </c>
      <c r="B66" s="578" t="s">
        <v>1296</v>
      </c>
      <c r="C66">
        <v>651.04</v>
      </c>
      <c r="D66">
        <v>651.04</v>
      </c>
      <c r="E66">
        <f>VLOOKUP(A66,Ucto_HK_summ!$A$2:$D$963,4,FALSE)</f>
        <v>651.04</v>
      </c>
    </row>
    <row r="67" spans="1:5">
      <c r="A67" s="578" t="s">
        <v>1297</v>
      </c>
      <c r="B67" s="578" t="s">
        <v>1298</v>
      </c>
      <c r="C67">
        <v>661.93</v>
      </c>
      <c r="D67">
        <v>661.93</v>
      </c>
      <c r="E67">
        <f>VLOOKUP(A67,Ucto_HK_summ!$A$2:$D$963,4,FALSE)</f>
        <v>661.93</v>
      </c>
    </row>
    <row r="68" spans="1:5">
      <c r="A68" s="578" t="s">
        <v>2646</v>
      </c>
      <c r="B68" s="578" t="s">
        <v>2647</v>
      </c>
      <c r="C68">
        <v>0</v>
      </c>
      <c r="D68">
        <v>0</v>
      </c>
      <c r="E68">
        <f>VLOOKUP(A68,Ucto_HK_summ!$A$2:$D$963,4,FALSE)</f>
        <v>0</v>
      </c>
    </row>
    <row r="69" spans="1:5">
      <c r="A69" s="578" t="s">
        <v>1299</v>
      </c>
      <c r="B69" s="578" t="s">
        <v>1300</v>
      </c>
      <c r="C69" s="513">
        <v>19187.78</v>
      </c>
      <c r="D69" s="513">
        <v>18553.09</v>
      </c>
      <c r="E69">
        <f>VLOOKUP(A69,Ucto_HK_summ!$A$2:$D$963,4,FALSE)</f>
        <v>19187.78</v>
      </c>
    </row>
    <row r="70" spans="1:5">
      <c r="A70" s="578" t="s">
        <v>1301</v>
      </c>
      <c r="B70" s="578" t="s">
        <v>1302</v>
      </c>
      <c r="C70" s="513">
        <v>1096.07</v>
      </c>
      <c r="D70" s="513">
        <v>1277.26</v>
      </c>
      <c r="E70">
        <f>VLOOKUP(A70,Ucto_HK_summ!$A$2:$D$963,4,FALSE)</f>
        <v>1096.07</v>
      </c>
    </row>
    <row r="71" spans="1:5">
      <c r="A71" s="578" t="s">
        <v>1303</v>
      </c>
      <c r="B71" s="578" t="s">
        <v>1304</v>
      </c>
      <c r="C71">
        <v>0</v>
      </c>
      <c r="D71">
        <v>0</v>
      </c>
      <c r="E71">
        <f>VLOOKUP(A71,Ucto_HK_summ!$A$2:$D$963,4,FALSE)</f>
        <v>0</v>
      </c>
    </row>
    <row r="72" spans="1:5">
      <c r="A72" s="578" t="s">
        <v>1305</v>
      </c>
      <c r="B72" s="578" t="s">
        <v>1306</v>
      </c>
      <c r="C72">
        <v>0</v>
      </c>
      <c r="D72">
        <v>0</v>
      </c>
      <c r="E72">
        <f>VLOOKUP(A72,Ucto_HK_summ!$A$2:$D$963,4,FALSE)</f>
        <v>0</v>
      </c>
    </row>
    <row r="73" spans="1:5">
      <c r="A73" s="578" t="s">
        <v>1307</v>
      </c>
      <c r="B73" s="578" t="s">
        <v>1308</v>
      </c>
      <c r="C73">
        <v>0</v>
      </c>
      <c r="D73">
        <v>0</v>
      </c>
      <c r="E73">
        <f>VLOOKUP(A73,Ucto_HK_summ!$A$2:$D$963,4,FALSE)</f>
        <v>0</v>
      </c>
    </row>
    <row r="74" spans="1:5">
      <c r="A74" s="578" t="s">
        <v>1309</v>
      </c>
      <c r="B74" s="578" t="s">
        <v>1310</v>
      </c>
      <c r="C74" s="513">
        <v>21038.799999999999</v>
      </c>
      <c r="D74" s="513">
        <v>23742.39</v>
      </c>
      <c r="E74">
        <f>VLOOKUP(A74,Ucto_HK_summ!$A$2:$D$963,4,FALSE)</f>
        <v>21038.799999999999</v>
      </c>
    </row>
    <row r="75" spans="1:5">
      <c r="A75" s="578" t="s">
        <v>1311</v>
      </c>
      <c r="B75" s="578" t="s">
        <v>1312</v>
      </c>
      <c r="C75" s="513">
        <v>2480.7399999999998</v>
      </c>
      <c r="D75" s="513">
        <v>1711.14</v>
      </c>
      <c r="E75">
        <f>VLOOKUP(A75,Ucto_HK_summ!$A$2:$D$963,4,FALSE)</f>
        <v>2480.7399999999998</v>
      </c>
    </row>
    <row r="76" spans="1:5">
      <c r="A76" s="578" t="s">
        <v>1313</v>
      </c>
      <c r="B76" s="578" t="s">
        <v>1314</v>
      </c>
      <c r="C76" s="513">
        <v>9312.5400000000009</v>
      </c>
      <c r="D76" s="513">
        <v>20299.37</v>
      </c>
      <c r="E76">
        <f>VLOOKUP(A76,Ucto_HK_summ!$A$2:$D$963,4,FALSE)</f>
        <v>9312.5400000000009</v>
      </c>
    </row>
    <row r="77" spans="1:5">
      <c r="A77" s="578" t="s">
        <v>1315</v>
      </c>
      <c r="B77" s="578" t="s">
        <v>1316</v>
      </c>
      <c r="C77" s="513">
        <v>24025.11</v>
      </c>
      <c r="D77" s="513">
        <v>61507.71</v>
      </c>
      <c r="E77">
        <f>VLOOKUP(A77,Ucto_HK_summ!$A$2:$D$963,4,FALSE)</f>
        <v>24025.11</v>
      </c>
    </row>
    <row r="78" spans="1:5">
      <c r="A78" s="578" t="s">
        <v>1317</v>
      </c>
      <c r="B78" s="578" t="s">
        <v>1318</v>
      </c>
      <c r="C78" s="513">
        <v>13771.3</v>
      </c>
      <c r="D78" s="513">
        <v>14820.17</v>
      </c>
      <c r="E78">
        <f>VLOOKUP(A78,Ucto_HK_summ!$A$2:$D$963,4,FALSE)</f>
        <v>13771.3</v>
      </c>
    </row>
    <row r="79" spans="1:5">
      <c r="A79" s="578" t="s">
        <v>1319</v>
      </c>
      <c r="B79" s="578" t="s">
        <v>1320</v>
      </c>
      <c r="C79" s="513">
        <v>16718.63</v>
      </c>
      <c r="D79" s="513">
        <v>11266.91</v>
      </c>
      <c r="E79">
        <f>VLOOKUP(A79,Ucto_HK_summ!$A$2:$D$963,4,FALSE)</f>
        <v>16718.63</v>
      </c>
    </row>
    <row r="80" spans="1:5">
      <c r="A80" s="578" t="s">
        <v>1321</v>
      </c>
      <c r="B80" s="578" t="s">
        <v>1322</v>
      </c>
      <c r="C80" s="513">
        <v>14134.76</v>
      </c>
      <c r="D80" s="513">
        <v>11954.09</v>
      </c>
      <c r="E80">
        <f>VLOOKUP(A80,Ucto_HK_summ!$A$2:$D$963,4,FALSE)</f>
        <v>14134.76</v>
      </c>
    </row>
    <row r="81" spans="1:5">
      <c r="A81" s="578" t="s">
        <v>1323</v>
      </c>
      <c r="B81" s="578" t="s">
        <v>1324</v>
      </c>
      <c r="C81" s="513">
        <v>6864.56</v>
      </c>
      <c r="D81" s="513">
        <v>5751.37</v>
      </c>
      <c r="E81">
        <f>VLOOKUP(A81,Ucto_HK_summ!$A$2:$D$963,4,FALSE)</f>
        <v>6864.56</v>
      </c>
    </row>
    <row r="82" spans="1:5">
      <c r="A82" s="578" t="s">
        <v>1325</v>
      </c>
      <c r="B82" s="578" t="s">
        <v>1326</v>
      </c>
      <c r="C82" s="513">
        <v>36697.03</v>
      </c>
      <c r="D82" s="513">
        <v>54086.63</v>
      </c>
      <c r="E82">
        <f>VLOOKUP(A82,Ucto_HK_summ!$A$2:$D$963,4,FALSE)</f>
        <v>36697.03</v>
      </c>
    </row>
    <row r="83" spans="1:5">
      <c r="A83" s="578" t="s">
        <v>1327</v>
      </c>
      <c r="B83" s="578" t="s">
        <v>1328</v>
      </c>
      <c r="C83" s="513">
        <v>11680.19</v>
      </c>
      <c r="D83" s="513">
        <v>25378.33</v>
      </c>
      <c r="E83">
        <f>VLOOKUP(A83,Ucto_HK_summ!$A$2:$D$963,4,FALSE)</f>
        <v>11680.19</v>
      </c>
    </row>
    <row r="84" spans="1:5">
      <c r="A84" s="578" t="s">
        <v>1329</v>
      </c>
      <c r="B84" s="578" t="s">
        <v>1330</v>
      </c>
      <c r="C84">
        <v>739.42</v>
      </c>
      <c r="D84">
        <v>609.75</v>
      </c>
      <c r="E84">
        <f>VLOOKUP(A84,Ucto_HK_summ!$A$2:$D$963,4,FALSE)</f>
        <v>739.42</v>
      </c>
    </row>
    <row r="85" spans="1:5">
      <c r="A85" s="578" t="s">
        <v>1331</v>
      </c>
      <c r="B85" s="578" t="s">
        <v>1332</v>
      </c>
      <c r="C85" s="513">
        <v>1728.03</v>
      </c>
      <c r="D85" s="513">
        <v>3526.93</v>
      </c>
      <c r="E85">
        <f>VLOOKUP(A85,Ucto_HK_summ!$A$2:$D$963,4,FALSE)</f>
        <v>1728.03</v>
      </c>
    </row>
    <row r="86" spans="1:5">
      <c r="A86" s="578" t="s">
        <v>1333</v>
      </c>
      <c r="B86" s="578" t="s">
        <v>1334</v>
      </c>
      <c r="C86" s="550">
        <v>91087</v>
      </c>
      <c r="D86" s="513">
        <v>108872.06</v>
      </c>
      <c r="E86">
        <f>VLOOKUP(A86,Ucto_HK_summ!$A$2:$D$963,4,FALSE)</f>
        <v>91087</v>
      </c>
    </row>
    <row r="87" spans="1:5">
      <c r="A87" s="578" t="s">
        <v>1335</v>
      </c>
      <c r="B87" s="578" t="s">
        <v>1336</v>
      </c>
      <c r="C87" s="513">
        <v>3236.63</v>
      </c>
      <c r="D87" s="513">
        <v>2979.65</v>
      </c>
      <c r="E87">
        <f>VLOOKUP(A87,Ucto_HK_summ!$A$2:$D$963,4,FALSE)</f>
        <v>3236.63</v>
      </c>
    </row>
    <row r="88" spans="1:5">
      <c r="A88" s="578" t="s">
        <v>1337</v>
      </c>
      <c r="B88" s="578" t="s">
        <v>1338</v>
      </c>
      <c r="C88" s="513">
        <v>37636.86</v>
      </c>
      <c r="D88" s="513">
        <v>32895.96</v>
      </c>
      <c r="E88">
        <f>VLOOKUP(A88,Ucto_HK_summ!$A$2:$D$963,4,FALSE)</f>
        <v>37636.86</v>
      </c>
    </row>
    <row r="89" spans="1:5">
      <c r="A89" s="578" t="s">
        <v>1339</v>
      </c>
      <c r="B89" s="578" t="s">
        <v>1340</v>
      </c>
      <c r="C89" s="513">
        <v>1163.1400000000001</v>
      </c>
      <c r="D89" s="513">
        <v>1137.47</v>
      </c>
      <c r="E89">
        <f>VLOOKUP(A89,Ucto_HK_summ!$A$2:$D$963,4,FALSE)</f>
        <v>1163.1400000000001</v>
      </c>
    </row>
    <row r="90" spans="1:5">
      <c r="A90" s="578" t="s">
        <v>1341</v>
      </c>
      <c r="B90" s="578" t="s">
        <v>1342</v>
      </c>
      <c r="C90" s="513">
        <v>3231.06</v>
      </c>
      <c r="D90" s="513">
        <v>2049.38</v>
      </c>
      <c r="E90">
        <f>VLOOKUP(A90,Ucto_HK_summ!$A$2:$D$963,4,FALSE)</f>
        <v>3231.06</v>
      </c>
    </row>
    <row r="91" spans="1:5">
      <c r="A91" s="578" t="s">
        <v>1343</v>
      </c>
      <c r="B91" s="578" t="s">
        <v>1344</v>
      </c>
      <c r="C91" s="513">
        <v>147633.57999999999</v>
      </c>
      <c r="D91" s="513">
        <v>211046.53</v>
      </c>
      <c r="E91">
        <f>VLOOKUP(A91,Ucto_HK_summ!$A$2:$D$963,4,FALSE)</f>
        <v>147633.57999999999</v>
      </c>
    </row>
    <row r="92" spans="1:5">
      <c r="A92" s="578" t="s">
        <v>1345</v>
      </c>
      <c r="B92" s="578" t="s">
        <v>1346</v>
      </c>
      <c r="C92" s="513">
        <v>103261.91</v>
      </c>
      <c r="D92" s="513">
        <v>135411.01</v>
      </c>
      <c r="E92">
        <f>VLOOKUP(A92,Ucto_HK_summ!$A$2:$D$963,4,FALSE)</f>
        <v>103261.91</v>
      </c>
    </row>
    <row r="93" spans="1:5">
      <c r="A93" s="578" t="s">
        <v>1347</v>
      </c>
      <c r="B93" s="578" t="s">
        <v>1348</v>
      </c>
      <c r="C93">
        <v>0</v>
      </c>
      <c r="D93">
        <v>0</v>
      </c>
      <c r="E93">
        <f>VLOOKUP(A93,Ucto_HK_summ!$A$2:$D$963,4,FALSE)</f>
        <v>0</v>
      </c>
    </row>
    <row r="94" spans="1:5">
      <c r="A94" s="578" t="s">
        <v>1349</v>
      </c>
      <c r="B94" s="578" t="s">
        <v>1350</v>
      </c>
      <c r="C94" s="513">
        <v>156179.16</v>
      </c>
      <c r="D94" s="513">
        <v>178182.43</v>
      </c>
      <c r="E94">
        <f>VLOOKUP(A94,Ucto_HK_summ!$A$2:$D$963,4,FALSE)</f>
        <v>156179.16</v>
      </c>
    </row>
    <row r="95" spans="1:5">
      <c r="A95" s="578" t="s">
        <v>1351</v>
      </c>
      <c r="B95" s="578" t="s">
        <v>1352</v>
      </c>
      <c r="C95" s="513">
        <v>435516.08</v>
      </c>
      <c r="D95" s="513">
        <v>479938.01</v>
      </c>
      <c r="E95">
        <f>VLOOKUP(A95,Ucto_HK_summ!$A$2:$D$963,4,FALSE)</f>
        <v>435516.08</v>
      </c>
    </row>
    <row r="96" spans="1:5">
      <c r="A96" s="578" t="s">
        <v>795</v>
      </c>
      <c r="C96" s="513">
        <v>1198056.6000000001</v>
      </c>
      <c r="D96" s="513">
        <v>1447557.92</v>
      </c>
      <c r="E96">
        <f>VLOOKUP(A96,Ucto_HK_summ!$A$2:$D$963,4,FALSE)</f>
        <v>1198056.6000000001</v>
      </c>
    </row>
    <row r="97" spans="1:5">
      <c r="A97" s="578" t="s">
        <v>1353</v>
      </c>
      <c r="B97" s="578" t="s">
        <v>1354</v>
      </c>
      <c r="C97" s="513">
        <v>3321.64</v>
      </c>
      <c r="D97" s="513">
        <v>5636.46</v>
      </c>
      <c r="E97">
        <f>VLOOKUP(A97,Ucto_HK_summ!$A$2:$D$963,4,FALSE)</f>
        <v>3321.64</v>
      </c>
    </row>
    <row r="98" spans="1:5">
      <c r="A98" s="578" t="s">
        <v>1355</v>
      </c>
      <c r="B98" s="578" t="s">
        <v>1356</v>
      </c>
      <c r="C98">
        <v>231.01</v>
      </c>
      <c r="D98">
        <v>0</v>
      </c>
      <c r="E98">
        <f>VLOOKUP(A98,Ucto_HK_summ!$A$2:$D$963,4,FALSE)</f>
        <v>231.01</v>
      </c>
    </row>
    <row r="99" spans="1:5">
      <c r="A99" s="578" t="s">
        <v>1357</v>
      </c>
      <c r="B99" s="578" t="s">
        <v>1358</v>
      </c>
      <c r="C99" s="550">
        <v>1524</v>
      </c>
      <c r="D99" s="513">
        <v>5810.39</v>
      </c>
      <c r="E99">
        <f>VLOOKUP(A99,Ucto_HK_summ!$A$2:$D$963,4,FALSE)</f>
        <v>1524</v>
      </c>
    </row>
    <row r="100" spans="1:5">
      <c r="A100" s="578" t="s">
        <v>446</v>
      </c>
      <c r="C100" s="513">
        <v>5076.6499999999996</v>
      </c>
      <c r="D100" s="513">
        <v>11446.85</v>
      </c>
      <c r="E100">
        <f>VLOOKUP(A100,Ucto_HK_summ!$A$2:$D$963,4,FALSE)</f>
        <v>5076.6499999999996</v>
      </c>
    </row>
    <row r="101" spans="1:5">
      <c r="A101" s="577" t="s">
        <v>1359</v>
      </c>
      <c r="C101" s="579">
        <v>1203133.25</v>
      </c>
      <c r="D101" s="579">
        <v>1459004.77</v>
      </c>
      <c r="E101">
        <f>VLOOKUP(A101,Ucto_HK_summ!$A$2:$D$963,4,FALSE)</f>
        <v>1203133.25</v>
      </c>
    </row>
    <row r="102" spans="1:5">
      <c r="E102" t="e">
        <f>VLOOKUP(A102,Ucto_HK_summ!$A$2:$D$963,4,FALSE)</f>
        <v>#N/A</v>
      </c>
    </row>
    <row r="103" spans="1:5">
      <c r="A103" s="577" t="s">
        <v>1363</v>
      </c>
      <c r="C103" s="579">
        <v>1203133.25</v>
      </c>
      <c r="D103" s="579">
        <v>1459004.77</v>
      </c>
      <c r="E103">
        <f>VLOOKUP(A103,Ucto_HK_summ!$A$2:$D$963,4,FALSE)</f>
        <v>1203133.25</v>
      </c>
    </row>
    <row r="104" spans="1:5">
      <c r="E104" t="e">
        <f>VLOOKUP(A104,Ucto_HK_summ!$A$2:$D$963,4,FALSE)</f>
        <v>#N/A</v>
      </c>
    </row>
    <row r="105" spans="1:5">
      <c r="E105" t="e">
        <f>VLOOKUP(A105,Ucto_HK_summ!$A$2:$D$963,4,FALSE)</f>
        <v>#N/A</v>
      </c>
    </row>
    <row r="106" spans="1:5">
      <c r="A106" s="578" t="s">
        <v>1364</v>
      </c>
      <c r="B106" s="578" t="s">
        <v>1365</v>
      </c>
      <c r="C106">
        <v>0</v>
      </c>
      <c r="D106">
        <v>0</v>
      </c>
      <c r="E106">
        <f>VLOOKUP(A106,Ucto_HK_summ!$A$2:$D$963,4,FALSE)</f>
        <v>0</v>
      </c>
    </row>
    <row r="107" spans="1:5">
      <c r="A107" s="578" t="s">
        <v>1366</v>
      </c>
      <c r="B107" s="578" t="s">
        <v>1367</v>
      </c>
      <c r="C107">
        <v>0</v>
      </c>
      <c r="D107">
        <v>0</v>
      </c>
      <c r="E107">
        <f>VLOOKUP(A107,Ucto_HK_summ!$A$2:$D$963,4,FALSE)</f>
        <v>0</v>
      </c>
    </row>
    <row r="108" spans="1:5">
      <c r="A108" s="578" t="s">
        <v>1368</v>
      </c>
      <c r="B108" s="578" t="s">
        <v>1369</v>
      </c>
      <c r="C108">
        <v>0</v>
      </c>
      <c r="D108">
        <v>0</v>
      </c>
      <c r="E108">
        <f>VLOOKUP(A108,Ucto_HK_summ!$A$2:$D$963,4,FALSE)</f>
        <v>0</v>
      </c>
    </row>
    <row r="109" spans="1:5">
      <c r="A109" s="578" t="s">
        <v>1370</v>
      </c>
      <c r="B109" s="578" t="s">
        <v>1371</v>
      </c>
      <c r="C109">
        <v>257.2</v>
      </c>
      <c r="D109">
        <v>359.9</v>
      </c>
      <c r="E109">
        <f>VLOOKUP(A109,Ucto_HK_summ!$A$2:$D$963,4,FALSE)</f>
        <v>257.2</v>
      </c>
    </row>
    <row r="110" spans="1:5">
      <c r="A110" s="578" t="s">
        <v>1372</v>
      </c>
      <c r="B110" s="578" t="s">
        <v>1373</v>
      </c>
      <c r="C110">
        <v>35.4</v>
      </c>
      <c r="D110">
        <v>0</v>
      </c>
      <c r="E110">
        <f>VLOOKUP(A110,Ucto_HK_summ!$A$2:$D$963,4,FALSE)</f>
        <v>35.4</v>
      </c>
    </row>
    <row r="111" spans="1:5">
      <c r="A111" s="578" t="s">
        <v>1382</v>
      </c>
      <c r="C111">
        <v>292.60000000000002</v>
      </c>
      <c r="D111">
        <v>359.9</v>
      </c>
      <c r="E111">
        <f>VLOOKUP(A111,Ucto_HK_summ!$A$2:$D$963,4,FALSE)</f>
        <v>292.60000000000002</v>
      </c>
    </row>
    <row r="112" spans="1:5">
      <c r="A112" s="577" t="s">
        <v>1386</v>
      </c>
      <c r="C112" s="369">
        <v>292.60000000000002</v>
      </c>
      <c r="D112" s="369">
        <v>359.9</v>
      </c>
      <c r="E112">
        <f>VLOOKUP(A112,Ucto_HK_summ!$A$2:$D$963,4,FALSE)</f>
        <v>292.60000000000002</v>
      </c>
    </row>
    <row r="113" spans="1:5">
      <c r="E113" t="e">
        <f>VLOOKUP(A113,Ucto_HK_summ!$A$2:$D$963,4,FALSE)</f>
        <v>#N/A</v>
      </c>
    </row>
    <row r="114" spans="1:5">
      <c r="A114" s="578" t="s">
        <v>1387</v>
      </c>
      <c r="B114" s="578" t="s">
        <v>1388</v>
      </c>
      <c r="C114" s="513">
        <v>841835.84</v>
      </c>
      <c r="D114" s="513">
        <v>1065367.79</v>
      </c>
      <c r="E114">
        <f>VLOOKUP(A114,Ucto_HK_summ!$A$2:$D$963,4,FALSE)</f>
        <v>841835.84</v>
      </c>
    </row>
    <row r="115" spans="1:5">
      <c r="A115" s="578" t="s">
        <v>1389</v>
      </c>
      <c r="B115" s="578" t="s">
        <v>1390</v>
      </c>
      <c r="C115">
        <v>0</v>
      </c>
      <c r="D115">
        <v>0</v>
      </c>
      <c r="E115">
        <f>VLOOKUP(A115,Ucto_HK_summ!$A$2:$D$963,4,FALSE)</f>
        <v>0</v>
      </c>
    </row>
    <row r="116" spans="1:5">
      <c r="A116" s="578" t="s">
        <v>1391</v>
      </c>
      <c r="B116" s="578" t="s">
        <v>1392</v>
      </c>
      <c r="C116">
        <v>0</v>
      </c>
      <c r="D116" s="513">
        <v>335264.15999999997</v>
      </c>
      <c r="E116">
        <f>VLOOKUP(A116,Ucto_HK_summ!$A$2:$D$963,4,FALSE)</f>
        <v>0</v>
      </c>
    </row>
    <row r="117" spans="1:5">
      <c r="A117" s="578" t="s">
        <v>1393</v>
      </c>
      <c r="B117" s="578" t="s">
        <v>1394</v>
      </c>
      <c r="C117" s="513">
        <v>29826.11</v>
      </c>
      <c r="D117" s="513">
        <v>55185.74</v>
      </c>
      <c r="E117">
        <f>VLOOKUP(A117,Ucto_HK_summ!$A$2:$D$963,4,FALSE)</f>
        <v>29826.11</v>
      </c>
    </row>
    <row r="118" spans="1:5">
      <c r="A118" s="578" t="s">
        <v>1395</v>
      </c>
      <c r="B118" s="578" t="s">
        <v>1396</v>
      </c>
      <c r="C118">
        <v>0</v>
      </c>
      <c r="D118">
        <v>0</v>
      </c>
      <c r="E118">
        <f>VLOOKUP(A118,Ucto_HK_summ!$A$2:$D$963,4,FALSE)</f>
        <v>0</v>
      </c>
    </row>
    <row r="119" spans="1:5">
      <c r="A119" s="578" t="s">
        <v>1397</v>
      </c>
      <c r="B119" s="578" t="s">
        <v>1398</v>
      </c>
      <c r="C119" s="513">
        <v>130609.54</v>
      </c>
      <c r="D119" s="550">
        <v>1166820</v>
      </c>
      <c r="E119">
        <f>VLOOKUP(A119,Ucto_HK_summ!$A$2:$D$963,4,FALSE)</f>
        <v>130609.54</v>
      </c>
    </row>
    <row r="120" spans="1:5">
      <c r="A120" s="578" t="s">
        <v>1399</v>
      </c>
      <c r="B120" s="578" t="s">
        <v>1400</v>
      </c>
      <c r="C120" s="513">
        <v>29459.56</v>
      </c>
      <c r="D120" s="513">
        <v>18897.759999999998</v>
      </c>
      <c r="E120">
        <f>VLOOKUP(A120,Ucto_HK_summ!$A$2:$D$963,4,FALSE)</f>
        <v>29459.56</v>
      </c>
    </row>
    <row r="121" spans="1:5">
      <c r="A121" s="578" t="s">
        <v>1401</v>
      </c>
      <c r="B121" s="578" t="s">
        <v>1402</v>
      </c>
      <c r="C121" s="513">
        <v>1454.25</v>
      </c>
      <c r="D121" s="513">
        <v>1687.53</v>
      </c>
      <c r="E121">
        <f>VLOOKUP(A121,Ucto_HK_summ!$A$2:$D$963,4,FALSE)</f>
        <v>1454.25</v>
      </c>
    </row>
    <row r="122" spans="1:5">
      <c r="A122" s="578" t="s">
        <v>1403</v>
      </c>
      <c r="C122" s="513">
        <v>1033185.3</v>
      </c>
      <c r="D122" s="513">
        <v>2643222.98</v>
      </c>
      <c r="E122">
        <f>VLOOKUP(A122,Ucto_HK_summ!$A$2:$D$963,4,FALSE)</f>
        <v>1033185.3</v>
      </c>
    </row>
    <row r="123" spans="1:5">
      <c r="A123" s="577" t="s">
        <v>1404</v>
      </c>
      <c r="C123" s="579">
        <v>1033185.3</v>
      </c>
      <c r="D123" s="579">
        <v>2643222.98</v>
      </c>
      <c r="E123">
        <f>VLOOKUP(A123,Ucto_HK_summ!$A$2:$D$963,4,FALSE)</f>
        <v>1033185.3</v>
      </c>
    </row>
    <row r="124" spans="1:5">
      <c r="E124" t="e">
        <f>VLOOKUP(A124,Ucto_HK_summ!$A$2:$D$963,4,FALSE)</f>
        <v>#N/A</v>
      </c>
    </row>
    <row r="125" spans="1:5">
      <c r="A125" s="578" t="s">
        <v>1405</v>
      </c>
      <c r="B125" s="578" t="s">
        <v>1406</v>
      </c>
      <c r="C125" s="513">
        <v>-5338.68</v>
      </c>
      <c r="D125" s="513">
        <v>5654.6</v>
      </c>
      <c r="E125">
        <f>VLOOKUP(A125,Ucto_HK_summ!$A$2:$D$963,4,FALSE)</f>
        <v>-5338.68</v>
      </c>
    </row>
    <row r="126" spans="1:5">
      <c r="A126" s="578" t="s">
        <v>1407</v>
      </c>
      <c r="B126" s="578" t="s">
        <v>1408</v>
      </c>
      <c r="C126" s="513">
        <v>-2128.7800000000002</v>
      </c>
      <c r="D126" s="550">
        <v>-1153</v>
      </c>
      <c r="E126">
        <f>VLOOKUP(A126,Ucto_HK_summ!$A$2:$D$963,4,FALSE)</f>
        <v>-2128.7800000000002</v>
      </c>
    </row>
    <row r="127" spans="1:5">
      <c r="A127" s="578" t="s">
        <v>1409</v>
      </c>
      <c r="B127" s="578" t="s">
        <v>1410</v>
      </c>
      <c r="C127">
        <v>0</v>
      </c>
      <c r="D127">
        <v>0</v>
      </c>
      <c r="E127">
        <f>VLOOKUP(A127,Ucto_HK_summ!$A$2:$D$963,4,FALSE)</f>
        <v>0</v>
      </c>
    </row>
    <row r="128" spans="1:5">
      <c r="A128" s="578" t="s">
        <v>1411</v>
      </c>
      <c r="B128" s="578" t="s">
        <v>1412</v>
      </c>
      <c r="C128">
        <v>0</v>
      </c>
      <c r="D128">
        <v>0</v>
      </c>
      <c r="E128">
        <f>VLOOKUP(A128,Ucto_HK_summ!$A$2:$D$963,4,FALSE)</f>
        <v>0</v>
      </c>
    </row>
    <row r="129" spans="1:5">
      <c r="A129" s="578" t="s">
        <v>1419</v>
      </c>
      <c r="C129" s="513">
        <v>-7467.46</v>
      </c>
      <c r="D129" s="513">
        <v>4501.6000000000004</v>
      </c>
      <c r="E129">
        <f>VLOOKUP(A129,Ucto_HK_summ!$A$2:$D$963,4,FALSE)</f>
        <v>-7467.46</v>
      </c>
    </row>
    <row r="130" spans="1:5">
      <c r="A130" s="577" t="s">
        <v>1420</v>
      </c>
      <c r="C130" s="579">
        <v>-7467.46</v>
      </c>
      <c r="D130" s="579">
        <v>4501.6000000000004</v>
      </c>
      <c r="E130">
        <f>VLOOKUP(A130,Ucto_HK_summ!$A$2:$D$963,4,FALSE)</f>
        <v>-7467.46</v>
      </c>
    </row>
    <row r="131" spans="1:5">
      <c r="E131" t="e">
        <f>VLOOKUP(A131,Ucto_HK_summ!$A$2:$D$963,4,FALSE)</f>
        <v>#N/A</v>
      </c>
    </row>
    <row r="132" spans="1:5">
      <c r="A132" s="578" t="s">
        <v>1421</v>
      </c>
      <c r="B132" s="578" t="s">
        <v>1422</v>
      </c>
      <c r="C132" s="513">
        <v>-608873.73</v>
      </c>
      <c r="D132" s="513">
        <v>-608873.73</v>
      </c>
      <c r="E132">
        <f>VLOOKUP(A132,Ucto_HK_summ!$A$2:$D$963,4,FALSE)</f>
        <v>-608873.73</v>
      </c>
    </row>
    <row r="133" spans="1:5">
      <c r="A133" s="578" t="s">
        <v>1423</v>
      </c>
      <c r="C133" s="513">
        <v>-608873.73</v>
      </c>
      <c r="D133" s="513">
        <v>-608873.73</v>
      </c>
      <c r="E133">
        <f>VLOOKUP(A133,Ucto_HK_summ!$A$2:$D$963,4,FALSE)</f>
        <v>-608873.73</v>
      </c>
    </row>
    <row r="134" spans="1:5">
      <c r="A134" s="577" t="s">
        <v>1424</v>
      </c>
      <c r="C134" s="579">
        <v>-608873.73</v>
      </c>
      <c r="D134" s="579">
        <v>-608873.73</v>
      </c>
      <c r="E134">
        <f>VLOOKUP(A134,Ucto_HK_summ!$A$2:$D$963,4,FALSE)</f>
        <v>-608873.73</v>
      </c>
    </row>
    <row r="135" spans="1:5">
      <c r="E135" t="e">
        <f>VLOOKUP(A135,Ucto_HK_summ!$A$2:$D$963,4,FALSE)</f>
        <v>#N/A</v>
      </c>
    </row>
    <row r="136" spans="1:5">
      <c r="A136" s="577" t="s">
        <v>1425</v>
      </c>
      <c r="C136" s="579">
        <v>417136.71</v>
      </c>
      <c r="D136" s="579">
        <v>2039210.75</v>
      </c>
      <c r="E136">
        <f>VLOOKUP(A136,Ucto_HK_summ!$A$2:$D$963,4,FALSE)</f>
        <v>417136.71</v>
      </c>
    </row>
    <row r="137" spans="1:5">
      <c r="E137" t="e">
        <f>VLOOKUP(A137,Ucto_HK_summ!$A$2:$D$963,4,FALSE)</f>
        <v>#N/A</v>
      </c>
    </row>
    <row r="138" spans="1:5">
      <c r="E138" t="e">
        <f>VLOOKUP(A138,Ucto_HK_summ!$A$2:$D$963,4,FALSE)</f>
        <v>#N/A</v>
      </c>
    </row>
    <row r="139" spans="1:5">
      <c r="A139" s="578" t="s">
        <v>1426</v>
      </c>
      <c r="B139" s="578" t="s">
        <v>1427</v>
      </c>
      <c r="C139" s="513">
        <v>9534806.9299999997</v>
      </c>
      <c r="D139" s="513">
        <v>9540795.8000000007</v>
      </c>
      <c r="E139">
        <f>VLOOKUP(A139,Ucto_HK_summ!$A$2:$D$963,4,FALSE)</f>
        <v>9534806.9299999997</v>
      </c>
    </row>
    <row r="140" spans="1:5">
      <c r="A140" s="578" t="s">
        <v>1428</v>
      </c>
      <c r="B140" s="578" t="s">
        <v>1429</v>
      </c>
      <c r="C140" s="513">
        <v>4561700.1500000004</v>
      </c>
      <c r="D140" s="513">
        <v>4621894.0999999996</v>
      </c>
      <c r="E140">
        <f>VLOOKUP(A140,Ucto_HK_summ!$A$2:$D$963,4,FALSE)</f>
        <v>4561700.1500000004</v>
      </c>
    </row>
    <row r="141" spans="1:5">
      <c r="A141" s="578" t="s">
        <v>1430</v>
      </c>
      <c r="B141" s="578" t="s">
        <v>1431</v>
      </c>
      <c r="C141" s="513">
        <v>1367844.62</v>
      </c>
      <c r="D141" s="513">
        <v>657589.01</v>
      </c>
      <c r="E141">
        <f>VLOOKUP(A141,Ucto_HK_summ!$A$2:$D$963,4,FALSE)</f>
        <v>1367844.62</v>
      </c>
    </row>
    <row r="142" spans="1:5">
      <c r="A142" s="578" t="s">
        <v>1432</v>
      </c>
      <c r="B142" s="578" t="s">
        <v>1433</v>
      </c>
      <c r="C142">
        <v>273.3</v>
      </c>
      <c r="D142">
        <v>476.95</v>
      </c>
      <c r="E142">
        <f>VLOOKUP(A142,Ucto_HK_summ!$A$2:$D$963,4,FALSE)</f>
        <v>273.3</v>
      </c>
    </row>
    <row r="143" spans="1:5">
      <c r="A143" s="578" t="s">
        <v>1434</v>
      </c>
      <c r="B143" s="578" t="s">
        <v>1435</v>
      </c>
      <c r="C143" s="550">
        <v>77423</v>
      </c>
      <c r="D143" s="513">
        <v>81021.25</v>
      </c>
      <c r="E143">
        <f>VLOOKUP(A143,Ucto_HK_summ!$A$2:$D$963,4,FALSE)</f>
        <v>77423</v>
      </c>
    </row>
    <row r="144" spans="1:5">
      <c r="A144" s="578" t="s">
        <v>1436</v>
      </c>
      <c r="B144" s="578" t="s">
        <v>1437</v>
      </c>
      <c r="C144" s="513">
        <v>178026.74</v>
      </c>
      <c r="D144" s="513">
        <v>200022.25</v>
      </c>
      <c r="E144">
        <f>VLOOKUP(A144,Ucto_HK_summ!$A$2:$D$963,4,FALSE)</f>
        <v>178026.74</v>
      </c>
    </row>
    <row r="145" spans="1:5">
      <c r="A145" s="578" t="s">
        <v>1438</v>
      </c>
      <c r="B145" s="578" t="s">
        <v>1439</v>
      </c>
      <c r="C145">
        <v>916.7</v>
      </c>
      <c r="D145" s="513">
        <v>1283.3800000000001</v>
      </c>
      <c r="E145">
        <f>VLOOKUP(A145,Ucto_HK_summ!$A$2:$D$963,4,FALSE)</f>
        <v>916.7</v>
      </c>
    </row>
    <row r="146" spans="1:5">
      <c r="A146" s="578" t="s">
        <v>1440</v>
      </c>
      <c r="B146" s="578" t="s">
        <v>1441</v>
      </c>
      <c r="C146" s="513">
        <v>962378.31</v>
      </c>
      <c r="D146" s="513">
        <v>1168635.1399999999</v>
      </c>
      <c r="E146">
        <f>VLOOKUP(A146,Ucto_HK_summ!$A$2:$D$963,4,FALSE)</f>
        <v>962378.31</v>
      </c>
    </row>
    <row r="147" spans="1:5">
      <c r="A147" s="578" t="s">
        <v>1442</v>
      </c>
      <c r="B147" s="578" t="s">
        <v>1443</v>
      </c>
      <c r="C147" s="513">
        <v>99468.31</v>
      </c>
      <c r="D147" s="513">
        <v>102347.44</v>
      </c>
      <c r="E147">
        <f>VLOOKUP(A147,Ucto_HK_summ!$A$2:$D$963,4,FALSE)</f>
        <v>99468.31</v>
      </c>
    </row>
    <row r="148" spans="1:5">
      <c r="A148" s="578" t="s">
        <v>1444</v>
      </c>
      <c r="B148" s="578" t="s">
        <v>1445</v>
      </c>
      <c r="C148" s="550">
        <v>1400</v>
      </c>
      <c r="D148" s="513">
        <v>16791.7</v>
      </c>
      <c r="E148">
        <f>VLOOKUP(A148,Ucto_HK_summ!$A$2:$D$963,4,FALSE)</f>
        <v>1400</v>
      </c>
    </row>
    <row r="149" spans="1:5">
      <c r="A149" s="578" t="s">
        <v>1446</v>
      </c>
      <c r="B149" s="578" t="s">
        <v>1447</v>
      </c>
      <c r="C149">
        <v>0</v>
      </c>
      <c r="D149">
        <v>833.81</v>
      </c>
      <c r="E149">
        <f>VLOOKUP(A149,Ucto_HK_summ!$A$2:$D$963,4,FALSE)</f>
        <v>0</v>
      </c>
    </row>
    <row r="150" spans="1:5">
      <c r="A150" s="578" t="s">
        <v>1454</v>
      </c>
      <c r="C150" s="513">
        <v>16784238.059999999</v>
      </c>
      <c r="D150" s="513">
        <v>16391690.83</v>
      </c>
      <c r="E150">
        <f>VLOOKUP(A150,Ucto_HK_summ!$A$2:$D$963,4,FALSE)</f>
        <v>16784238.059999999</v>
      </c>
    </row>
    <row r="151" spans="1:5">
      <c r="A151" s="578" t="s">
        <v>1455</v>
      </c>
      <c r="B151" s="578" t="s">
        <v>1456</v>
      </c>
      <c r="C151">
        <v>152.19999999999999</v>
      </c>
      <c r="D151" s="513">
        <v>12983.62</v>
      </c>
      <c r="E151">
        <f>VLOOKUP(A151,Ucto_HK_summ!$A$2:$D$963,4,FALSE)</f>
        <v>152.19999999999999</v>
      </c>
    </row>
    <row r="152" spans="1:5">
      <c r="A152" s="578" t="s">
        <v>1457</v>
      </c>
      <c r="C152">
        <v>152.19999999999999</v>
      </c>
      <c r="D152" s="513">
        <v>12983.62</v>
      </c>
      <c r="E152">
        <f>VLOOKUP(A152,Ucto_HK_summ!$A$2:$D$963,4,FALSE)</f>
        <v>152.19999999999999</v>
      </c>
    </row>
    <row r="153" spans="1:5">
      <c r="A153" s="578" t="s">
        <v>1458</v>
      </c>
      <c r="B153" s="578" t="s">
        <v>222</v>
      </c>
      <c r="C153" s="513">
        <v>86515.75</v>
      </c>
      <c r="D153" s="513">
        <v>127440.7</v>
      </c>
      <c r="E153">
        <f>VLOOKUP(A153,Ucto_HK_summ!$A$2:$D$963,4,FALSE)</f>
        <v>86515.75</v>
      </c>
    </row>
    <row r="154" spans="1:5">
      <c r="A154" s="578" t="s">
        <v>1461</v>
      </c>
      <c r="C154" s="513">
        <v>86515.75</v>
      </c>
      <c r="D154" s="513">
        <v>127440.7</v>
      </c>
      <c r="E154">
        <f>VLOOKUP(A154,Ucto_HK_summ!$A$2:$D$963,4,FALSE)</f>
        <v>86515.75</v>
      </c>
    </row>
    <row r="155" spans="1:5">
      <c r="A155" s="577" t="s">
        <v>1462</v>
      </c>
      <c r="C155" s="579">
        <v>16870906.010000002</v>
      </c>
      <c r="D155" s="579">
        <v>16532115.15</v>
      </c>
      <c r="E155">
        <f>VLOOKUP(A155,Ucto_HK_summ!$A$2:$D$963,4,FALSE)</f>
        <v>16870906.010000002</v>
      </c>
    </row>
    <row r="156" spans="1:5">
      <c r="E156" t="e">
        <f>VLOOKUP(A156,Ucto_HK_summ!$A$2:$D$963,4,FALSE)</f>
        <v>#N/A</v>
      </c>
    </row>
    <row r="157" spans="1:5">
      <c r="A157" s="578" t="s">
        <v>1463</v>
      </c>
      <c r="B157" s="578" t="s">
        <v>1464</v>
      </c>
      <c r="C157" s="513">
        <v>-13333172.369999999</v>
      </c>
      <c r="D157" s="513">
        <v>-13356922.75</v>
      </c>
      <c r="E157">
        <f>VLOOKUP(A157,Ucto_HK_summ!$A$2:$D$963,4,FALSE)</f>
        <v>-13333172.369999999</v>
      </c>
    </row>
    <row r="158" spans="1:5">
      <c r="A158" s="578" t="s">
        <v>1465</v>
      </c>
      <c r="B158" s="578" t="s">
        <v>1466</v>
      </c>
      <c r="C158" s="513">
        <v>-4468477.38</v>
      </c>
      <c r="D158" s="513">
        <v>-3826300.9</v>
      </c>
      <c r="E158">
        <f>VLOOKUP(A158,Ucto_HK_summ!$A$2:$D$963,4,FALSE)</f>
        <v>-4468477.38</v>
      </c>
    </row>
    <row r="159" spans="1:5">
      <c r="A159" s="578" t="s">
        <v>1467</v>
      </c>
      <c r="B159" s="578" t="s">
        <v>1468</v>
      </c>
      <c r="C159" s="513">
        <v>-45401266.880000003</v>
      </c>
      <c r="D159" s="513">
        <v>-31442171.129999999</v>
      </c>
      <c r="E159">
        <f>VLOOKUP(A159,Ucto_HK_summ!$A$2:$D$963,4,FALSE)</f>
        <v>-45401266.880000003</v>
      </c>
    </row>
    <row r="160" spans="1:5">
      <c r="A160" s="578" t="s">
        <v>1469</v>
      </c>
      <c r="B160" s="578" t="s">
        <v>1470</v>
      </c>
      <c r="C160" s="513">
        <v>-4892670.3600000003</v>
      </c>
      <c r="D160" s="513">
        <v>-5575608.7599999998</v>
      </c>
      <c r="E160">
        <f>VLOOKUP(A160,Ucto_HK_summ!$A$2:$D$963,4,FALSE)</f>
        <v>-4892670.3600000003</v>
      </c>
    </row>
    <row r="161" spans="1:5">
      <c r="A161" s="578" t="s">
        <v>1471</v>
      </c>
      <c r="B161" s="578" t="s">
        <v>1472</v>
      </c>
      <c r="C161" s="513">
        <v>-490438.28</v>
      </c>
      <c r="D161" s="513">
        <v>-423209.03</v>
      </c>
      <c r="E161">
        <f>VLOOKUP(A161,Ucto_HK_summ!$A$2:$D$963,4,FALSE)</f>
        <v>-490438.28</v>
      </c>
    </row>
    <row r="162" spans="1:5">
      <c r="A162" s="578" t="s">
        <v>1473</v>
      </c>
      <c r="B162" s="578" t="s">
        <v>1474</v>
      </c>
      <c r="C162" s="513">
        <v>-8799947.1500000004</v>
      </c>
      <c r="D162" s="513">
        <v>-8544081.25</v>
      </c>
      <c r="E162">
        <f>VLOOKUP(A162,Ucto_HK_summ!$A$2:$D$963,4,FALSE)</f>
        <v>-8799947.1500000004</v>
      </c>
    </row>
    <row r="163" spans="1:5">
      <c r="A163" s="578" t="s">
        <v>1475</v>
      </c>
      <c r="B163" s="578" t="s">
        <v>1476</v>
      </c>
      <c r="C163" s="513">
        <v>-855781.49</v>
      </c>
      <c r="D163" s="513">
        <v>-2202280.44</v>
      </c>
      <c r="E163">
        <f>VLOOKUP(A163,Ucto_HK_summ!$A$2:$D$963,4,FALSE)</f>
        <v>-855781.49</v>
      </c>
    </row>
    <row r="164" spans="1:5">
      <c r="A164" s="578" t="s">
        <v>1477</v>
      </c>
      <c r="B164" s="578" t="s">
        <v>1478</v>
      </c>
      <c r="C164" s="513">
        <v>-5916513.6600000001</v>
      </c>
      <c r="D164" s="513">
        <v>-4439699.24</v>
      </c>
      <c r="E164">
        <f>VLOOKUP(A164,Ucto_HK_summ!$A$2:$D$963,4,FALSE)</f>
        <v>-5916513.6600000001</v>
      </c>
    </row>
    <row r="165" spans="1:5">
      <c r="A165" s="578" t="s">
        <v>1479</v>
      </c>
      <c r="B165" s="578" t="s">
        <v>1480</v>
      </c>
      <c r="C165" s="513">
        <v>-4254330.2</v>
      </c>
      <c r="D165" s="513">
        <v>-4395780.76</v>
      </c>
      <c r="E165">
        <f>VLOOKUP(A165,Ucto_HK_summ!$A$2:$D$963,4,FALSE)</f>
        <v>-4254330.2</v>
      </c>
    </row>
    <row r="166" spans="1:5">
      <c r="A166" s="578" t="s">
        <v>1481</v>
      </c>
      <c r="B166" s="578" t="s">
        <v>1482</v>
      </c>
      <c r="C166" s="513">
        <v>-1216.8</v>
      </c>
      <c r="D166">
        <v>0</v>
      </c>
      <c r="E166">
        <f>VLOOKUP(A166,Ucto_HK_summ!$A$2:$D$963,4,FALSE)</f>
        <v>-1216.8</v>
      </c>
    </row>
    <row r="167" spans="1:5">
      <c r="A167" s="578" t="s">
        <v>2648</v>
      </c>
      <c r="B167" s="578" t="s">
        <v>2649</v>
      </c>
      <c r="C167">
        <v>0</v>
      </c>
      <c r="D167">
        <v>0</v>
      </c>
      <c r="E167">
        <f>VLOOKUP(A167,Ucto_HK_summ!$A$2:$D$963,4,FALSE)</f>
        <v>0</v>
      </c>
    </row>
    <row r="168" spans="1:5">
      <c r="A168" s="578" t="s">
        <v>1485</v>
      </c>
      <c r="B168" s="578" t="s">
        <v>1486</v>
      </c>
      <c r="C168" s="513">
        <v>-48398.14</v>
      </c>
      <c r="D168" s="513">
        <v>-63188.91</v>
      </c>
      <c r="E168">
        <f>VLOOKUP(A168,Ucto_HK_summ!$A$2:$D$963,4,FALSE)</f>
        <v>-48398.14</v>
      </c>
    </row>
    <row r="169" spans="1:5">
      <c r="A169" s="578" t="s">
        <v>1487</v>
      </c>
      <c r="B169" s="578" t="s">
        <v>1488</v>
      </c>
      <c r="C169" s="513">
        <v>-13231.86</v>
      </c>
      <c r="D169" s="513">
        <v>-19072.68</v>
      </c>
      <c r="E169">
        <f>VLOOKUP(A169,Ucto_HK_summ!$A$2:$D$963,4,FALSE)</f>
        <v>-13231.86</v>
      </c>
    </row>
    <row r="170" spans="1:5">
      <c r="A170" s="578" t="s">
        <v>2699</v>
      </c>
      <c r="B170" s="578" t="s">
        <v>2700</v>
      </c>
      <c r="C170">
        <v>0</v>
      </c>
      <c r="D170">
        <v>0</v>
      </c>
      <c r="E170">
        <f>VLOOKUP(A170,Ucto_HK_summ!$A$2:$D$963,4,FALSE)</f>
        <v>0</v>
      </c>
    </row>
    <row r="171" spans="1:5">
      <c r="A171" s="578" t="s">
        <v>1489</v>
      </c>
      <c r="B171" s="578" t="s">
        <v>1490</v>
      </c>
      <c r="C171" s="513">
        <v>-3297.87</v>
      </c>
      <c r="D171" s="513">
        <v>-3227.19</v>
      </c>
      <c r="E171">
        <f>VLOOKUP(A171,Ucto_HK_summ!$A$2:$D$963,4,FALSE)</f>
        <v>-3297.87</v>
      </c>
    </row>
    <row r="172" spans="1:5">
      <c r="A172" s="578" t="s">
        <v>1491</v>
      </c>
      <c r="C172" s="513">
        <v>-88478742.439999998</v>
      </c>
      <c r="D172" s="513">
        <v>-74291543.040000007</v>
      </c>
      <c r="E172">
        <f>VLOOKUP(A172,Ucto_HK_summ!$A$2:$D$963,4,FALSE)</f>
        <v>-88478742.439999998</v>
      </c>
    </row>
    <row r="173" spans="1:5">
      <c r="A173" s="578" t="s">
        <v>1492</v>
      </c>
      <c r="B173" s="578" t="s">
        <v>1493</v>
      </c>
      <c r="C173" s="513">
        <v>-1068922.94</v>
      </c>
      <c r="D173" s="550">
        <v>-323600</v>
      </c>
      <c r="E173">
        <f>VLOOKUP(A173,Ucto_HK_summ!$A$2:$D$963,4,FALSE)</f>
        <v>-1068922.94</v>
      </c>
    </row>
    <row r="174" spans="1:5">
      <c r="A174" s="578" t="s">
        <v>1494</v>
      </c>
      <c r="B174" s="578" t="s">
        <v>1495</v>
      </c>
      <c r="C174">
        <v>0</v>
      </c>
      <c r="D174" s="550">
        <v>-2442100</v>
      </c>
      <c r="E174">
        <f>VLOOKUP(A174,Ucto_HK_summ!$A$2:$D$963,4,FALSE)</f>
        <v>0</v>
      </c>
    </row>
    <row r="175" spans="1:5">
      <c r="A175" s="578" t="s">
        <v>1498</v>
      </c>
      <c r="B175" s="578" t="s">
        <v>1499</v>
      </c>
      <c r="C175" s="550">
        <v>-13377</v>
      </c>
      <c r="D175" s="513">
        <v>-15286.4</v>
      </c>
      <c r="E175">
        <f>VLOOKUP(A175,Ucto_HK_summ!$A$2:$D$963,4,FALSE)</f>
        <v>-13377</v>
      </c>
    </row>
    <row r="176" spans="1:5">
      <c r="A176" s="578" t="s">
        <v>1500</v>
      </c>
      <c r="B176" s="578" t="s">
        <v>1501</v>
      </c>
      <c r="C176" s="550">
        <v>-4637</v>
      </c>
      <c r="D176" s="513">
        <v>-5345.2</v>
      </c>
      <c r="E176">
        <f>VLOOKUP(A176,Ucto_HK_summ!$A$2:$D$963,4,FALSE)</f>
        <v>-4637</v>
      </c>
    </row>
    <row r="177" spans="1:5">
      <c r="A177" s="578" t="s">
        <v>1502</v>
      </c>
      <c r="C177" s="513">
        <v>-1086936.94</v>
      </c>
      <c r="D177" s="513">
        <v>-2786331.6</v>
      </c>
      <c r="E177">
        <f>VLOOKUP(A177,Ucto_HK_summ!$A$2:$D$963,4,FALSE)</f>
        <v>-1086936.94</v>
      </c>
    </row>
    <row r="178" spans="1:5">
      <c r="A178" s="578" t="s">
        <v>2701</v>
      </c>
      <c r="B178" s="578" t="s">
        <v>2702</v>
      </c>
      <c r="C178" s="513">
        <v>1450.5</v>
      </c>
      <c r="D178">
        <v>0</v>
      </c>
      <c r="E178">
        <f>VLOOKUP(A178,Ucto_HK_summ!$A$2:$D$963,4,FALSE)</f>
        <v>1450.5</v>
      </c>
    </row>
    <row r="179" spans="1:5">
      <c r="A179" s="578" t="s">
        <v>2703</v>
      </c>
      <c r="B179" s="578" t="s">
        <v>2704</v>
      </c>
      <c r="C179" s="513">
        <v>-8703.07</v>
      </c>
      <c r="D179">
        <v>0</v>
      </c>
      <c r="E179">
        <f>VLOOKUP(A179,Ucto_HK_summ!$A$2:$D$963,4,FALSE)</f>
        <v>-8703.07</v>
      </c>
    </row>
    <row r="180" spans="1:5">
      <c r="A180" s="578" t="s">
        <v>1505</v>
      </c>
      <c r="C180" s="513">
        <v>-7252.57</v>
      </c>
      <c r="D180">
        <v>0</v>
      </c>
      <c r="E180">
        <f>VLOOKUP(A180,Ucto_HK_summ!$A$2:$D$963,4,FALSE)</f>
        <v>-7252.57</v>
      </c>
    </row>
    <row r="181" spans="1:5">
      <c r="A181" s="578" t="s">
        <v>1506</v>
      </c>
      <c r="B181" s="578" t="s">
        <v>1507</v>
      </c>
      <c r="C181" s="513">
        <v>-1708.71</v>
      </c>
      <c r="D181" s="513">
        <v>-5566.12</v>
      </c>
      <c r="E181">
        <f>VLOOKUP(A181,Ucto_HK_summ!$A$2:$D$963,4,FALSE)</f>
        <v>-1708.71</v>
      </c>
    </row>
    <row r="182" spans="1:5">
      <c r="A182" s="578" t="s">
        <v>2705</v>
      </c>
      <c r="B182" s="578" t="s">
        <v>2706</v>
      </c>
      <c r="C182">
        <v>0</v>
      </c>
      <c r="D182">
        <v>0</v>
      </c>
      <c r="E182">
        <f>VLOOKUP(A182,Ucto_HK_summ!$A$2:$D$963,4,FALSE)</f>
        <v>0</v>
      </c>
    </row>
    <row r="183" spans="1:5">
      <c r="A183" s="578" t="s">
        <v>1508</v>
      </c>
      <c r="C183" s="513">
        <v>-1708.71</v>
      </c>
      <c r="D183" s="513">
        <v>-5566.12</v>
      </c>
      <c r="E183">
        <f>VLOOKUP(A183,Ucto_HK_summ!$A$2:$D$963,4,FALSE)</f>
        <v>-1708.71</v>
      </c>
    </row>
    <row r="184" spans="1:5">
      <c r="A184" s="577" t="s">
        <v>1511</v>
      </c>
      <c r="C184" s="579">
        <v>-89574640.659999996</v>
      </c>
      <c r="D184" s="579">
        <v>-77083440.760000005</v>
      </c>
      <c r="E184">
        <f>VLOOKUP(A184,Ucto_HK_summ!$A$2:$D$963,4,FALSE)</f>
        <v>-89574640.659999996</v>
      </c>
    </row>
    <row r="185" spans="1:5">
      <c r="E185" t="e">
        <f>VLOOKUP(A185,Ucto_HK_summ!$A$2:$D$963,4,FALSE)</f>
        <v>#N/A</v>
      </c>
    </row>
    <row r="186" spans="1:5">
      <c r="A186" s="578" t="s">
        <v>1512</v>
      </c>
      <c r="B186" s="578" t="s">
        <v>1513</v>
      </c>
      <c r="C186" s="513">
        <v>-3125620.88</v>
      </c>
      <c r="D186" s="513">
        <v>-3178720.52</v>
      </c>
      <c r="E186">
        <f>VLOOKUP(A186,Ucto_HK_summ!$A$2:$D$963,4,FALSE)</f>
        <v>-3125620.88</v>
      </c>
    </row>
    <row r="187" spans="1:5">
      <c r="A187" s="578" t="s">
        <v>1514</v>
      </c>
      <c r="C187" s="513">
        <v>-3125620.88</v>
      </c>
      <c r="D187" s="513">
        <v>-3178720.52</v>
      </c>
      <c r="E187">
        <f>VLOOKUP(A187,Ucto_HK_summ!$A$2:$D$963,4,FALSE)</f>
        <v>-3125620.88</v>
      </c>
    </row>
    <row r="188" spans="1:5">
      <c r="A188" s="578" t="s">
        <v>1515</v>
      </c>
      <c r="B188" s="578" t="s">
        <v>1516</v>
      </c>
      <c r="C188" s="513">
        <v>-21449.56</v>
      </c>
      <c r="D188" s="513">
        <v>-18897.759999999998</v>
      </c>
      <c r="E188">
        <f>VLOOKUP(A188,Ucto_HK_summ!$A$2:$D$963,4,FALSE)</f>
        <v>-21449.56</v>
      </c>
    </row>
    <row r="189" spans="1:5">
      <c r="A189" s="578" t="s">
        <v>1517</v>
      </c>
      <c r="B189" s="578" t="s">
        <v>1518</v>
      </c>
      <c r="C189">
        <v>-448.2</v>
      </c>
      <c r="D189">
        <v>-448.2</v>
      </c>
      <c r="E189">
        <f>VLOOKUP(A189,Ucto_HK_summ!$A$2:$D$963,4,FALSE)</f>
        <v>-448.2</v>
      </c>
    </row>
    <row r="190" spans="1:5">
      <c r="A190" s="578" t="s">
        <v>1521</v>
      </c>
      <c r="C190" s="513">
        <v>-21897.759999999998</v>
      </c>
      <c r="D190" s="513">
        <v>-19345.96</v>
      </c>
      <c r="E190">
        <f>VLOOKUP(A190,Ucto_HK_summ!$A$2:$D$963,4,FALSE)</f>
        <v>-21897.759999999998</v>
      </c>
    </row>
    <row r="191" spans="1:5">
      <c r="A191" s="578" t="s">
        <v>1522</v>
      </c>
      <c r="B191" s="578" t="s">
        <v>1523</v>
      </c>
      <c r="C191">
        <v>0</v>
      </c>
      <c r="D191">
        <v>0</v>
      </c>
      <c r="E191">
        <f>VLOOKUP(A191,Ucto_HK_summ!$A$2:$D$963,4,FALSE)</f>
        <v>0</v>
      </c>
    </row>
    <row r="192" spans="1:5">
      <c r="A192" s="578" t="s">
        <v>1524</v>
      </c>
      <c r="B192" s="578" t="s">
        <v>1525</v>
      </c>
      <c r="C192" s="513">
        <v>2319.5</v>
      </c>
      <c r="D192" s="513">
        <v>2692.8</v>
      </c>
      <c r="E192">
        <f>VLOOKUP(A192,Ucto_HK_summ!$A$2:$D$963,4,FALSE)</f>
        <v>2319.5</v>
      </c>
    </row>
    <row r="193" spans="1:5">
      <c r="A193" s="578" t="s">
        <v>1526</v>
      </c>
      <c r="B193" s="578" t="s">
        <v>1527</v>
      </c>
      <c r="C193" s="513">
        <v>53608.01</v>
      </c>
      <c r="D193" s="513">
        <v>54565.08</v>
      </c>
      <c r="E193">
        <f>VLOOKUP(A193,Ucto_HK_summ!$A$2:$D$963,4,FALSE)</f>
        <v>53608.01</v>
      </c>
    </row>
    <row r="194" spans="1:5">
      <c r="A194" s="578" t="s">
        <v>1528</v>
      </c>
      <c r="B194" s="578" t="s">
        <v>1529</v>
      </c>
      <c r="C194">
        <v>0</v>
      </c>
      <c r="D194">
        <v>3.6</v>
      </c>
      <c r="E194">
        <f>VLOOKUP(A194,Ucto_HK_summ!$A$2:$D$963,4,FALSE)</f>
        <v>0</v>
      </c>
    </row>
    <row r="195" spans="1:5">
      <c r="A195" s="578" t="s">
        <v>1530</v>
      </c>
      <c r="C195" s="513">
        <v>55927.51</v>
      </c>
      <c r="D195" s="513">
        <v>57261.48</v>
      </c>
      <c r="E195">
        <f>VLOOKUP(A195,Ucto_HK_summ!$A$2:$D$963,4,FALSE)</f>
        <v>55927.51</v>
      </c>
    </row>
    <row r="196" spans="1:5">
      <c r="A196" s="578" t="s">
        <v>1531</v>
      </c>
      <c r="B196" s="578" t="s">
        <v>1532</v>
      </c>
      <c r="C196" s="513">
        <v>-298559.93</v>
      </c>
      <c r="D196" s="513">
        <v>-303168.65999999997</v>
      </c>
      <c r="E196">
        <f>VLOOKUP(A196,Ucto_HK_summ!$A$2:$D$963,4,FALSE)</f>
        <v>-298559.93</v>
      </c>
    </row>
    <row r="197" spans="1:5">
      <c r="A197" s="578" t="s">
        <v>1533</v>
      </c>
      <c r="B197" s="578" t="s">
        <v>1534</v>
      </c>
      <c r="C197" s="513">
        <v>-119417.34</v>
      </c>
      <c r="D197" s="513">
        <v>-121221.99</v>
      </c>
      <c r="E197">
        <f>VLOOKUP(A197,Ucto_HK_summ!$A$2:$D$963,4,FALSE)</f>
        <v>-119417.34</v>
      </c>
    </row>
    <row r="198" spans="1:5">
      <c r="A198" s="578" t="s">
        <v>1537</v>
      </c>
      <c r="B198" s="578" t="s">
        <v>1538</v>
      </c>
      <c r="C198" s="513">
        <v>-84318.78</v>
      </c>
      <c r="D198" s="513">
        <v>-86862.56</v>
      </c>
      <c r="E198">
        <f>VLOOKUP(A198,Ucto_HK_summ!$A$2:$D$963,4,FALSE)</f>
        <v>-84318.78</v>
      </c>
    </row>
    <row r="199" spans="1:5">
      <c r="A199" s="578" t="s">
        <v>1539</v>
      </c>
      <c r="B199" s="578" t="s">
        <v>1540</v>
      </c>
      <c r="C199" s="513">
        <v>-33725.32</v>
      </c>
      <c r="D199" s="513">
        <v>-34742.76</v>
      </c>
      <c r="E199">
        <f>VLOOKUP(A199,Ucto_HK_summ!$A$2:$D$963,4,FALSE)</f>
        <v>-33725.32</v>
      </c>
    </row>
    <row r="200" spans="1:5">
      <c r="A200" s="578" t="s">
        <v>1543</v>
      </c>
      <c r="B200" s="578" t="s">
        <v>1544</v>
      </c>
      <c r="C200" s="513">
        <v>-35705.9</v>
      </c>
      <c r="D200" s="513">
        <v>-37366.589999999997</v>
      </c>
      <c r="E200">
        <f>VLOOKUP(A200,Ucto_HK_summ!$A$2:$D$963,4,FALSE)</f>
        <v>-35705.9</v>
      </c>
    </row>
    <row r="201" spans="1:5">
      <c r="A201" s="578" t="s">
        <v>1545</v>
      </c>
      <c r="B201" s="578" t="s">
        <v>1546</v>
      </c>
      <c r="C201" s="513">
        <v>-14281.38</v>
      </c>
      <c r="D201" s="513">
        <v>-14932.23</v>
      </c>
      <c r="E201">
        <f>VLOOKUP(A201,Ucto_HK_summ!$A$2:$D$963,4,FALSE)</f>
        <v>-14281.38</v>
      </c>
    </row>
    <row r="202" spans="1:5">
      <c r="A202" s="578" t="s">
        <v>1549</v>
      </c>
      <c r="B202" s="578" t="s">
        <v>1550</v>
      </c>
      <c r="C202" s="513">
        <v>-17652319.120000001</v>
      </c>
      <c r="D202" s="513">
        <v>-26346969.300000001</v>
      </c>
      <c r="E202">
        <f>VLOOKUP(A202,Ucto_HK_summ!$A$2:$D$963,4,FALSE)</f>
        <v>-17652319.120000001</v>
      </c>
    </row>
    <row r="203" spans="1:5">
      <c r="A203" s="578" t="s">
        <v>1551</v>
      </c>
      <c r="B203" s="578" t="s">
        <v>1552</v>
      </c>
      <c r="C203" s="513">
        <v>-384623.03</v>
      </c>
      <c r="D203" s="513">
        <v>-392036.69</v>
      </c>
      <c r="E203">
        <f>VLOOKUP(A203,Ucto_HK_summ!$A$2:$D$963,4,FALSE)</f>
        <v>-384623.03</v>
      </c>
    </row>
    <row r="204" spans="1:5">
      <c r="A204" s="578" t="s">
        <v>1553</v>
      </c>
      <c r="B204" s="578" t="s">
        <v>1554</v>
      </c>
      <c r="C204">
        <v>-50.29</v>
      </c>
      <c r="D204">
        <v>-60.3</v>
      </c>
      <c r="E204">
        <f>VLOOKUP(A204,Ucto_HK_summ!$A$2:$D$963,4,FALSE)</f>
        <v>-50.29</v>
      </c>
    </row>
    <row r="205" spans="1:5">
      <c r="A205" s="578" t="s">
        <v>1555</v>
      </c>
      <c r="B205" s="578" t="s">
        <v>1556</v>
      </c>
      <c r="C205">
        <v>-12.75</v>
      </c>
      <c r="D205">
        <v>-12.37</v>
      </c>
      <c r="E205">
        <f>VLOOKUP(A205,Ucto_HK_summ!$A$2:$D$963,4,FALSE)</f>
        <v>-12.75</v>
      </c>
    </row>
    <row r="206" spans="1:5">
      <c r="A206" s="578" t="s">
        <v>1557</v>
      </c>
      <c r="B206" s="578" t="s">
        <v>1558</v>
      </c>
      <c r="C206" s="513">
        <v>-10129.64</v>
      </c>
      <c r="D206" s="513">
        <v>-10259.27</v>
      </c>
      <c r="E206">
        <f>VLOOKUP(A206,Ucto_HK_summ!$A$2:$D$963,4,FALSE)</f>
        <v>-10129.64</v>
      </c>
    </row>
    <row r="207" spans="1:5">
      <c r="A207" s="578" t="s">
        <v>1559</v>
      </c>
      <c r="B207" s="578" t="s">
        <v>1560</v>
      </c>
      <c r="C207" s="513">
        <v>-8976.76</v>
      </c>
      <c r="D207" s="513">
        <v>-9393.11</v>
      </c>
      <c r="E207">
        <f>VLOOKUP(A207,Ucto_HK_summ!$A$2:$D$963,4,FALSE)</f>
        <v>-8976.76</v>
      </c>
    </row>
    <row r="208" spans="1:5">
      <c r="A208" s="578" t="s">
        <v>1561</v>
      </c>
      <c r="B208" s="578" t="s">
        <v>1562</v>
      </c>
      <c r="C208" s="513">
        <v>-10240.99</v>
      </c>
      <c r="D208" s="513">
        <v>-10312.6</v>
      </c>
      <c r="E208">
        <f>VLOOKUP(A208,Ucto_HK_summ!$A$2:$D$963,4,FALSE)</f>
        <v>-10240.99</v>
      </c>
    </row>
    <row r="209" spans="1:5">
      <c r="A209" s="578" t="s">
        <v>1563</v>
      </c>
      <c r="B209" s="578" t="s">
        <v>1564</v>
      </c>
      <c r="C209" s="513">
        <v>-4776.59</v>
      </c>
      <c r="D209" s="513">
        <v>-5601.51</v>
      </c>
      <c r="E209">
        <f>VLOOKUP(A209,Ucto_HK_summ!$A$2:$D$963,4,FALSE)</f>
        <v>-4776.59</v>
      </c>
    </row>
    <row r="210" spans="1:5">
      <c r="A210" s="578" t="s">
        <v>1565</v>
      </c>
      <c r="B210" s="578" t="s">
        <v>1558</v>
      </c>
      <c r="C210" s="513">
        <v>-6269.92</v>
      </c>
      <c r="D210" s="513">
        <v>-6484.42</v>
      </c>
      <c r="E210">
        <f>VLOOKUP(A210,Ucto_HK_summ!$A$2:$D$963,4,FALSE)</f>
        <v>-6269.92</v>
      </c>
    </row>
    <row r="211" spans="1:5">
      <c r="A211" s="578" t="s">
        <v>1566</v>
      </c>
      <c r="B211" s="578" t="s">
        <v>1560</v>
      </c>
      <c r="C211" s="513">
        <v>-5810.07</v>
      </c>
      <c r="D211" s="513">
        <v>-6169.26</v>
      </c>
      <c r="E211">
        <f>VLOOKUP(A211,Ucto_HK_summ!$A$2:$D$963,4,FALSE)</f>
        <v>-5810.07</v>
      </c>
    </row>
    <row r="212" spans="1:5">
      <c r="A212" s="578" t="s">
        <v>1567</v>
      </c>
      <c r="B212" s="578" t="s">
        <v>1562</v>
      </c>
      <c r="C212" s="513">
        <v>-6743.52</v>
      </c>
      <c r="D212" s="513">
        <v>-6879.42</v>
      </c>
      <c r="E212">
        <f>VLOOKUP(A212,Ucto_HK_summ!$A$2:$D$963,4,FALSE)</f>
        <v>-6743.52</v>
      </c>
    </row>
    <row r="213" spans="1:5">
      <c r="A213" s="578" t="s">
        <v>1568</v>
      </c>
      <c r="B213" s="578" t="s">
        <v>1564</v>
      </c>
      <c r="C213" s="513">
        <v>-3138.72</v>
      </c>
      <c r="D213" s="513">
        <v>-3630.27</v>
      </c>
      <c r="E213">
        <f>VLOOKUP(A213,Ucto_HK_summ!$A$2:$D$963,4,FALSE)</f>
        <v>-3138.72</v>
      </c>
    </row>
    <row r="214" spans="1:5">
      <c r="A214" s="578" t="s">
        <v>1569</v>
      </c>
      <c r="B214" s="578" t="s">
        <v>1570</v>
      </c>
      <c r="C214">
        <v>-86</v>
      </c>
      <c r="D214">
        <v>-86</v>
      </c>
      <c r="E214">
        <f>VLOOKUP(A214,Ucto_HK_summ!$A$2:$D$963,4,FALSE)</f>
        <v>-86</v>
      </c>
    </row>
    <row r="215" spans="1:5">
      <c r="A215" s="578" t="s">
        <v>1571</v>
      </c>
      <c r="B215" s="578" t="s">
        <v>1572</v>
      </c>
      <c r="C215">
        <v>-20.239999999999998</v>
      </c>
      <c r="D215">
        <v>-31.07</v>
      </c>
      <c r="E215">
        <f>VLOOKUP(A215,Ucto_HK_summ!$A$2:$D$963,4,FALSE)</f>
        <v>-20.239999999999998</v>
      </c>
    </row>
    <row r="216" spans="1:5">
      <c r="A216" s="578" t="s">
        <v>1575</v>
      </c>
      <c r="C216" s="513">
        <v>-18679206.289999999</v>
      </c>
      <c r="D216" s="513">
        <v>-27396220.379999999</v>
      </c>
      <c r="E216">
        <f>VLOOKUP(A216,Ucto_HK_summ!$A$2:$D$963,4,FALSE)</f>
        <v>-18679206.289999999</v>
      </c>
    </row>
    <row r="217" spans="1:5">
      <c r="A217" s="577" t="s">
        <v>1576</v>
      </c>
      <c r="C217" s="579">
        <v>-21770797.420000002</v>
      </c>
      <c r="D217" s="579">
        <v>-30537025.379999999</v>
      </c>
      <c r="E217">
        <f>VLOOKUP(A217,Ucto_HK_summ!$A$2:$D$963,4,FALSE)</f>
        <v>-21770797.420000002</v>
      </c>
    </row>
    <row r="218" spans="1:5">
      <c r="E218" t="e">
        <f>VLOOKUP(A218,Ucto_HK_summ!$A$2:$D$963,4,FALSE)</f>
        <v>#N/A</v>
      </c>
    </row>
    <row r="219" spans="1:5">
      <c r="A219" s="578" t="s">
        <v>1577</v>
      </c>
      <c r="B219" s="578" t="s">
        <v>224</v>
      </c>
      <c r="C219" s="513">
        <v>97250.85</v>
      </c>
      <c r="D219" s="513">
        <v>62188.08</v>
      </c>
      <c r="E219">
        <f>VLOOKUP(A219,Ucto_HK_summ!$A$2:$D$963,4,FALSE)</f>
        <v>97250.85</v>
      </c>
    </row>
    <row r="220" spans="1:5">
      <c r="A220" s="578" t="s">
        <v>1580</v>
      </c>
      <c r="B220" s="578" t="s">
        <v>1581</v>
      </c>
      <c r="C220">
        <v>0</v>
      </c>
      <c r="D220">
        <v>0</v>
      </c>
      <c r="E220">
        <f>VLOOKUP(A220,Ucto_HK_summ!$A$2:$D$963,4,FALSE)</f>
        <v>0</v>
      </c>
    </row>
    <row r="221" spans="1:5">
      <c r="A221" s="578" t="s">
        <v>1582</v>
      </c>
      <c r="C221" s="513">
        <v>97250.85</v>
      </c>
      <c r="D221" s="513">
        <v>62188.08</v>
      </c>
      <c r="E221">
        <f>VLOOKUP(A221,Ucto_HK_summ!$A$2:$D$963,4,FALSE)</f>
        <v>97250.85</v>
      </c>
    </row>
    <row r="222" spans="1:5">
      <c r="A222" s="578" t="s">
        <v>1583</v>
      </c>
      <c r="B222" s="578" t="s">
        <v>1584</v>
      </c>
      <c r="C222" s="513">
        <v>-516903.69</v>
      </c>
      <c r="D222" s="513">
        <v>-537925.68999999994</v>
      </c>
      <c r="E222">
        <f>VLOOKUP(A222,Ucto_HK_summ!$A$2:$D$963,4,FALSE)</f>
        <v>-516903.69</v>
      </c>
    </row>
    <row r="223" spans="1:5">
      <c r="A223" s="578" t="s">
        <v>1585</v>
      </c>
      <c r="C223" s="513">
        <v>-516903.69</v>
      </c>
      <c r="D223" s="513">
        <v>-537925.68999999994</v>
      </c>
      <c r="E223">
        <f>VLOOKUP(A223,Ucto_HK_summ!$A$2:$D$963,4,FALSE)</f>
        <v>-516903.69</v>
      </c>
    </row>
    <row r="224" spans="1:5">
      <c r="A224" s="578" t="s">
        <v>1586</v>
      </c>
      <c r="B224" s="578" t="s">
        <v>1587</v>
      </c>
      <c r="C224">
        <v>0</v>
      </c>
      <c r="D224">
        <v>0</v>
      </c>
      <c r="E224">
        <f>VLOOKUP(A224,Ucto_HK_summ!$A$2:$D$963,4,FALSE)</f>
        <v>0</v>
      </c>
    </row>
    <row r="225" spans="1:5">
      <c r="A225" s="578" t="s">
        <v>1588</v>
      </c>
      <c r="B225" s="578" t="s">
        <v>1589</v>
      </c>
      <c r="C225">
        <v>0</v>
      </c>
      <c r="D225">
        <v>0</v>
      </c>
      <c r="E225">
        <f>VLOOKUP(A225,Ucto_HK_summ!$A$2:$D$963,4,FALSE)</f>
        <v>0</v>
      </c>
    </row>
    <row r="226" spans="1:5">
      <c r="A226" s="578" t="s">
        <v>1590</v>
      </c>
      <c r="B226" s="578" t="s">
        <v>1591</v>
      </c>
      <c r="C226">
        <v>0</v>
      </c>
      <c r="D226">
        <v>0</v>
      </c>
      <c r="E226">
        <f>VLOOKUP(A226,Ucto_HK_summ!$A$2:$D$963,4,FALSE)</f>
        <v>0</v>
      </c>
    </row>
    <row r="227" spans="1:5">
      <c r="A227" s="578" t="s">
        <v>1592</v>
      </c>
      <c r="B227" s="578" t="s">
        <v>1593</v>
      </c>
      <c r="C227">
        <v>0</v>
      </c>
      <c r="D227">
        <v>0</v>
      </c>
      <c r="E227">
        <f>VLOOKUP(A227,Ucto_HK_summ!$A$2:$D$963,4,FALSE)</f>
        <v>0</v>
      </c>
    </row>
    <row r="228" spans="1:5">
      <c r="A228" s="578" t="s">
        <v>1594</v>
      </c>
      <c r="B228" s="578" t="s">
        <v>1595</v>
      </c>
      <c r="C228">
        <v>0</v>
      </c>
      <c r="D228">
        <v>0</v>
      </c>
      <c r="E228">
        <f>VLOOKUP(A228,Ucto_HK_summ!$A$2:$D$963,4,FALSE)</f>
        <v>0</v>
      </c>
    </row>
    <row r="229" spans="1:5">
      <c r="A229" s="578" t="s">
        <v>1596</v>
      </c>
      <c r="B229" s="578" t="s">
        <v>1597</v>
      </c>
      <c r="C229">
        <v>0</v>
      </c>
      <c r="D229">
        <v>0</v>
      </c>
      <c r="E229">
        <f>VLOOKUP(A229,Ucto_HK_summ!$A$2:$D$963,4,FALSE)</f>
        <v>0</v>
      </c>
    </row>
    <row r="230" spans="1:5">
      <c r="A230" s="578" t="s">
        <v>1598</v>
      </c>
      <c r="B230" s="578" t="s">
        <v>1599</v>
      </c>
      <c r="C230">
        <v>0</v>
      </c>
      <c r="D230">
        <v>0</v>
      </c>
      <c r="E230">
        <f>VLOOKUP(A230,Ucto_HK_summ!$A$2:$D$963,4,FALSE)</f>
        <v>0</v>
      </c>
    </row>
    <row r="231" spans="1:5">
      <c r="A231" s="578" t="s">
        <v>1600</v>
      </c>
      <c r="B231" s="578" t="s">
        <v>1601</v>
      </c>
      <c r="C231">
        <v>0</v>
      </c>
      <c r="D231">
        <v>0</v>
      </c>
      <c r="E231">
        <f>VLOOKUP(A231,Ucto_HK_summ!$A$2:$D$963,4,FALSE)</f>
        <v>0</v>
      </c>
    </row>
    <row r="232" spans="1:5">
      <c r="A232" s="578" t="s">
        <v>1604</v>
      </c>
      <c r="B232" s="578" t="s">
        <v>1605</v>
      </c>
      <c r="C232">
        <v>0</v>
      </c>
      <c r="D232">
        <v>0</v>
      </c>
      <c r="E232">
        <f>VLOOKUP(A232,Ucto_HK_summ!$A$2:$D$963,4,FALSE)</f>
        <v>0</v>
      </c>
    </row>
    <row r="233" spans="1:5">
      <c r="A233" s="578" t="s">
        <v>1606</v>
      </c>
      <c r="B233" s="578" t="s">
        <v>1607</v>
      </c>
      <c r="C233">
        <v>0</v>
      </c>
      <c r="D233">
        <v>0</v>
      </c>
      <c r="E233">
        <f>VLOOKUP(A233,Ucto_HK_summ!$A$2:$D$963,4,FALSE)</f>
        <v>0</v>
      </c>
    </row>
    <row r="234" spans="1:5">
      <c r="A234" s="578" t="s">
        <v>1608</v>
      </c>
      <c r="B234" s="578" t="s">
        <v>1609</v>
      </c>
      <c r="C234" s="513">
        <v>-33249.94</v>
      </c>
      <c r="D234" s="513">
        <v>-49296.63</v>
      </c>
      <c r="E234">
        <f>VLOOKUP(A234,Ucto_HK_summ!$A$2:$D$963,4,FALSE)</f>
        <v>-33249.94</v>
      </c>
    </row>
    <row r="235" spans="1:5">
      <c r="A235" s="578" t="s">
        <v>1610</v>
      </c>
      <c r="C235" s="513">
        <v>-33249.94</v>
      </c>
      <c r="D235" s="513">
        <v>-49296.63</v>
      </c>
      <c r="E235">
        <f>VLOOKUP(A235,Ucto_HK_summ!$A$2:$D$963,4,FALSE)</f>
        <v>-33249.94</v>
      </c>
    </row>
    <row r="236" spans="1:5">
      <c r="A236" s="578" t="s">
        <v>1611</v>
      </c>
      <c r="B236" s="578" t="s">
        <v>1612</v>
      </c>
      <c r="C236">
        <v>0</v>
      </c>
      <c r="D236">
        <v>0</v>
      </c>
      <c r="E236">
        <f>VLOOKUP(A236,Ucto_HK_summ!$A$2:$D$963,4,FALSE)</f>
        <v>0</v>
      </c>
    </row>
    <row r="237" spans="1:5">
      <c r="A237" s="578" t="s">
        <v>1613</v>
      </c>
      <c r="B237" s="578" t="s">
        <v>235</v>
      </c>
      <c r="C237">
        <v>0</v>
      </c>
      <c r="D237">
        <v>0</v>
      </c>
      <c r="E237">
        <f>VLOOKUP(A237,Ucto_HK_summ!$A$2:$D$963,4,FALSE)</f>
        <v>0</v>
      </c>
    </row>
    <row r="238" spans="1:5">
      <c r="A238" s="578" t="s">
        <v>1614</v>
      </c>
      <c r="B238" s="578" t="s">
        <v>1615</v>
      </c>
      <c r="C238">
        <v>0</v>
      </c>
      <c r="D238">
        <v>0</v>
      </c>
      <c r="E238">
        <f>VLOOKUP(A238,Ucto_HK_summ!$A$2:$D$963,4,FALSE)</f>
        <v>0</v>
      </c>
    </row>
    <row r="239" spans="1:5">
      <c r="A239" s="578" t="s">
        <v>1616</v>
      </c>
      <c r="C239">
        <v>0</v>
      </c>
      <c r="D239">
        <v>0</v>
      </c>
      <c r="E239">
        <f>VLOOKUP(A239,Ucto_HK_summ!$A$2:$D$963,4,FALSE)</f>
        <v>0</v>
      </c>
    </row>
    <row r="240" spans="1:5">
      <c r="A240" s="577" t="s">
        <v>1617</v>
      </c>
      <c r="C240" s="579">
        <v>-452902.78</v>
      </c>
      <c r="D240" s="579">
        <v>-525034.23999999999</v>
      </c>
      <c r="E240">
        <f>VLOOKUP(A240,Ucto_HK_summ!$A$2:$D$963,4,FALSE)</f>
        <v>-452902.78</v>
      </c>
    </row>
    <row r="241" spans="1:5">
      <c r="E241" t="e">
        <f>VLOOKUP(A241,Ucto_HK_summ!$A$2:$D$963,4,FALSE)</f>
        <v>#N/A</v>
      </c>
    </row>
    <row r="242" spans="1:5">
      <c r="A242" s="578" t="s">
        <v>1618</v>
      </c>
      <c r="B242" s="578" t="s">
        <v>1619</v>
      </c>
      <c r="C242">
        <v>0</v>
      </c>
      <c r="D242">
        <v>0</v>
      </c>
      <c r="E242">
        <f>VLOOKUP(A242,Ucto_HK_summ!$A$2:$D$963,4,FALSE)</f>
        <v>0</v>
      </c>
    </row>
    <row r="243" spans="1:5">
      <c r="A243" s="578" t="s">
        <v>1620</v>
      </c>
      <c r="B243" s="578" t="s">
        <v>1621</v>
      </c>
      <c r="C243">
        <v>0</v>
      </c>
      <c r="D243">
        <v>0</v>
      </c>
      <c r="E243">
        <f>VLOOKUP(A243,Ucto_HK_summ!$A$2:$D$963,4,FALSE)</f>
        <v>0</v>
      </c>
    </row>
    <row r="244" spans="1:5">
      <c r="A244" s="578" t="s">
        <v>1622</v>
      </c>
      <c r="C244">
        <v>0</v>
      </c>
      <c r="D244">
        <v>0</v>
      </c>
      <c r="E244">
        <f>VLOOKUP(A244,Ucto_HK_summ!$A$2:$D$963,4,FALSE)</f>
        <v>0</v>
      </c>
    </row>
    <row r="245" spans="1:5">
      <c r="A245" s="578" t="s">
        <v>1623</v>
      </c>
      <c r="B245" s="578" t="s">
        <v>1624</v>
      </c>
      <c r="C245" s="513">
        <v>-8964766.7200000007</v>
      </c>
      <c r="D245" s="513">
        <v>-8100562.2300000004</v>
      </c>
      <c r="E245">
        <f>VLOOKUP(A245,Ucto_HK_summ!$A$2:$D$963,4,FALSE)</f>
        <v>-8964766.7200000007</v>
      </c>
    </row>
    <row r="246" spans="1:5">
      <c r="A246" s="578" t="s">
        <v>1625</v>
      </c>
      <c r="B246" s="578" t="s">
        <v>1626</v>
      </c>
      <c r="C246" s="513">
        <v>-963329.76</v>
      </c>
      <c r="D246" s="513">
        <v>-901836.33</v>
      </c>
      <c r="E246">
        <f>VLOOKUP(A246,Ucto_HK_summ!$A$2:$D$963,4,FALSE)</f>
        <v>-963329.76</v>
      </c>
    </row>
    <row r="247" spans="1:5">
      <c r="A247" s="578" t="s">
        <v>1627</v>
      </c>
      <c r="B247" s="578" t="s">
        <v>1628</v>
      </c>
      <c r="C247" s="513">
        <v>-20997499.129999999</v>
      </c>
      <c r="D247" s="513">
        <v>-20111751.460000001</v>
      </c>
      <c r="E247">
        <f>VLOOKUP(A247,Ucto_HK_summ!$A$2:$D$963,4,FALSE)</f>
        <v>-20997499.129999999</v>
      </c>
    </row>
    <row r="248" spans="1:5">
      <c r="A248" s="578" t="s">
        <v>1629</v>
      </c>
      <c r="B248" s="578" t="s">
        <v>1630</v>
      </c>
      <c r="C248" s="513">
        <v>-130617.54</v>
      </c>
      <c r="D248" s="550">
        <v>-1166820</v>
      </c>
      <c r="E248">
        <f>VLOOKUP(A248,Ucto_HK_summ!$A$2:$D$963,4,FALSE)</f>
        <v>-130617.54</v>
      </c>
    </row>
    <row r="249" spans="1:5">
      <c r="A249" s="578" t="s">
        <v>1631</v>
      </c>
      <c r="B249" s="578" t="s">
        <v>1632</v>
      </c>
      <c r="C249" s="513">
        <v>-7547.12</v>
      </c>
      <c r="D249">
        <v>-793.2</v>
      </c>
      <c r="E249">
        <f>VLOOKUP(A249,Ucto_HK_summ!$A$2:$D$963,4,FALSE)</f>
        <v>-7547.12</v>
      </c>
    </row>
    <row r="250" spans="1:5">
      <c r="A250" s="578" t="s">
        <v>1633</v>
      </c>
      <c r="C250" s="513">
        <v>-31063760.27</v>
      </c>
      <c r="D250" s="513">
        <v>-30281763.219999999</v>
      </c>
      <c r="E250">
        <f>VLOOKUP(A250,Ucto_HK_summ!$A$2:$D$963,4,FALSE)</f>
        <v>-31063760.27</v>
      </c>
    </row>
    <row r="251" spans="1:5">
      <c r="A251" s="577" t="s">
        <v>1637</v>
      </c>
      <c r="C251" s="579">
        <v>-31063760.27</v>
      </c>
      <c r="D251" s="579">
        <v>-30281763.219999999</v>
      </c>
      <c r="E251">
        <f>VLOOKUP(A251,Ucto_HK_summ!$A$2:$D$963,4,FALSE)</f>
        <v>-31063760.27</v>
      </c>
    </row>
    <row r="252" spans="1:5">
      <c r="E252" t="e">
        <f>VLOOKUP(A252,Ucto_HK_summ!$A$2:$D$963,4,FALSE)</f>
        <v>#N/A</v>
      </c>
    </row>
    <row r="253" spans="1:5">
      <c r="A253" s="578" t="s">
        <v>1638</v>
      </c>
      <c r="B253" s="578" t="s">
        <v>1639</v>
      </c>
      <c r="C253" s="513">
        <v>-22960.799999999999</v>
      </c>
      <c r="D253" s="513">
        <v>-22960.799999999999</v>
      </c>
      <c r="E253">
        <f>VLOOKUP(A253,Ucto_HK_summ!$A$2:$D$963,4,FALSE)</f>
        <v>-22960.799999999999</v>
      </c>
    </row>
    <row r="254" spans="1:5">
      <c r="A254" s="578" t="s">
        <v>1640</v>
      </c>
      <c r="B254" s="578" t="s">
        <v>1641</v>
      </c>
      <c r="C254" s="513">
        <v>-176593.94</v>
      </c>
      <c r="D254" s="513">
        <v>-178442.45</v>
      </c>
      <c r="E254">
        <f>VLOOKUP(A254,Ucto_HK_summ!$A$2:$D$963,4,FALSE)</f>
        <v>-176593.94</v>
      </c>
    </row>
    <row r="255" spans="1:5">
      <c r="A255" s="578" t="s">
        <v>2652</v>
      </c>
      <c r="B255" s="578" t="s">
        <v>2653</v>
      </c>
      <c r="C255">
        <v>0</v>
      </c>
      <c r="D255">
        <v>0</v>
      </c>
      <c r="E255">
        <f>VLOOKUP(A255,Ucto_HK_summ!$A$2:$D$963,4,FALSE)</f>
        <v>0</v>
      </c>
    </row>
    <row r="256" spans="1:5">
      <c r="A256" s="578" t="s">
        <v>1642</v>
      </c>
      <c r="C256" s="513">
        <v>-199554.74</v>
      </c>
      <c r="D256" s="513">
        <v>-201403.25</v>
      </c>
      <c r="E256">
        <f>VLOOKUP(A256,Ucto_HK_summ!$A$2:$D$963,4,FALSE)</f>
        <v>-199554.74</v>
      </c>
    </row>
    <row r="257" spans="1:5">
      <c r="A257" s="578" t="s">
        <v>1643</v>
      </c>
      <c r="B257" s="578" t="s">
        <v>1644</v>
      </c>
      <c r="C257" s="513">
        <v>11742.35</v>
      </c>
      <c r="D257" s="513">
        <v>11742.35</v>
      </c>
      <c r="E257">
        <f>VLOOKUP(A257,Ucto_HK_summ!$A$2:$D$963,4,FALSE)</f>
        <v>11742.35</v>
      </c>
    </row>
    <row r="258" spans="1:5">
      <c r="A258" s="578" t="s">
        <v>1645</v>
      </c>
      <c r="B258" s="578" t="s">
        <v>1646</v>
      </c>
      <c r="C258">
        <v>50</v>
      </c>
      <c r="D258">
        <v>50</v>
      </c>
      <c r="E258">
        <f>VLOOKUP(A258,Ucto_HK_summ!$A$2:$D$963,4,FALSE)</f>
        <v>50</v>
      </c>
    </row>
    <row r="259" spans="1:5">
      <c r="A259" s="578" t="s">
        <v>1647</v>
      </c>
      <c r="B259" s="578" t="s">
        <v>1648</v>
      </c>
      <c r="C259">
        <v>0</v>
      </c>
      <c r="D259">
        <v>0</v>
      </c>
      <c r="E259">
        <f>VLOOKUP(A259,Ucto_HK_summ!$A$2:$D$963,4,FALSE)</f>
        <v>0</v>
      </c>
    </row>
    <row r="260" spans="1:5">
      <c r="A260" s="578" t="s">
        <v>1649</v>
      </c>
      <c r="B260" s="578" t="s">
        <v>1650</v>
      </c>
      <c r="C260" s="513">
        <v>132897.04</v>
      </c>
      <c r="D260" s="513">
        <v>69297.34</v>
      </c>
      <c r="E260">
        <f>VLOOKUP(A260,Ucto_HK_summ!$A$2:$D$963,4,FALSE)</f>
        <v>132897.04</v>
      </c>
    </row>
    <row r="261" spans="1:5">
      <c r="A261" s="578" t="s">
        <v>1651</v>
      </c>
      <c r="B261" s="578" t="s">
        <v>1652</v>
      </c>
      <c r="C261" s="550">
        <v>4642</v>
      </c>
      <c r="D261" s="550">
        <v>3280</v>
      </c>
      <c r="E261">
        <f>VLOOKUP(A261,Ucto_HK_summ!$A$2:$D$963,4,FALSE)</f>
        <v>4642</v>
      </c>
    </row>
    <row r="262" spans="1:5">
      <c r="A262" s="578" t="s">
        <v>1653</v>
      </c>
      <c r="B262" s="578" t="s">
        <v>1654</v>
      </c>
      <c r="C262" s="513">
        <v>42757.65</v>
      </c>
      <c r="D262">
        <v>853.67</v>
      </c>
      <c r="E262">
        <f>VLOOKUP(A262,Ucto_HK_summ!$A$2:$D$963,4,FALSE)</f>
        <v>42757.65</v>
      </c>
    </row>
    <row r="263" spans="1:5">
      <c r="A263" s="578" t="s">
        <v>1655</v>
      </c>
      <c r="C263" s="513">
        <v>192089.04</v>
      </c>
      <c r="D263" s="513">
        <v>85223.360000000001</v>
      </c>
      <c r="E263">
        <f>VLOOKUP(A263,Ucto_HK_summ!$A$2:$D$963,4,FALSE)</f>
        <v>192089.04</v>
      </c>
    </row>
    <row r="264" spans="1:5">
      <c r="A264" s="578" t="s">
        <v>1656</v>
      </c>
      <c r="B264" s="578" t="s">
        <v>1657</v>
      </c>
      <c r="C264">
        <v>0</v>
      </c>
      <c r="D264" s="550">
        <v>-60000</v>
      </c>
      <c r="E264">
        <f>VLOOKUP(A264,Ucto_HK_summ!$A$2:$D$963,4,FALSE)</f>
        <v>0</v>
      </c>
    </row>
    <row r="265" spans="1:5">
      <c r="A265" s="578" t="s">
        <v>1658</v>
      </c>
      <c r="B265" s="578" t="s">
        <v>1659</v>
      </c>
      <c r="C265" s="513">
        <v>-958309.54</v>
      </c>
      <c r="D265">
        <v>-240</v>
      </c>
      <c r="E265">
        <f>VLOOKUP(A265,Ucto_HK_summ!$A$2:$D$963,4,FALSE)</f>
        <v>-958309.54</v>
      </c>
    </row>
    <row r="266" spans="1:5">
      <c r="A266" s="578" t="s">
        <v>1660</v>
      </c>
      <c r="B266" s="578" t="s">
        <v>1661</v>
      </c>
      <c r="C266">
        <v>0</v>
      </c>
      <c r="D266" s="513">
        <v>-3957.65</v>
      </c>
      <c r="E266">
        <f>VLOOKUP(A266,Ucto_HK_summ!$A$2:$D$963,4,FALSE)</f>
        <v>0</v>
      </c>
    </row>
    <row r="267" spans="1:5">
      <c r="A267" s="578" t="s">
        <v>1662</v>
      </c>
      <c r="B267" s="578" t="s">
        <v>1663</v>
      </c>
      <c r="C267" s="513">
        <v>-23125.97</v>
      </c>
      <c r="D267" s="513">
        <v>-21168.46</v>
      </c>
      <c r="E267">
        <f>VLOOKUP(A267,Ucto_HK_summ!$A$2:$D$963,4,FALSE)</f>
        <v>-23125.97</v>
      </c>
    </row>
    <row r="268" spans="1:5">
      <c r="A268" s="578" t="s">
        <v>1666</v>
      </c>
      <c r="B268" s="578" t="s">
        <v>1667</v>
      </c>
      <c r="C268" s="513">
        <v>-41953.11</v>
      </c>
      <c r="D268">
        <v>-24.4</v>
      </c>
      <c r="E268">
        <f>VLOOKUP(A268,Ucto_HK_summ!$A$2:$D$963,4,FALSE)</f>
        <v>-41953.11</v>
      </c>
    </row>
    <row r="269" spans="1:5">
      <c r="A269" s="578" t="s">
        <v>1668</v>
      </c>
      <c r="B269" s="578" t="s">
        <v>1669</v>
      </c>
      <c r="C269">
        <v>0</v>
      </c>
      <c r="D269" s="513">
        <v>-3541797.59</v>
      </c>
      <c r="E269">
        <f>VLOOKUP(A269,Ucto_HK_summ!$A$2:$D$963,4,FALSE)</f>
        <v>0</v>
      </c>
    </row>
    <row r="270" spans="1:5">
      <c r="A270" s="578" t="s">
        <v>1670</v>
      </c>
      <c r="B270" s="578" t="s">
        <v>1671</v>
      </c>
      <c r="C270">
        <v>0</v>
      </c>
      <c r="D270">
        <v>0</v>
      </c>
      <c r="E270">
        <f>VLOOKUP(A270,Ucto_HK_summ!$A$2:$D$963,4,FALSE)</f>
        <v>0</v>
      </c>
    </row>
    <row r="271" spans="1:5">
      <c r="A271" s="578" t="s">
        <v>1674</v>
      </c>
      <c r="C271" s="513">
        <v>-1023388.62</v>
      </c>
      <c r="D271" s="513">
        <v>-3627188.1</v>
      </c>
      <c r="E271">
        <f>VLOOKUP(A271,Ucto_HK_summ!$A$2:$D$963,4,FALSE)</f>
        <v>-1023388.62</v>
      </c>
    </row>
    <row r="272" spans="1:5">
      <c r="A272" s="577" t="s">
        <v>1675</v>
      </c>
      <c r="C272" s="579">
        <v>-1030854.32</v>
      </c>
      <c r="D272" s="579">
        <v>-3743367.99</v>
      </c>
      <c r="E272">
        <f>VLOOKUP(A272,Ucto_HK_summ!$A$2:$D$963,4,FALSE)</f>
        <v>-1030854.32</v>
      </c>
    </row>
    <row r="273" spans="1:5">
      <c r="E273" t="e">
        <f>VLOOKUP(A273,Ucto_HK_summ!$A$2:$D$963,4,FALSE)</f>
        <v>#N/A</v>
      </c>
    </row>
    <row r="274" spans="1:5">
      <c r="A274" s="578" t="s">
        <v>1676</v>
      </c>
      <c r="B274" s="578" t="s">
        <v>1677</v>
      </c>
      <c r="C274" s="513">
        <v>6033.24</v>
      </c>
      <c r="D274" s="513">
        <v>7847.3</v>
      </c>
      <c r="E274">
        <f>VLOOKUP(A274,Ucto_HK_summ!$A$2:$D$963,4,FALSE)</f>
        <v>6033.24</v>
      </c>
    </row>
    <row r="275" spans="1:5">
      <c r="A275" s="578" t="s">
        <v>1678</v>
      </c>
      <c r="C275" s="513">
        <v>6033.24</v>
      </c>
      <c r="D275" s="513">
        <v>7847.3</v>
      </c>
      <c r="E275">
        <f>VLOOKUP(A275,Ucto_HK_summ!$A$2:$D$963,4,FALSE)</f>
        <v>6033.24</v>
      </c>
    </row>
    <row r="276" spans="1:5">
      <c r="A276" s="578" t="s">
        <v>2654</v>
      </c>
      <c r="B276" s="578" t="s">
        <v>2655</v>
      </c>
      <c r="C276">
        <v>0</v>
      </c>
      <c r="D276">
        <v>-35.35</v>
      </c>
      <c r="E276">
        <f>VLOOKUP(A276,Ucto_HK_summ!$A$2:$D$963,4,FALSE)</f>
        <v>0</v>
      </c>
    </row>
    <row r="277" spans="1:5">
      <c r="A277" s="578" t="s">
        <v>2656</v>
      </c>
      <c r="C277">
        <v>0</v>
      </c>
      <c r="D277">
        <v>-35.35</v>
      </c>
      <c r="E277">
        <f>VLOOKUP(A277,Ucto_HK_summ!$A$2:$D$963,4,FALSE)</f>
        <v>0</v>
      </c>
    </row>
    <row r="278" spans="1:5">
      <c r="A278" s="578" t="s">
        <v>1679</v>
      </c>
      <c r="B278" s="578" t="s">
        <v>1680</v>
      </c>
      <c r="C278" s="513">
        <v>-205964.58</v>
      </c>
      <c r="D278" s="513">
        <v>-216379.13</v>
      </c>
      <c r="E278">
        <f>VLOOKUP(A278,Ucto_HK_summ!$A$2:$D$963,4,FALSE)</f>
        <v>-205964.58</v>
      </c>
    </row>
    <row r="279" spans="1:5">
      <c r="A279" s="578" t="s">
        <v>1681</v>
      </c>
      <c r="B279" s="578" t="s">
        <v>1682</v>
      </c>
      <c r="C279" s="513">
        <v>-4520.93</v>
      </c>
      <c r="D279" s="513">
        <v>-6841.29</v>
      </c>
      <c r="E279">
        <f>VLOOKUP(A279,Ucto_HK_summ!$A$2:$D$963,4,FALSE)</f>
        <v>-4520.93</v>
      </c>
    </row>
    <row r="280" spans="1:5">
      <c r="A280" s="578" t="s">
        <v>1683</v>
      </c>
      <c r="C280" s="513">
        <v>-210485.51</v>
      </c>
      <c r="D280" s="513">
        <v>-223220.42</v>
      </c>
      <c r="E280">
        <f>VLOOKUP(A280,Ucto_HK_summ!$A$2:$D$963,4,FALSE)</f>
        <v>-210485.51</v>
      </c>
    </row>
    <row r="281" spans="1:5">
      <c r="A281" s="578" t="s">
        <v>1684</v>
      </c>
      <c r="B281" s="578" t="s">
        <v>1685</v>
      </c>
      <c r="C281" s="513">
        <v>1611251.8</v>
      </c>
      <c r="D281" s="513">
        <v>2034.79</v>
      </c>
      <c r="E281">
        <f>VLOOKUP(A281,Ucto_HK_summ!$A$2:$D$963,4,FALSE)</f>
        <v>1611251.8</v>
      </c>
    </row>
    <row r="282" spans="1:5">
      <c r="A282" s="578" t="s">
        <v>1686</v>
      </c>
      <c r="C282" s="513">
        <v>1611251.8</v>
      </c>
      <c r="D282" s="513">
        <v>2034.79</v>
      </c>
      <c r="E282">
        <f>VLOOKUP(A282,Ucto_HK_summ!$A$2:$D$963,4,FALSE)</f>
        <v>1611251.8</v>
      </c>
    </row>
    <row r="283" spans="1:5">
      <c r="A283" s="577" t="s">
        <v>1687</v>
      </c>
      <c r="C283" s="579">
        <v>1406799.53</v>
      </c>
      <c r="D283" s="579">
        <v>-213373.68</v>
      </c>
      <c r="E283">
        <f>VLOOKUP(A283,Ucto_HK_summ!$A$2:$D$963,4,FALSE)</f>
        <v>1406799.53</v>
      </c>
    </row>
    <row r="284" spans="1:5">
      <c r="E284" t="e">
        <f>VLOOKUP(A284,Ucto_HK_summ!$A$2:$D$963,4,FALSE)</f>
        <v>#N/A</v>
      </c>
    </row>
    <row r="285" spans="1:5">
      <c r="A285" s="578" t="s">
        <v>1688</v>
      </c>
      <c r="B285" s="578" t="s">
        <v>1689</v>
      </c>
      <c r="C285" s="513">
        <v>-1266747.73</v>
      </c>
      <c r="D285" s="513">
        <v>-111185.32</v>
      </c>
      <c r="E285">
        <f>VLOOKUP(A285,Ucto_HK_summ!$A$2:$D$963,4,FALSE)</f>
        <v>-1266747.73</v>
      </c>
    </row>
    <row r="286" spans="1:5">
      <c r="A286" s="578" t="s">
        <v>1690</v>
      </c>
      <c r="B286" s="578" t="s">
        <v>1691</v>
      </c>
      <c r="C286" s="513">
        <v>-190861.29</v>
      </c>
      <c r="D286" s="513">
        <v>-195985.6</v>
      </c>
      <c r="E286">
        <f>VLOOKUP(A286,Ucto_HK_summ!$A$2:$D$963,4,FALSE)</f>
        <v>-190861.29</v>
      </c>
    </row>
    <row r="287" spans="1:5">
      <c r="A287" s="578" t="s">
        <v>1692</v>
      </c>
      <c r="B287" s="578" t="s">
        <v>1693</v>
      </c>
      <c r="C287" s="513">
        <v>-12320.92</v>
      </c>
      <c r="D287" s="513">
        <v>-12320.92</v>
      </c>
      <c r="E287">
        <f>VLOOKUP(A287,Ucto_HK_summ!$A$2:$D$963,4,FALSE)</f>
        <v>-12320.92</v>
      </c>
    </row>
    <row r="288" spans="1:5">
      <c r="A288" s="578" t="s">
        <v>1694</v>
      </c>
      <c r="C288" s="513">
        <v>-1469929.94</v>
      </c>
      <c r="D288" s="513">
        <v>-319491.84000000003</v>
      </c>
      <c r="E288">
        <f>VLOOKUP(A288,Ucto_HK_summ!$A$2:$D$963,4,FALSE)</f>
        <v>-1469929.94</v>
      </c>
    </row>
    <row r="289" spans="1:5">
      <c r="A289" s="578" t="s">
        <v>1695</v>
      </c>
      <c r="B289" s="578" t="s">
        <v>1696</v>
      </c>
      <c r="C289">
        <v>0</v>
      </c>
      <c r="D289">
        <v>0</v>
      </c>
      <c r="E289">
        <f>VLOOKUP(A289,Ucto_HK_summ!$A$2:$D$963,4,FALSE)</f>
        <v>0</v>
      </c>
    </row>
    <row r="290" spans="1:5">
      <c r="A290" s="578" t="s">
        <v>1697</v>
      </c>
      <c r="B290" s="578" t="s">
        <v>1698</v>
      </c>
      <c r="C290">
        <v>0</v>
      </c>
      <c r="D290">
        <v>0</v>
      </c>
      <c r="E290">
        <f>VLOOKUP(A290,Ucto_HK_summ!$A$2:$D$963,4,FALSE)</f>
        <v>0</v>
      </c>
    </row>
    <row r="291" spans="1:5">
      <c r="A291" s="578" t="s">
        <v>1705</v>
      </c>
      <c r="B291" s="578" t="s">
        <v>1706</v>
      </c>
      <c r="C291">
        <v>0</v>
      </c>
      <c r="D291">
        <v>0</v>
      </c>
      <c r="E291">
        <f>VLOOKUP(A291,Ucto_HK_summ!$A$2:$D$963,4,FALSE)</f>
        <v>0</v>
      </c>
    </row>
    <row r="292" spans="1:5">
      <c r="A292" s="578" t="s">
        <v>1707</v>
      </c>
      <c r="C292">
        <v>0</v>
      </c>
      <c r="D292">
        <v>0</v>
      </c>
      <c r="E292">
        <f>VLOOKUP(A292,Ucto_HK_summ!$A$2:$D$963,4,FALSE)</f>
        <v>0</v>
      </c>
    </row>
    <row r="293" spans="1:5">
      <c r="A293" s="577" t="s">
        <v>1708</v>
      </c>
      <c r="C293" s="579">
        <v>-1469929.94</v>
      </c>
      <c r="D293" s="579">
        <v>-319491.84000000003</v>
      </c>
      <c r="E293">
        <f>VLOOKUP(A293,Ucto_HK_summ!$A$2:$D$963,4,FALSE)</f>
        <v>-1469929.94</v>
      </c>
    </row>
    <row r="294" spans="1:5">
      <c r="E294" t="e">
        <f>VLOOKUP(A294,Ucto_HK_summ!$A$2:$D$963,4,FALSE)</f>
        <v>#N/A</v>
      </c>
    </row>
    <row r="295" spans="1:5">
      <c r="A295" s="577" t="s">
        <v>1709</v>
      </c>
      <c r="C295" s="579">
        <v>-127085179.84999999</v>
      </c>
      <c r="D295" s="579">
        <v>-126171381.95999999</v>
      </c>
      <c r="E295">
        <f>VLOOKUP(A295,Ucto_HK_summ!$A$2:$D$963,4,FALSE)</f>
        <v>-127085179.84999999</v>
      </c>
    </row>
    <row r="296" spans="1:5">
      <c r="E296" t="e">
        <f>VLOOKUP(A296,Ucto_HK_summ!$A$2:$D$963,4,FALSE)</f>
        <v>#N/A</v>
      </c>
    </row>
    <row r="297" spans="1:5">
      <c r="E297" t="e">
        <f>VLOOKUP(A297,Ucto_HK_summ!$A$2:$D$963,4,FALSE)</f>
        <v>#N/A</v>
      </c>
    </row>
    <row r="298" spans="1:5">
      <c r="A298" s="578" t="s">
        <v>1710</v>
      </c>
      <c r="B298" s="578" t="s">
        <v>1711</v>
      </c>
      <c r="C298" s="513">
        <v>52824437.450000003</v>
      </c>
      <c r="D298" s="513">
        <v>71384596.780000001</v>
      </c>
      <c r="E298">
        <f>VLOOKUP(A298,Ucto_HK_summ!$A$2:$D$963,4,FALSE)</f>
        <v>52824437.450000003</v>
      </c>
    </row>
    <row r="299" spans="1:5">
      <c r="A299" s="578" t="s">
        <v>1712</v>
      </c>
      <c r="C299" s="513">
        <v>52824437.450000003</v>
      </c>
      <c r="D299" s="513">
        <v>71384596.780000001</v>
      </c>
      <c r="E299">
        <f>VLOOKUP(A299,Ucto_HK_summ!$A$2:$D$963,4,FALSE)</f>
        <v>52824437.450000003</v>
      </c>
    </row>
    <row r="300" spans="1:5">
      <c r="A300" s="577" t="s">
        <v>1713</v>
      </c>
      <c r="C300" s="579">
        <v>52824437.450000003</v>
      </c>
      <c r="D300" s="579">
        <v>71384596.780000001</v>
      </c>
      <c r="E300">
        <f>VLOOKUP(A300,Ucto_HK_summ!$A$2:$D$963,4,FALSE)</f>
        <v>52824437.450000003</v>
      </c>
    </row>
    <row r="301" spans="1:5">
      <c r="E301" t="e">
        <f>VLOOKUP(A301,Ucto_HK_summ!$A$2:$D$963,4,FALSE)</f>
        <v>#N/A</v>
      </c>
    </row>
    <row r="302" spans="1:5">
      <c r="A302" s="578" t="s">
        <v>1714</v>
      </c>
      <c r="B302" s="578" t="s">
        <v>1715</v>
      </c>
      <c r="C302" s="513">
        <v>17332812.010000002</v>
      </c>
      <c r="D302">
        <v>0</v>
      </c>
      <c r="E302">
        <f>VLOOKUP(A302,Ucto_HK_summ!$A$2:$D$963,4,FALSE)</f>
        <v>0</v>
      </c>
    </row>
    <row r="303" spans="1:5">
      <c r="A303" s="578" t="s">
        <v>1716</v>
      </c>
      <c r="C303" s="513">
        <v>17332812.010000002</v>
      </c>
      <c r="D303">
        <v>0</v>
      </c>
      <c r="E303">
        <f>VLOOKUP(A303,Ucto_HK_summ!$A$2:$D$963,4,FALSE)</f>
        <v>0</v>
      </c>
    </row>
    <row r="304" spans="1:5">
      <c r="A304" s="577" t="s">
        <v>1717</v>
      </c>
      <c r="C304" s="579">
        <v>17332812.010000002</v>
      </c>
      <c r="D304" s="369">
        <v>0</v>
      </c>
      <c r="E304">
        <f>VLOOKUP(A304,Ucto_HK_summ!$A$2:$D$963,4,FALSE)</f>
        <v>0</v>
      </c>
    </row>
    <row r="305" spans="1:5">
      <c r="E305" t="e">
        <f>VLOOKUP(A305,Ucto_HK_summ!$A$2:$D$963,4,FALSE)</f>
        <v>#N/A</v>
      </c>
    </row>
    <row r="306" spans="1:5">
      <c r="A306" s="578" t="s">
        <v>1718</v>
      </c>
      <c r="B306" s="578" t="s">
        <v>1719</v>
      </c>
      <c r="C306" s="513">
        <v>-20827.02</v>
      </c>
      <c r="D306" s="513">
        <v>-20827.02</v>
      </c>
      <c r="E306">
        <f>VLOOKUP(A306,Ucto_HK_summ!$A$2:$D$963,4,FALSE)</f>
        <v>-26545.68</v>
      </c>
    </row>
    <row r="307" spans="1:5">
      <c r="A307" s="578" t="s">
        <v>1720</v>
      </c>
      <c r="B307" s="578" t="s">
        <v>1721</v>
      </c>
      <c r="C307">
        <v>0</v>
      </c>
      <c r="D307" s="513">
        <v>-607690.47</v>
      </c>
      <c r="E307">
        <f>VLOOKUP(A307,Ucto_HK_summ!$A$2:$D$963,4,FALSE)</f>
        <v>-586450.47</v>
      </c>
    </row>
    <row r="308" spans="1:5">
      <c r="A308" s="578" t="s">
        <v>1722</v>
      </c>
      <c r="B308" s="578" t="s">
        <v>1723</v>
      </c>
      <c r="C308">
        <v>0</v>
      </c>
      <c r="D308">
        <v>531.08000000000004</v>
      </c>
      <c r="E308">
        <f>VLOOKUP(A308,Ucto_HK_summ!$A$2:$D$963,4,FALSE)</f>
        <v>879.61</v>
      </c>
    </row>
    <row r="309" spans="1:5">
      <c r="A309" s="578" t="s">
        <v>1724</v>
      </c>
      <c r="B309" s="578" t="s">
        <v>1725</v>
      </c>
      <c r="C309">
        <v>0</v>
      </c>
      <c r="D309" s="513">
        <v>19842.02</v>
      </c>
      <c r="E309">
        <f>VLOOKUP(A309,Ucto_HK_summ!$A$2:$D$963,4,FALSE)</f>
        <v>21405</v>
      </c>
    </row>
    <row r="310" spans="1:5">
      <c r="A310" s="578" t="s">
        <v>1726</v>
      </c>
      <c r="B310" s="578" t="s">
        <v>1727</v>
      </c>
      <c r="C310">
        <v>0</v>
      </c>
      <c r="D310" s="513">
        <v>514634.98</v>
      </c>
      <c r="E310">
        <f>VLOOKUP(A310,Ucto_HK_summ!$A$2:$D$963,4,FALSE)</f>
        <v>525192.52</v>
      </c>
    </row>
    <row r="311" spans="1:5">
      <c r="A311" s="578" t="s">
        <v>1728</v>
      </c>
      <c r="B311" s="578" t="s">
        <v>1729</v>
      </c>
      <c r="C311">
        <v>0</v>
      </c>
      <c r="D311" s="513">
        <v>45100.4</v>
      </c>
      <c r="E311">
        <f>VLOOKUP(A311,Ucto_HK_summ!$A$2:$D$963,4,FALSE)</f>
        <v>44692</v>
      </c>
    </row>
    <row r="312" spans="1:5">
      <c r="A312" s="578" t="s">
        <v>1730</v>
      </c>
      <c r="C312" s="513">
        <v>-20827.02</v>
      </c>
      <c r="D312" s="513">
        <v>-48409.01</v>
      </c>
      <c r="E312">
        <f>VLOOKUP(A312,Ucto_HK_summ!$A$2:$D$963,4,FALSE)</f>
        <v>-20827.02</v>
      </c>
    </row>
    <row r="313" spans="1:5">
      <c r="A313" s="577" t="s">
        <v>1734</v>
      </c>
      <c r="C313" s="579">
        <v>-20827.02</v>
      </c>
      <c r="D313" s="579">
        <v>-48409.01</v>
      </c>
      <c r="E313">
        <f>VLOOKUP(A313,Ucto_HK_summ!$A$2:$D$963,4,FALSE)</f>
        <v>-20827.02</v>
      </c>
    </row>
    <row r="314" spans="1:5">
      <c r="E314" t="e">
        <f>VLOOKUP(A314,Ucto_HK_summ!$A$2:$D$963,4,FALSE)</f>
        <v>#N/A</v>
      </c>
    </row>
    <row r="315" spans="1:5">
      <c r="A315" s="577" t="s">
        <v>1735</v>
      </c>
      <c r="C315" s="579">
        <v>70136422.439999998</v>
      </c>
      <c r="D315" s="579">
        <v>71336187.769999996</v>
      </c>
      <c r="E315">
        <f>VLOOKUP(A315,Ucto_HK_summ!$A$2:$D$963,4,FALSE)</f>
        <v>52803610.43</v>
      </c>
    </row>
    <row r="316" spans="1:5">
      <c r="E316" t="e">
        <f>VLOOKUP(A316,Ucto_HK_summ!$A$2:$D$963,4,FALSE)</f>
        <v>#N/A</v>
      </c>
    </row>
    <row r="317" spans="1:5">
      <c r="E317" t="e">
        <f>VLOOKUP(A317,Ucto_HK_summ!$A$2:$D$963,4,FALSE)</f>
        <v>#N/A</v>
      </c>
    </row>
    <row r="318" spans="1:5">
      <c r="A318" s="578" t="s">
        <v>1736</v>
      </c>
      <c r="B318" s="578" t="s">
        <v>1737</v>
      </c>
      <c r="C318">
        <v>0</v>
      </c>
      <c r="D318" s="513">
        <v>384879.95</v>
      </c>
      <c r="E318">
        <f>VLOOKUP(A318,Ucto_HK_summ!$A$2:$D$963,4,FALSE)</f>
        <v>489894.36</v>
      </c>
    </row>
    <row r="319" spans="1:5">
      <c r="A319" s="578" t="s">
        <v>1738</v>
      </c>
      <c r="B319" s="578" t="s">
        <v>1739</v>
      </c>
      <c r="C319">
        <v>0</v>
      </c>
      <c r="D319" s="513">
        <v>1591076.3</v>
      </c>
      <c r="E319">
        <f>VLOOKUP(A319,Ucto_HK_summ!$A$2:$D$963,4,FALSE)</f>
        <v>1906854.38</v>
      </c>
    </row>
    <row r="320" spans="1:5">
      <c r="A320" s="578" t="s">
        <v>1740</v>
      </c>
      <c r="B320" s="578" t="s">
        <v>1741</v>
      </c>
      <c r="C320">
        <v>0</v>
      </c>
      <c r="D320" s="513">
        <v>165858.18</v>
      </c>
      <c r="E320">
        <f>VLOOKUP(A320,Ucto_HK_summ!$A$2:$D$963,4,FALSE)</f>
        <v>164556.59</v>
      </c>
    </row>
    <row r="321" spans="1:5">
      <c r="A321" s="578" t="s">
        <v>1742</v>
      </c>
      <c r="B321" s="578" t="s">
        <v>1743</v>
      </c>
      <c r="C321">
        <v>0</v>
      </c>
      <c r="D321" s="513">
        <v>6161.72</v>
      </c>
      <c r="E321">
        <f>VLOOKUP(A321,Ucto_HK_summ!$A$2:$D$963,4,FALSE)</f>
        <v>4824.08</v>
      </c>
    </row>
    <row r="322" spans="1:5">
      <c r="A322" s="578" t="s">
        <v>1744</v>
      </c>
      <c r="B322" s="578" t="s">
        <v>1745</v>
      </c>
      <c r="C322">
        <v>0</v>
      </c>
      <c r="D322" s="513">
        <v>13331.38</v>
      </c>
      <c r="E322">
        <f>VLOOKUP(A322,Ucto_HK_summ!$A$2:$D$963,4,FALSE)</f>
        <v>13391.86</v>
      </c>
    </row>
    <row r="323" spans="1:5">
      <c r="A323" s="578" t="s">
        <v>1746</v>
      </c>
      <c r="B323" s="578" t="s">
        <v>1747</v>
      </c>
      <c r="C323">
        <v>0</v>
      </c>
      <c r="D323" s="513">
        <v>192055.18</v>
      </c>
      <c r="E323">
        <f>VLOOKUP(A323,Ucto_HK_summ!$A$2:$D$963,4,FALSE)</f>
        <v>175326.11</v>
      </c>
    </row>
    <row r="324" spans="1:5">
      <c r="A324" s="578" t="s">
        <v>1748</v>
      </c>
      <c r="B324" s="578" t="s">
        <v>1749</v>
      </c>
      <c r="C324">
        <v>0</v>
      </c>
      <c r="D324" s="513">
        <v>1610247.22</v>
      </c>
      <c r="E324">
        <f>VLOOKUP(A324,Ucto_HK_summ!$A$2:$D$963,4,FALSE)</f>
        <v>1831844.34</v>
      </c>
    </row>
    <row r="325" spans="1:5">
      <c r="A325" s="578" t="s">
        <v>1750</v>
      </c>
      <c r="B325" s="578" t="s">
        <v>1751</v>
      </c>
      <c r="C325">
        <v>0</v>
      </c>
      <c r="D325" s="513">
        <v>3916991.05</v>
      </c>
      <c r="E325">
        <f>VLOOKUP(A325,Ucto_HK_summ!$A$2:$D$963,4,FALSE)</f>
        <v>2305155.86</v>
      </c>
    </row>
    <row r="326" spans="1:5">
      <c r="A326" s="578" t="s">
        <v>1752</v>
      </c>
      <c r="B326" s="578" t="s">
        <v>1753</v>
      </c>
      <c r="C326">
        <v>0</v>
      </c>
      <c r="D326" s="513">
        <v>191002.97</v>
      </c>
      <c r="E326">
        <f>VLOOKUP(A326,Ucto_HK_summ!$A$2:$D$963,4,FALSE)</f>
        <v>190592.23</v>
      </c>
    </row>
    <row r="327" spans="1:5">
      <c r="A327" s="578" t="s">
        <v>1754</v>
      </c>
      <c r="B327" s="578" t="s">
        <v>1755</v>
      </c>
      <c r="C327">
        <v>0</v>
      </c>
      <c r="D327" s="513">
        <v>615480.69999999995</v>
      </c>
      <c r="E327">
        <f>VLOOKUP(A327,Ucto_HK_summ!$A$2:$D$963,4,FALSE)</f>
        <v>554744.82999999996</v>
      </c>
    </row>
    <row r="328" spans="1:5">
      <c r="A328" s="578" t="s">
        <v>1756</v>
      </c>
      <c r="B328" s="578" t="s">
        <v>1757</v>
      </c>
      <c r="C328">
        <v>0</v>
      </c>
      <c r="D328">
        <v>198.8</v>
      </c>
      <c r="E328">
        <f>VLOOKUP(A328,Ucto_HK_summ!$A$2:$D$963,4,FALSE)</f>
        <v>648.32000000000005</v>
      </c>
    </row>
    <row r="329" spans="1:5">
      <c r="A329" s="578" t="s">
        <v>1758</v>
      </c>
      <c r="B329" s="578" t="s">
        <v>1759</v>
      </c>
      <c r="C329">
        <v>0</v>
      </c>
      <c r="D329" s="513">
        <v>68408.52</v>
      </c>
      <c r="E329">
        <f>VLOOKUP(A329,Ucto_HK_summ!$A$2:$D$963,4,FALSE)</f>
        <v>114551.2</v>
      </c>
    </row>
    <row r="330" spans="1:5">
      <c r="A330" s="578" t="s">
        <v>1760</v>
      </c>
      <c r="B330" s="578" t="s">
        <v>1761</v>
      </c>
      <c r="C330">
        <v>0</v>
      </c>
      <c r="D330" s="513">
        <v>1689261.22</v>
      </c>
      <c r="E330">
        <f>VLOOKUP(A330,Ucto_HK_summ!$A$2:$D$963,4,FALSE)</f>
        <v>1105828.72</v>
      </c>
    </row>
    <row r="331" spans="1:5">
      <c r="A331" s="578" t="s">
        <v>1764</v>
      </c>
      <c r="B331" s="578" t="s">
        <v>1765</v>
      </c>
      <c r="C331">
        <v>0</v>
      </c>
      <c r="D331" s="513">
        <v>62852.480000000003</v>
      </c>
      <c r="E331">
        <f>VLOOKUP(A331,Ucto_HK_summ!$A$2:$D$963,4,FALSE)</f>
        <v>66035.59</v>
      </c>
    </row>
    <row r="332" spans="1:5">
      <c r="A332" s="578" t="s">
        <v>1766</v>
      </c>
      <c r="B332" s="578" t="s">
        <v>1767</v>
      </c>
      <c r="C332">
        <v>0</v>
      </c>
      <c r="D332" s="513">
        <v>220739.8</v>
      </c>
      <c r="E332">
        <f>VLOOKUP(A332,Ucto_HK_summ!$A$2:$D$963,4,FALSE)</f>
        <v>238119.88</v>
      </c>
    </row>
    <row r="333" spans="1:5">
      <c r="A333" s="578" t="s">
        <v>1768</v>
      </c>
      <c r="B333" s="578" t="s">
        <v>1769</v>
      </c>
      <c r="C333">
        <v>0</v>
      </c>
      <c r="D333" s="513">
        <v>154596.72</v>
      </c>
      <c r="E333">
        <f>VLOOKUP(A333,Ucto_HK_summ!$A$2:$D$963,4,FALSE)</f>
        <v>153282.42000000001</v>
      </c>
    </row>
    <row r="334" spans="1:5">
      <c r="A334" s="578" t="s">
        <v>1770</v>
      </c>
      <c r="B334" s="578" t="s">
        <v>1771</v>
      </c>
      <c r="C334">
        <v>0</v>
      </c>
      <c r="D334" s="513">
        <v>4420.0200000000004</v>
      </c>
      <c r="E334">
        <f>VLOOKUP(A334,Ucto_HK_summ!$A$2:$D$963,4,FALSE)</f>
        <v>960.07</v>
      </c>
    </row>
    <row r="335" spans="1:5">
      <c r="A335" s="578" t="s">
        <v>2657</v>
      </c>
      <c r="B335" s="578" t="s">
        <v>2658</v>
      </c>
      <c r="C335">
        <v>0</v>
      </c>
      <c r="D335">
        <v>50.73</v>
      </c>
      <c r="E335">
        <f>VLOOKUP(A335,Ucto_HK_summ!$A$2:$D$963,4,FALSE)</f>
        <v>0</v>
      </c>
    </row>
    <row r="336" spans="1:5">
      <c r="A336" s="578" t="s">
        <v>1772</v>
      </c>
      <c r="B336" s="578" t="s">
        <v>1773</v>
      </c>
      <c r="C336">
        <v>0</v>
      </c>
      <c r="D336" s="513">
        <v>32091.49</v>
      </c>
      <c r="E336">
        <f>VLOOKUP(A336,Ucto_HK_summ!$A$2:$D$963,4,FALSE)</f>
        <v>31981.29</v>
      </c>
    </row>
    <row r="337" spans="1:5">
      <c r="A337" s="578" t="s">
        <v>1774</v>
      </c>
      <c r="B337" s="578" t="s">
        <v>1775</v>
      </c>
      <c r="C337">
        <v>0</v>
      </c>
      <c r="D337" s="513">
        <v>81525.38</v>
      </c>
      <c r="E337">
        <f>VLOOKUP(A337,Ucto_HK_summ!$A$2:$D$963,4,FALSE)</f>
        <v>52862.31</v>
      </c>
    </row>
    <row r="338" spans="1:5">
      <c r="A338" s="578" t="s">
        <v>1776</v>
      </c>
      <c r="B338" s="578" t="s">
        <v>1292</v>
      </c>
      <c r="C338">
        <v>0</v>
      </c>
      <c r="D338" s="513">
        <v>2286266.9300000002</v>
      </c>
      <c r="E338">
        <f>VLOOKUP(A338,Ucto_HK_summ!$A$2:$D$963,4,FALSE)</f>
        <v>2082687.56</v>
      </c>
    </row>
    <row r="339" spans="1:5">
      <c r="A339" s="578" t="s">
        <v>1777</v>
      </c>
      <c r="B339" s="578" t="s">
        <v>1778</v>
      </c>
      <c r="C339">
        <v>0</v>
      </c>
      <c r="D339" s="513">
        <v>4691374.0800000001</v>
      </c>
      <c r="E339">
        <f>VLOOKUP(A339,Ucto_HK_summ!$A$2:$D$963,4,FALSE)</f>
        <v>4784985.49</v>
      </c>
    </row>
    <row r="340" spans="1:5">
      <c r="A340" s="578" t="s">
        <v>1779</v>
      </c>
      <c r="B340" s="578" t="s">
        <v>1780</v>
      </c>
      <c r="C340">
        <v>0</v>
      </c>
      <c r="D340" s="513">
        <v>2748416.09</v>
      </c>
      <c r="E340">
        <f>VLOOKUP(A340,Ucto_HK_summ!$A$2:$D$963,4,FALSE)</f>
        <v>2831551.61</v>
      </c>
    </row>
    <row r="341" spans="1:5">
      <c r="A341" s="578" t="s">
        <v>2707</v>
      </c>
      <c r="B341" s="578" t="s">
        <v>1794</v>
      </c>
      <c r="C341">
        <v>0</v>
      </c>
      <c r="D341" s="513">
        <v>227726.72</v>
      </c>
      <c r="E341">
        <f>VLOOKUP(A341,Ucto_HK_summ!$A$2:$D$963,4,FALSE)</f>
        <v>100426.8</v>
      </c>
    </row>
    <row r="342" spans="1:5">
      <c r="A342" s="578" t="s">
        <v>1781</v>
      </c>
      <c r="B342" s="578" t="s">
        <v>1782</v>
      </c>
      <c r="C342">
        <v>0</v>
      </c>
      <c r="D342" s="513">
        <v>4106.3999999999996</v>
      </c>
      <c r="E342">
        <f>VLOOKUP(A342,Ucto_HK_summ!$A$2:$D$963,4,FALSE)</f>
        <v>5504.46</v>
      </c>
    </row>
    <row r="343" spans="1:5">
      <c r="A343" s="578" t="s">
        <v>1783</v>
      </c>
      <c r="B343" s="578" t="s">
        <v>1784</v>
      </c>
      <c r="C343">
        <v>0</v>
      </c>
      <c r="D343" s="513">
        <v>300511.74</v>
      </c>
      <c r="E343">
        <f>VLOOKUP(A343,Ucto_HK_summ!$A$2:$D$963,4,FALSE)</f>
        <v>259291.97</v>
      </c>
    </row>
    <row r="344" spans="1:5">
      <c r="A344" s="578" t="s">
        <v>2708</v>
      </c>
      <c r="B344" s="578" t="s">
        <v>1798</v>
      </c>
      <c r="C344">
        <v>0</v>
      </c>
      <c r="D344" s="513">
        <v>17134.97</v>
      </c>
      <c r="E344">
        <f>VLOOKUP(A344,Ucto_HK_summ!$A$2:$D$963,4,FALSE)</f>
        <v>25324.97</v>
      </c>
    </row>
    <row r="345" spans="1:5">
      <c r="A345" s="578" t="s">
        <v>1785</v>
      </c>
      <c r="B345" s="578" t="s">
        <v>1786</v>
      </c>
      <c r="C345">
        <v>0</v>
      </c>
      <c r="D345" s="513">
        <v>1804953.37</v>
      </c>
      <c r="E345">
        <f>VLOOKUP(A345,Ucto_HK_summ!$A$2:$D$963,4,FALSE)</f>
        <v>1823933.61</v>
      </c>
    </row>
    <row r="346" spans="1:5">
      <c r="A346" s="578" t="s">
        <v>1787</v>
      </c>
      <c r="B346" s="578" t="s">
        <v>1788</v>
      </c>
      <c r="C346">
        <v>0</v>
      </c>
      <c r="D346" s="513">
        <v>621796.37</v>
      </c>
      <c r="E346">
        <f>VLOOKUP(A346,Ucto_HK_summ!$A$2:$D$963,4,FALSE)</f>
        <v>391238.63</v>
      </c>
    </row>
    <row r="347" spans="1:5">
      <c r="A347" s="578" t="s">
        <v>1789</v>
      </c>
      <c r="B347" s="578" t="s">
        <v>1790</v>
      </c>
      <c r="C347">
        <v>0</v>
      </c>
      <c r="D347" s="513">
        <v>449443.03</v>
      </c>
      <c r="E347">
        <f>VLOOKUP(A347,Ucto_HK_summ!$A$2:$D$963,4,FALSE)</f>
        <v>452255.22</v>
      </c>
    </row>
    <row r="348" spans="1:5">
      <c r="A348" s="578" t="s">
        <v>1791</v>
      </c>
      <c r="B348" s="578" t="s">
        <v>1778</v>
      </c>
      <c r="C348">
        <v>0</v>
      </c>
      <c r="D348" s="513">
        <v>30056.55</v>
      </c>
      <c r="E348">
        <f>VLOOKUP(A348,Ucto_HK_summ!$A$2:$D$963,4,FALSE)</f>
        <v>37762.29</v>
      </c>
    </row>
    <row r="349" spans="1:5">
      <c r="A349" s="578" t="s">
        <v>1792</v>
      </c>
      <c r="B349" s="578" t="s">
        <v>1780</v>
      </c>
      <c r="C349">
        <v>0</v>
      </c>
      <c r="D349" s="513">
        <v>98685.43</v>
      </c>
      <c r="E349">
        <f>VLOOKUP(A349,Ucto_HK_summ!$A$2:$D$963,4,FALSE)</f>
        <v>136029.45000000001</v>
      </c>
    </row>
    <row r="350" spans="1:5">
      <c r="A350" s="578" t="s">
        <v>1795</v>
      </c>
      <c r="B350" s="578" t="s">
        <v>1782</v>
      </c>
      <c r="C350">
        <v>0</v>
      </c>
      <c r="D350" s="513">
        <v>89993.39</v>
      </c>
      <c r="E350">
        <f>VLOOKUP(A350,Ucto_HK_summ!$A$2:$D$963,4,FALSE)</f>
        <v>102000.25</v>
      </c>
    </row>
    <row r="351" spans="1:5">
      <c r="A351" s="578" t="s">
        <v>1797</v>
      </c>
      <c r="B351" s="578" t="s">
        <v>1798</v>
      </c>
      <c r="C351">
        <v>0</v>
      </c>
      <c r="D351" s="513">
        <v>1634.25</v>
      </c>
      <c r="E351">
        <f>VLOOKUP(A351,Ucto_HK_summ!$A$2:$D$963,4,FALSE)</f>
        <v>0</v>
      </c>
    </row>
    <row r="352" spans="1:5">
      <c r="A352" s="578" t="s">
        <v>1799</v>
      </c>
      <c r="B352" s="578" t="s">
        <v>1800</v>
      </c>
      <c r="C352">
        <v>0</v>
      </c>
      <c r="D352" s="513">
        <v>3879186.01</v>
      </c>
      <c r="E352">
        <f>VLOOKUP(A352,Ucto_HK_summ!$A$2:$D$963,4,FALSE)</f>
        <v>3826235.53</v>
      </c>
    </row>
    <row r="353" spans="1:5">
      <c r="A353" s="578" t="s">
        <v>1801</v>
      </c>
      <c r="B353" s="578" t="s">
        <v>1802</v>
      </c>
      <c r="C353">
        <v>0</v>
      </c>
      <c r="D353" s="513">
        <v>512927.49</v>
      </c>
      <c r="E353">
        <f>VLOOKUP(A353,Ucto_HK_summ!$A$2:$D$963,4,FALSE)</f>
        <v>447368.63</v>
      </c>
    </row>
    <row r="354" spans="1:5">
      <c r="A354" s="578" t="s">
        <v>1803</v>
      </c>
      <c r="B354" s="578" t="s">
        <v>1804</v>
      </c>
      <c r="C354">
        <v>0</v>
      </c>
      <c r="D354" s="513">
        <v>3054984.93</v>
      </c>
      <c r="E354">
        <f>VLOOKUP(A354,Ucto_HK_summ!$A$2:$D$963,4,FALSE)</f>
        <v>2787874.37</v>
      </c>
    </row>
    <row r="355" spans="1:5">
      <c r="A355" s="578" t="s">
        <v>1805</v>
      </c>
      <c r="B355" s="578" t="s">
        <v>1806</v>
      </c>
      <c r="C355">
        <v>0</v>
      </c>
      <c r="D355" s="513">
        <v>44121.91</v>
      </c>
      <c r="E355">
        <f>VLOOKUP(A355,Ucto_HK_summ!$A$2:$D$963,4,FALSE)</f>
        <v>36079.370000000003</v>
      </c>
    </row>
    <row r="356" spans="1:5">
      <c r="A356" s="578" t="s">
        <v>1807</v>
      </c>
      <c r="B356" s="578" t="s">
        <v>1808</v>
      </c>
      <c r="C356">
        <v>0</v>
      </c>
      <c r="D356" s="513">
        <v>168622.87</v>
      </c>
      <c r="E356">
        <f>VLOOKUP(A356,Ucto_HK_summ!$A$2:$D$963,4,FALSE)</f>
        <v>141715.97</v>
      </c>
    </row>
    <row r="357" spans="1:5">
      <c r="A357" s="578" t="s">
        <v>1809</v>
      </c>
      <c r="B357" s="578" t="s">
        <v>1810</v>
      </c>
      <c r="C357">
        <v>0</v>
      </c>
      <c r="D357" s="513">
        <v>340129.92</v>
      </c>
      <c r="E357">
        <f>VLOOKUP(A357,Ucto_HK_summ!$A$2:$D$963,4,FALSE)</f>
        <v>325026.34000000003</v>
      </c>
    </row>
    <row r="358" spans="1:5">
      <c r="A358" s="578" t="s">
        <v>1811</v>
      </c>
      <c r="B358" s="578" t="s">
        <v>1812</v>
      </c>
      <c r="C358">
        <v>0</v>
      </c>
      <c r="D358" s="550">
        <v>336778</v>
      </c>
      <c r="E358">
        <f>VLOOKUP(A358,Ucto_HK_summ!$A$2:$D$963,4,FALSE)</f>
        <v>379479.95</v>
      </c>
    </row>
    <row r="359" spans="1:5">
      <c r="A359" s="578" t="s">
        <v>1813</v>
      </c>
      <c r="B359" s="578" t="s">
        <v>1814</v>
      </c>
      <c r="C359">
        <v>0</v>
      </c>
      <c r="D359" s="513">
        <v>108368.71</v>
      </c>
      <c r="E359">
        <f>VLOOKUP(A359,Ucto_HK_summ!$A$2:$D$963,4,FALSE)</f>
        <v>107580.1</v>
      </c>
    </row>
    <row r="360" spans="1:5">
      <c r="A360" s="578" t="s">
        <v>1815</v>
      </c>
      <c r="B360" s="578" t="s">
        <v>1816</v>
      </c>
      <c r="C360">
        <v>0</v>
      </c>
      <c r="D360" s="513">
        <v>122197.68</v>
      </c>
      <c r="E360">
        <f>VLOOKUP(A360,Ucto_HK_summ!$A$2:$D$963,4,FALSE)</f>
        <v>119514.86</v>
      </c>
    </row>
    <row r="361" spans="1:5">
      <c r="A361" s="578" t="s">
        <v>1821</v>
      </c>
      <c r="B361" s="578" t="s">
        <v>1822</v>
      </c>
      <c r="C361">
        <v>0</v>
      </c>
      <c r="D361">
        <v>52.87</v>
      </c>
      <c r="E361">
        <f>VLOOKUP(A361,Ucto_HK_summ!$A$2:$D$963,4,FALSE)</f>
        <v>58.19</v>
      </c>
    </row>
    <row r="362" spans="1:5">
      <c r="A362" s="578" t="s">
        <v>1823</v>
      </c>
      <c r="B362" s="578" t="s">
        <v>1824</v>
      </c>
      <c r="C362">
        <v>0</v>
      </c>
      <c r="D362" s="513">
        <v>113995.08</v>
      </c>
      <c r="E362">
        <f>VLOOKUP(A362,Ucto_HK_summ!$A$2:$D$963,4,FALSE)</f>
        <v>119312.81</v>
      </c>
    </row>
    <row r="363" spans="1:5">
      <c r="A363" s="578" t="s">
        <v>1825</v>
      </c>
      <c r="B363" s="578" t="s">
        <v>1826</v>
      </c>
      <c r="C363">
        <v>0</v>
      </c>
      <c r="D363" s="513">
        <v>283819.31</v>
      </c>
      <c r="E363">
        <f>VLOOKUP(A363,Ucto_HK_summ!$A$2:$D$963,4,FALSE)</f>
        <v>309690.31</v>
      </c>
    </row>
    <row r="364" spans="1:5">
      <c r="A364" s="578" t="s">
        <v>1827</v>
      </c>
      <c r="B364" s="578" t="s">
        <v>226</v>
      </c>
      <c r="C364">
        <v>0</v>
      </c>
      <c r="D364" s="513">
        <v>71075.58</v>
      </c>
      <c r="E364">
        <f>VLOOKUP(A364,Ucto_HK_summ!$A$2:$D$963,4,FALSE)</f>
        <v>73613.009999999995</v>
      </c>
    </row>
    <row r="365" spans="1:5">
      <c r="A365" s="578" t="s">
        <v>1828</v>
      </c>
      <c r="B365" s="578" t="s">
        <v>1829</v>
      </c>
      <c r="C365">
        <v>0</v>
      </c>
      <c r="D365" s="513">
        <v>66988.710000000006</v>
      </c>
      <c r="E365">
        <f>VLOOKUP(A365,Ucto_HK_summ!$A$2:$D$963,4,FALSE)</f>
        <v>65783.44</v>
      </c>
    </row>
    <row r="366" spans="1:5">
      <c r="A366" s="578" t="s">
        <v>1830</v>
      </c>
      <c r="B366" s="578" t="s">
        <v>1831</v>
      </c>
      <c r="C366">
        <v>0</v>
      </c>
      <c r="D366">
        <v>66.55</v>
      </c>
      <c r="E366">
        <f>VLOOKUP(A366,Ucto_HK_summ!$A$2:$D$963,4,FALSE)</f>
        <v>249.4</v>
      </c>
    </row>
    <row r="367" spans="1:5">
      <c r="A367" s="578" t="s">
        <v>1832</v>
      </c>
      <c r="B367" s="578" t="s">
        <v>1833</v>
      </c>
      <c r="C367">
        <v>0</v>
      </c>
      <c r="D367">
        <v>733.35</v>
      </c>
      <c r="E367">
        <f>VLOOKUP(A367,Ucto_HK_summ!$A$2:$D$963,4,FALSE)</f>
        <v>856.25</v>
      </c>
    </row>
    <row r="368" spans="1:5">
      <c r="A368" s="578" t="s">
        <v>1842</v>
      </c>
      <c r="B368" s="578" t="s">
        <v>1843</v>
      </c>
      <c r="C368">
        <v>0</v>
      </c>
      <c r="D368">
        <v>109.88</v>
      </c>
      <c r="E368">
        <f>VLOOKUP(A368,Ucto_HK_summ!$A$2:$D$963,4,FALSE)</f>
        <v>0</v>
      </c>
    </row>
    <row r="369" spans="1:5">
      <c r="A369" s="578" t="s">
        <v>1844</v>
      </c>
      <c r="B369" s="578" t="s">
        <v>1845</v>
      </c>
      <c r="C369">
        <v>0</v>
      </c>
      <c r="D369" s="513">
        <v>27870.9</v>
      </c>
      <c r="E369">
        <f>VLOOKUP(A369,Ucto_HK_summ!$A$2:$D$963,4,FALSE)</f>
        <v>41803.360000000001</v>
      </c>
    </row>
    <row r="370" spans="1:5">
      <c r="A370" s="578" t="s">
        <v>1846</v>
      </c>
      <c r="B370" s="578" t="s">
        <v>1847</v>
      </c>
      <c r="C370">
        <v>0</v>
      </c>
      <c r="D370" s="513">
        <v>1406014.59</v>
      </c>
      <c r="E370">
        <f>VLOOKUP(A370,Ucto_HK_summ!$A$2:$D$963,4,FALSE)</f>
        <v>1355634.43</v>
      </c>
    </row>
    <row r="371" spans="1:5">
      <c r="A371" s="578" t="s">
        <v>1850</v>
      </c>
      <c r="B371" s="578" t="s">
        <v>1851</v>
      </c>
      <c r="C371">
        <v>0</v>
      </c>
      <c r="D371" s="513">
        <v>411319.76</v>
      </c>
      <c r="E371">
        <f>VLOOKUP(A371,Ucto_HK_summ!$A$2:$D$963,4,FALSE)</f>
        <v>353103.17</v>
      </c>
    </row>
    <row r="372" spans="1:5">
      <c r="A372" s="578" t="s">
        <v>1852</v>
      </c>
      <c r="B372" s="578" t="s">
        <v>1853</v>
      </c>
      <c r="C372">
        <v>0</v>
      </c>
      <c r="D372" s="513">
        <v>22342.45</v>
      </c>
      <c r="E372">
        <f>VLOOKUP(A372,Ucto_HK_summ!$A$2:$D$963,4,FALSE)</f>
        <v>47926.42</v>
      </c>
    </row>
    <row r="373" spans="1:5">
      <c r="A373" s="578" t="s">
        <v>1854</v>
      </c>
      <c r="B373" s="578" t="s">
        <v>1855</v>
      </c>
      <c r="C373">
        <v>0</v>
      </c>
      <c r="D373" s="513">
        <v>60736.09</v>
      </c>
      <c r="E373">
        <f>VLOOKUP(A373,Ucto_HK_summ!$A$2:$D$963,4,FALSE)</f>
        <v>25265.55</v>
      </c>
    </row>
    <row r="374" spans="1:5">
      <c r="A374" s="578" t="s">
        <v>1856</v>
      </c>
      <c r="B374" s="578" t="s">
        <v>1857</v>
      </c>
      <c r="C374">
        <v>0</v>
      </c>
      <c r="D374">
        <v>285.22000000000003</v>
      </c>
      <c r="E374">
        <f>VLOOKUP(A374,Ucto_HK_summ!$A$2:$D$963,4,FALSE)</f>
        <v>284.73</v>
      </c>
    </row>
    <row r="375" spans="1:5">
      <c r="A375" s="578" t="s">
        <v>1858</v>
      </c>
      <c r="B375" s="578" t="s">
        <v>1859</v>
      </c>
      <c r="C375">
        <v>0</v>
      </c>
      <c r="D375" s="513">
        <v>4121.2</v>
      </c>
      <c r="E375">
        <f>VLOOKUP(A375,Ucto_HK_summ!$A$2:$D$963,4,FALSE)</f>
        <v>6446.74</v>
      </c>
    </row>
    <row r="376" spans="1:5">
      <c r="A376" s="578" t="s">
        <v>1860</v>
      </c>
      <c r="B376" s="578" t="s">
        <v>1861</v>
      </c>
      <c r="C376">
        <v>0</v>
      </c>
      <c r="D376" s="513">
        <v>24708.97</v>
      </c>
      <c r="E376">
        <f>VLOOKUP(A376,Ucto_HK_summ!$A$2:$D$963,4,FALSE)</f>
        <v>16571.07</v>
      </c>
    </row>
    <row r="377" spans="1:5">
      <c r="A377" s="578" t="s">
        <v>1866</v>
      </c>
      <c r="B377" s="578" t="s">
        <v>1867</v>
      </c>
      <c r="C377">
        <v>0</v>
      </c>
      <c r="D377">
        <v>30.56</v>
      </c>
      <c r="E377">
        <f>VLOOKUP(A377,Ucto_HK_summ!$A$2:$D$963,4,FALSE)</f>
        <v>15.49</v>
      </c>
    </row>
    <row r="378" spans="1:5">
      <c r="A378" s="578" t="s">
        <v>1868</v>
      </c>
      <c r="B378" s="578" t="s">
        <v>1869</v>
      </c>
      <c r="C378">
        <v>0</v>
      </c>
      <c r="D378" s="513">
        <v>8954.4699999999993</v>
      </c>
      <c r="E378">
        <f>VLOOKUP(A378,Ucto_HK_summ!$A$2:$D$963,4,FALSE)</f>
        <v>9035.5400000000009</v>
      </c>
    </row>
    <row r="379" spans="1:5">
      <c r="A379" s="578" t="s">
        <v>1870</v>
      </c>
      <c r="B379" s="578" t="s">
        <v>1871</v>
      </c>
      <c r="C379">
        <v>0</v>
      </c>
      <c r="D379" s="513">
        <v>17489.48</v>
      </c>
      <c r="E379">
        <f>VLOOKUP(A379,Ucto_HK_summ!$A$2:$D$963,4,FALSE)</f>
        <v>15561.58</v>
      </c>
    </row>
    <row r="380" spans="1:5">
      <c r="A380" s="578" t="s">
        <v>1872</v>
      </c>
      <c r="B380" s="578" t="s">
        <v>1873</v>
      </c>
      <c r="C380">
        <v>0</v>
      </c>
      <c r="D380" s="513">
        <v>1163.26</v>
      </c>
      <c r="E380">
        <f>VLOOKUP(A380,Ucto_HK_summ!$A$2:$D$963,4,FALSE)</f>
        <v>808.19</v>
      </c>
    </row>
    <row r="381" spans="1:5">
      <c r="A381" s="578" t="s">
        <v>1874</v>
      </c>
      <c r="B381" s="578" t="s">
        <v>1875</v>
      </c>
      <c r="C381">
        <v>0</v>
      </c>
      <c r="D381">
        <v>309.7</v>
      </c>
      <c r="E381">
        <f>VLOOKUP(A381,Ucto_HK_summ!$A$2:$D$963,4,FALSE)</f>
        <v>261.25</v>
      </c>
    </row>
    <row r="382" spans="1:5">
      <c r="A382" s="578" t="s">
        <v>1878</v>
      </c>
      <c r="B382" s="578" t="s">
        <v>1879</v>
      </c>
      <c r="C382">
        <v>0</v>
      </c>
      <c r="D382">
        <v>564.82000000000005</v>
      </c>
      <c r="E382">
        <f>VLOOKUP(A382,Ucto_HK_summ!$A$2:$D$963,4,FALSE)</f>
        <v>544.15</v>
      </c>
    </row>
    <row r="383" spans="1:5">
      <c r="A383" s="578" t="s">
        <v>1880</v>
      </c>
      <c r="B383" s="578" t="s">
        <v>1881</v>
      </c>
      <c r="C383">
        <v>0</v>
      </c>
      <c r="D383" s="513">
        <v>208255.53</v>
      </c>
      <c r="E383">
        <f>VLOOKUP(A383,Ucto_HK_summ!$A$2:$D$963,4,FALSE)</f>
        <v>199505.25</v>
      </c>
    </row>
    <row r="384" spans="1:5">
      <c r="A384" s="578" t="s">
        <v>1882</v>
      </c>
      <c r="B384" s="578" t="s">
        <v>1883</v>
      </c>
      <c r="C384">
        <v>0</v>
      </c>
      <c r="D384" s="513">
        <v>2695.1</v>
      </c>
      <c r="E384">
        <f>VLOOKUP(A384,Ucto_HK_summ!$A$2:$D$963,4,FALSE)</f>
        <v>5189.07</v>
      </c>
    </row>
    <row r="385" spans="1:5">
      <c r="A385" s="578" t="s">
        <v>1884</v>
      </c>
      <c r="B385" s="578" t="s">
        <v>1885</v>
      </c>
      <c r="C385">
        <v>0</v>
      </c>
      <c r="D385" s="513">
        <v>1936.46</v>
      </c>
      <c r="E385">
        <f>VLOOKUP(A385,Ucto_HK_summ!$A$2:$D$963,4,FALSE)</f>
        <v>2240.21</v>
      </c>
    </row>
    <row r="386" spans="1:5">
      <c r="A386" s="578" t="s">
        <v>1886</v>
      </c>
      <c r="B386" s="578" t="s">
        <v>1887</v>
      </c>
      <c r="C386">
        <v>0</v>
      </c>
      <c r="D386">
        <v>108.96</v>
      </c>
      <c r="E386">
        <f>VLOOKUP(A386,Ucto_HK_summ!$A$2:$D$963,4,FALSE)</f>
        <v>3.34</v>
      </c>
    </row>
    <row r="387" spans="1:5">
      <c r="A387" s="578" t="s">
        <v>2659</v>
      </c>
      <c r="B387" s="578" t="s">
        <v>2660</v>
      </c>
      <c r="C387">
        <v>0</v>
      </c>
      <c r="D387">
        <v>686.07</v>
      </c>
      <c r="E387">
        <f>VLOOKUP(A387,Ucto_HK_summ!$A$2:$D$963,4,FALSE)</f>
        <v>1705.03</v>
      </c>
    </row>
    <row r="388" spans="1:5">
      <c r="A388" s="578" t="s">
        <v>803</v>
      </c>
      <c r="C388">
        <v>0</v>
      </c>
      <c r="D388" s="513">
        <v>35677081.57</v>
      </c>
      <c r="E388">
        <f>VLOOKUP(A388,Ucto_HK_summ!$A$2:$D$963,4,FALSE)</f>
        <v>33264962.09</v>
      </c>
    </row>
    <row r="389" spans="1:5">
      <c r="A389" s="578" t="s">
        <v>1888</v>
      </c>
      <c r="B389" s="578" t="s">
        <v>1889</v>
      </c>
      <c r="C389">
        <v>0</v>
      </c>
      <c r="D389" s="513">
        <v>1312777.31</v>
      </c>
      <c r="E389">
        <f>VLOOKUP(A389,Ucto_HK_summ!$A$2:$D$963,4,FALSE)</f>
        <v>1184459.33</v>
      </c>
    </row>
    <row r="390" spans="1:5">
      <c r="A390" s="578" t="s">
        <v>1890</v>
      </c>
      <c r="B390" s="578" t="s">
        <v>1891</v>
      </c>
      <c r="C390">
        <v>0</v>
      </c>
      <c r="D390" s="513">
        <v>1121084.69</v>
      </c>
      <c r="E390">
        <f>VLOOKUP(A390,Ucto_HK_summ!$A$2:$D$963,4,FALSE)</f>
        <v>1062339.78</v>
      </c>
    </row>
    <row r="391" spans="1:5">
      <c r="A391" s="578" t="s">
        <v>1892</v>
      </c>
      <c r="B391" s="578" t="s">
        <v>1893</v>
      </c>
      <c r="C391">
        <v>0</v>
      </c>
      <c r="D391" s="513">
        <v>403986.01</v>
      </c>
      <c r="E391">
        <f>VLOOKUP(A391,Ucto_HK_summ!$A$2:$D$963,4,FALSE)</f>
        <v>396538.63</v>
      </c>
    </row>
    <row r="392" spans="1:5">
      <c r="A392" s="578" t="s">
        <v>1894</v>
      </c>
      <c r="B392" s="578" t="s">
        <v>1895</v>
      </c>
      <c r="C392">
        <v>0</v>
      </c>
      <c r="D392" s="513">
        <v>1245159.94</v>
      </c>
      <c r="E392">
        <f>VLOOKUP(A392,Ucto_HK_summ!$A$2:$D$963,4,FALSE)</f>
        <v>1166584.6100000001</v>
      </c>
    </row>
    <row r="393" spans="1:5">
      <c r="A393" s="578" t="s">
        <v>1896</v>
      </c>
      <c r="B393" s="578" t="s">
        <v>1897</v>
      </c>
      <c r="C393">
        <v>0</v>
      </c>
      <c r="D393" s="513">
        <v>18259.939999999999</v>
      </c>
      <c r="E393">
        <f>VLOOKUP(A393,Ucto_HK_summ!$A$2:$D$963,4,FALSE)</f>
        <v>39066.230000000003</v>
      </c>
    </row>
    <row r="394" spans="1:5">
      <c r="A394" s="578" t="s">
        <v>1898</v>
      </c>
      <c r="B394" s="578" t="s">
        <v>1899</v>
      </c>
      <c r="C394">
        <v>0</v>
      </c>
      <c r="D394" s="513">
        <v>26705.4</v>
      </c>
      <c r="E394">
        <f>VLOOKUP(A394,Ucto_HK_summ!$A$2:$D$963,4,FALSE)</f>
        <v>41874.49</v>
      </c>
    </row>
    <row r="395" spans="1:5">
      <c r="A395" s="578" t="s">
        <v>1900</v>
      </c>
      <c r="B395" s="578" t="s">
        <v>1901</v>
      </c>
      <c r="C395">
        <v>0</v>
      </c>
      <c r="D395" s="513">
        <v>13630.23</v>
      </c>
      <c r="E395">
        <f>VLOOKUP(A395,Ucto_HK_summ!$A$2:$D$963,4,FALSE)</f>
        <v>15119.01</v>
      </c>
    </row>
    <row r="396" spans="1:5">
      <c r="A396" s="578" t="s">
        <v>1902</v>
      </c>
      <c r="B396" s="578" t="s">
        <v>1903</v>
      </c>
      <c r="C396">
        <v>0</v>
      </c>
      <c r="D396" s="513">
        <v>18926.93</v>
      </c>
      <c r="E396">
        <f>VLOOKUP(A396,Ucto_HK_summ!$A$2:$D$963,4,FALSE)</f>
        <v>29929</v>
      </c>
    </row>
    <row r="397" spans="1:5">
      <c r="A397" s="578" t="s">
        <v>804</v>
      </c>
      <c r="C397">
        <v>0</v>
      </c>
      <c r="D397" s="513">
        <v>4160530.45</v>
      </c>
      <c r="E397">
        <f>VLOOKUP(A397,Ucto_HK_summ!$A$2:$D$963,4,FALSE)</f>
        <v>3935911.08</v>
      </c>
    </row>
    <row r="398" spans="1:5">
      <c r="A398" s="577" t="s">
        <v>1911</v>
      </c>
      <c r="C398" s="369">
        <v>0</v>
      </c>
      <c r="D398" s="579">
        <v>39837612.020000003</v>
      </c>
      <c r="E398">
        <f>VLOOKUP(A398,Ucto_HK_summ!$A$2:$D$963,4,FALSE)</f>
        <v>37200873.170000002</v>
      </c>
    </row>
    <row r="399" spans="1:5">
      <c r="E399" t="e">
        <f>VLOOKUP(A399,Ucto_HK_summ!$A$2:$D$963,4,FALSE)</f>
        <v>#N/A</v>
      </c>
    </row>
    <row r="400" spans="1:5">
      <c r="A400" s="578" t="s">
        <v>1912</v>
      </c>
      <c r="B400" s="578" t="s">
        <v>1913</v>
      </c>
      <c r="C400">
        <v>0</v>
      </c>
      <c r="D400" s="513">
        <v>1210845.75</v>
      </c>
      <c r="E400">
        <f>VLOOKUP(A400,Ucto_HK_summ!$A$2:$D$963,4,FALSE)</f>
        <v>1211677.03</v>
      </c>
    </row>
    <row r="401" spans="1:5">
      <c r="A401" s="578" t="s">
        <v>1914</v>
      </c>
      <c r="B401" s="578" t="s">
        <v>1915</v>
      </c>
      <c r="C401">
        <v>0</v>
      </c>
      <c r="D401" s="513">
        <v>148509.38</v>
      </c>
      <c r="E401">
        <f>VLOOKUP(A401,Ucto_HK_summ!$A$2:$D$963,4,FALSE)</f>
        <v>122060.98</v>
      </c>
    </row>
    <row r="402" spans="1:5">
      <c r="A402" s="578" t="s">
        <v>1916</v>
      </c>
      <c r="B402" s="578" t="s">
        <v>1917</v>
      </c>
      <c r="C402">
        <v>0</v>
      </c>
      <c r="D402" s="513">
        <v>105465.34</v>
      </c>
      <c r="E402">
        <f>VLOOKUP(A402,Ucto_HK_summ!$A$2:$D$963,4,FALSE)</f>
        <v>23502.49</v>
      </c>
    </row>
    <row r="403" spans="1:5">
      <c r="A403" s="578" t="s">
        <v>1918</v>
      </c>
      <c r="B403" s="578" t="s">
        <v>1919</v>
      </c>
      <c r="C403">
        <v>0</v>
      </c>
      <c r="D403" s="513">
        <v>93282.2</v>
      </c>
      <c r="E403">
        <f>VLOOKUP(A403,Ucto_HK_summ!$A$2:$D$963,4,FALSE)</f>
        <v>74681.490000000005</v>
      </c>
    </row>
    <row r="404" spans="1:5">
      <c r="A404" s="578" t="s">
        <v>2709</v>
      </c>
      <c r="B404" s="578" t="s">
        <v>2710</v>
      </c>
      <c r="C404">
        <v>0</v>
      </c>
      <c r="D404">
        <v>625.74</v>
      </c>
      <c r="E404">
        <f>VLOOKUP(A404,Ucto_HK_summ!$A$2:$D$963,4,FALSE)</f>
        <v>10278.469999999999</v>
      </c>
    </row>
    <row r="405" spans="1:5">
      <c r="A405" s="578" t="s">
        <v>1920</v>
      </c>
      <c r="B405" s="578" t="s">
        <v>1921</v>
      </c>
      <c r="C405">
        <v>0</v>
      </c>
      <c r="D405" s="513">
        <v>44254.73</v>
      </c>
      <c r="E405">
        <f>VLOOKUP(A405,Ucto_HK_summ!$A$2:$D$963,4,FALSE)</f>
        <v>26620.71</v>
      </c>
    </row>
    <row r="406" spans="1:5">
      <c r="A406" s="578" t="s">
        <v>1922</v>
      </c>
      <c r="B406" s="578" t="s">
        <v>1923</v>
      </c>
      <c r="C406">
        <v>0</v>
      </c>
      <c r="D406" s="513">
        <v>8523.2900000000009</v>
      </c>
      <c r="E406">
        <f>VLOOKUP(A406,Ucto_HK_summ!$A$2:$D$963,4,FALSE)</f>
        <v>1590.24</v>
      </c>
    </row>
    <row r="407" spans="1:5">
      <c r="A407" s="578" t="s">
        <v>1926</v>
      </c>
      <c r="B407" s="578" t="s">
        <v>1927</v>
      </c>
      <c r="C407">
        <v>0</v>
      </c>
      <c r="D407" s="513">
        <v>34275.379999999997</v>
      </c>
      <c r="E407">
        <f>VLOOKUP(A407,Ucto_HK_summ!$A$2:$D$963,4,FALSE)</f>
        <v>15803.78</v>
      </c>
    </row>
    <row r="408" spans="1:5">
      <c r="A408" s="578" t="s">
        <v>2663</v>
      </c>
      <c r="B408" s="578" t="s">
        <v>2664</v>
      </c>
      <c r="C408">
        <v>0</v>
      </c>
      <c r="D408" s="513">
        <v>1993.23</v>
      </c>
      <c r="E408">
        <f>VLOOKUP(A408,Ucto_HK_summ!$A$2:$D$963,4,FALSE)</f>
        <v>3720.09</v>
      </c>
    </row>
    <row r="409" spans="1:5">
      <c r="A409" s="578" t="s">
        <v>1928</v>
      </c>
      <c r="B409" s="578" t="s">
        <v>1929</v>
      </c>
      <c r="C409">
        <v>0</v>
      </c>
      <c r="D409">
        <v>222.4</v>
      </c>
      <c r="E409">
        <f>VLOOKUP(A409,Ucto_HK_summ!$A$2:$D$963,4,FALSE)</f>
        <v>13.57</v>
      </c>
    </row>
    <row r="410" spans="1:5">
      <c r="A410" s="578" t="s">
        <v>2665</v>
      </c>
      <c r="B410" s="578" t="s">
        <v>2666</v>
      </c>
      <c r="C410">
        <v>0</v>
      </c>
      <c r="D410">
        <v>231.54</v>
      </c>
      <c r="E410">
        <f>VLOOKUP(A410,Ucto_HK_summ!$A$2:$D$963,4,FALSE)</f>
        <v>0</v>
      </c>
    </row>
    <row r="411" spans="1:5">
      <c r="A411" s="578" t="s">
        <v>811</v>
      </c>
      <c r="C411">
        <v>0</v>
      </c>
      <c r="D411" s="513">
        <v>1648228.98</v>
      </c>
      <c r="E411">
        <f>VLOOKUP(A411,Ucto_HK_summ!$A$2:$D$963,4,FALSE)</f>
        <v>1490248.85</v>
      </c>
    </row>
    <row r="412" spans="1:5">
      <c r="A412" s="578" t="s">
        <v>1930</v>
      </c>
      <c r="B412" s="578" t="s">
        <v>1931</v>
      </c>
      <c r="C412">
        <v>0</v>
      </c>
      <c r="D412" s="513">
        <v>1027.8599999999999</v>
      </c>
      <c r="E412">
        <f>VLOOKUP(A412,Ucto_HK_summ!$A$2:$D$963,4,FALSE)</f>
        <v>806.96</v>
      </c>
    </row>
    <row r="413" spans="1:5">
      <c r="A413" s="578" t="s">
        <v>1932</v>
      </c>
      <c r="B413" s="578" t="s">
        <v>1933</v>
      </c>
      <c r="C413">
        <v>0</v>
      </c>
      <c r="D413" s="513">
        <v>1192.25</v>
      </c>
      <c r="E413">
        <f>VLOOKUP(A413,Ucto_HK_summ!$A$2:$D$963,4,FALSE)</f>
        <v>1362.51</v>
      </c>
    </row>
    <row r="414" spans="1:5">
      <c r="A414" s="578" t="s">
        <v>2667</v>
      </c>
      <c r="B414" s="578" t="s">
        <v>1931</v>
      </c>
      <c r="C414">
        <v>0</v>
      </c>
      <c r="D414">
        <v>232.96</v>
      </c>
      <c r="E414">
        <f>VLOOKUP(A414,Ucto_HK_summ!$A$2:$D$963,4,FALSE)</f>
        <v>110.16</v>
      </c>
    </row>
    <row r="415" spans="1:5">
      <c r="A415" s="578" t="s">
        <v>2668</v>
      </c>
      <c r="B415" s="578" t="s">
        <v>1933</v>
      </c>
      <c r="C415">
        <v>0</v>
      </c>
      <c r="D415">
        <v>203.21</v>
      </c>
      <c r="E415">
        <f>VLOOKUP(A415,Ucto_HK_summ!$A$2:$D$963,4,FALSE)</f>
        <v>93.08</v>
      </c>
    </row>
    <row r="416" spans="1:5">
      <c r="A416" s="578" t="s">
        <v>812</v>
      </c>
      <c r="C416">
        <v>0</v>
      </c>
      <c r="D416" s="513">
        <v>2656.28</v>
      </c>
      <c r="E416">
        <f>VLOOKUP(A416,Ucto_HK_summ!$A$2:$D$963,4,FALSE)</f>
        <v>2372.71</v>
      </c>
    </row>
    <row r="417" spans="1:5">
      <c r="A417" s="578" t="s">
        <v>1936</v>
      </c>
      <c r="B417" s="578" t="s">
        <v>814</v>
      </c>
      <c r="C417">
        <v>0</v>
      </c>
      <c r="D417">
        <v>781.85</v>
      </c>
      <c r="E417">
        <f>VLOOKUP(A417,Ucto_HK_summ!$A$2:$D$963,4,FALSE)</f>
        <v>863.23</v>
      </c>
    </row>
    <row r="418" spans="1:5">
      <c r="A418" s="578" t="s">
        <v>813</v>
      </c>
      <c r="C418">
        <v>0</v>
      </c>
      <c r="D418">
        <v>781.85</v>
      </c>
      <c r="E418">
        <f>VLOOKUP(A418,Ucto_HK_summ!$A$2:$D$963,4,FALSE)</f>
        <v>863.23</v>
      </c>
    </row>
    <row r="419" spans="1:5">
      <c r="A419" s="578" t="s">
        <v>1937</v>
      </c>
      <c r="B419" s="578" t="s">
        <v>1938</v>
      </c>
      <c r="C419">
        <v>0</v>
      </c>
      <c r="D419" s="513">
        <v>4694.1099999999997</v>
      </c>
      <c r="E419">
        <f>VLOOKUP(A419,Ucto_HK_summ!$A$2:$D$963,4,FALSE)</f>
        <v>5268.49</v>
      </c>
    </row>
    <row r="420" spans="1:5">
      <c r="A420" s="578" t="s">
        <v>2711</v>
      </c>
      <c r="B420" s="578" t="s">
        <v>2712</v>
      </c>
      <c r="C420">
        <v>0</v>
      </c>
      <c r="D420" s="513">
        <v>38863.25</v>
      </c>
      <c r="E420">
        <f>VLOOKUP(A420,Ucto_HK_summ!$A$2:$D$963,4,FALSE)</f>
        <v>9045.9699999999993</v>
      </c>
    </row>
    <row r="421" spans="1:5">
      <c r="A421" s="578" t="s">
        <v>1939</v>
      </c>
      <c r="B421" s="578" t="s">
        <v>1940</v>
      </c>
      <c r="C421">
        <v>0</v>
      </c>
      <c r="D421">
        <v>777.52</v>
      </c>
      <c r="E421">
        <f>VLOOKUP(A421,Ucto_HK_summ!$A$2:$D$963,4,FALSE)</f>
        <v>1173.26</v>
      </c>
    </row>
    <row r="422" spans="1:5">
      <c r="A422" s="578" t="s">
        <v>2669</v>
      </c>
      <c r="B422" s="578" t="s">
        <v>2670</v>
      </c>
      <c r="C422">
        <v>0</v>
      </c>
      <c r="D422" s="513">
        <v>61166.080000000002</v>
      </c>
      <c r="E422">
        <f>VLOOKUP(A422,Ucto_HK_summ!$A$2:$D$963,4,FALSE)</f>
        <v>58466.37</v>
      </c>
    </row>
    <row r="423" spans="1:5">
      <c r="A423" s="578" t="s">
        <v>1941</v>
      </c>
      <c r="B423" s="578" t="s">
        <v>1942</v>
      </c>
      <c r="C423">
        <v>0</v>
      </c>
      <c r="D423" s="513">
        <v>48678.79</v>
      </c>
      <c r="E423">
        <f>VLOOKUP(A423,Ucto_HK_summ!$A$2:$D$963,4,FALSE)</f>
        <v>45160.92</v>
      </c>
    </row>
    <row r="424" spans="1:5">
      <c r="A424" s="578" t="s">
        <v>1943</v>
      </c>
      <c r="B424" s="578" t="s">
        <v>1944</v>
      </c>
      <c r="C424">
        <v>0</v>
      </c>
      <c r="D424" s="513">
        <v>1657302.91</v>
      </c>
      <c r="E424">
        <f>VLOOKUP(A424,Ucto_HK_summ!$A$2:$D$963,4,FALSE)</f>
        <v>1667518.19</v>
      </c>
    </row>
    <row r="425" spans="1:5">
      <c r="A425" s="578" t="s">
        <v>1945</v>
      </c>
      <c r="B425" s="578" t="s">
        <v>1946</v>
      </c>
      <c r="C425">
        <v>0</v>
      </c>
      <c r="D425" s="513">
        <v>222984.56</v>
      </c>
      <c r="E425">
        <f>VLOOKUP(A425,Ucto_HK_summ!$A$2:$D$963,4,FALSE)</f>
        <v>215790.2</v>
      </c>
    </row>
    <row r="426" spans="1:5">
      <c r="A426" s="578" t="s">
        <v>1947</v>
      </c>
      <c r="B426" s="578" t="s">
        <v>1948</v>
      </c>
      <c r="C426">
        <v>0</v>
      </c>
      <c r="D426" s="550">
        <v>2942</v>
      </c>
      <c r="E426">
        <f>VLOOKUP(A426,Ucto_HK_summ!$A$2:$D$963,4,FALSE)</f>
        <v>2669.56</v>
      </c>
    </row>
    <row r="427" spans="1:5">
      <c r="A427" s="578" t="s">
        <v>1949</v>
      </c>
      <c r="B427" s="578" t="s">
        <v>1950</v>
      </c>
      <c r="C427">
        <v>0</v>
      </c>
      <c r="D427" s="513">
        <v>16680.61</v>
      </c>
      <c r="E427">
        <f>VLOOKUP(A427,Ucto_HK_summ!$A$2:$D$963,4,FALSE)</f>
        <v>13577.26</v>
      </c>
    </row>
    <row r="428" spans="1:5">
      <c r="A428" s="578" t="s">
        <v>1951</v>
      </c>
      <c r="B428" s="578" t="s">
        <v>1952</v>
      </c>
      <c r="C428">
        <v>0</v>
      </c>
      <c r="D428" s="513">
        <v>417817.69</v>
      </c>
      <c r="E428">
        <f>VLOOKUP(A428,Ucto_HK_summ!$A$2:$D$963,4,FALSE)</f>
        <v>316547.26</v>
      </c>
    </row>
    <row r="429" spans="1:5">
      <c r="A429" s="578" t="s">
        <v>1953</v>
      </c>
      <c r="B429" s="578" t="s">
        <v>1954</v>
      </c>
      <c r="C429">
        <v>0</v>
      </c>
      <c r="D429" s="513">
        <v>139175.97</v>
      </c>
      <c r="E429">
        <f>VLOOKUP(A429,Ucto_HK_summ!$A$2:$D$963,4,FALSE)</f>
        <v>114970.93</v>
      </c>
    </row>
    <row r="430" spans="1:5">
      <c r="A430" s="578" t="s">
        <v>1955</v>
      </c>
      <c r="B430" s="578" t="s">
        <v>1956</v>
      </c>
      <c r="C430">
        <v>0</v>
      </c>
      <c r="D430" s="513">
        <v>6338.1</v>
      </c>
      <c r="E430">
        <f>VLOOKUP(A430,Ucto_HK_summ!$A$2:$D$963,4,FALSE)</f>
        <v>2427.66</v>
      </c>
    </row>
    <row r="431" spans="1:5">
      <c r="A431" s="578" t="s">
        <v>1957</v>
      </c>
      <c r="B431" s="578" t="s">
        <v>1958</v>
      </c>
      <c r="C431">
        <v>0</v>
      </c>
      <c r="D431" s="513">
        <v>25969.79</v>
      </c>
      <c r="E431">
        <f>VLOOKUP(A431,Ucto_HK_summ!$A$2:$D$963,4,FALSE)</f>
        <v>25216.19</v>
      </c>
    </row>
    <row r="432" spans="1:5">
      <c r="A432" s="578" t="s">
        <v>1959</v>
      </c>
      <c r="B432" s="578" t="s">
        <v>1960</v>
      </c>
      <c r="C432">
        <v>0</v>
      </c>
      <c r="D432" s="513">
        <v>8414.67</v>
      </c>
      <c r="E432">
        <f>VLOOKUP(A432,Ucto_HK_summ!$A$2:$D$963,4,FALSE)</f>
        <v>13963.6</v>
      </c>
    </row>
    <row r="433" spans="1:5">
      <c r="A433" s="578" t="s">
        <v>2671</v>
      </c>
      <c r="B433" s="578" t="s">
        <v>2672</v>
      </c>
      <c r="C433">
        <v>0</v>
      </c>
      <c r="D433" s="550">
        <v>4990</v>
      </c>
      <c r="E433">
        <f>VLOOKUP(A433,Ucto_HK_summ!$A$2:$D$963,4,FALSE)</f>
        <v>0</v>
      </c>
    </row>
    <row r="434" spans="1:5">
      <c r="A434" s="578" t="s">
        <v>1961</v>
      </c>
      <c r="B434" s="578" t="s">
        <v>1962</v>
      </c>
      <c r="C434">
        <v>0</v>
      </c>
      <c r="D434" s="550">
        <v>2200</v>
      </c>
      <c r="E434">
        <f>VLOOKUP(A434,Ucto_HK_summ!$A$2:$D$963,4,FALSE)</f>
        <v>2200</v>
      </c>
    </row>
    <row r="435" spans="1:5">
      <c r="A435" s="578" t="s">
        <v>1967</v>
      </c>
      <c r="B435" s="578" t="s">
        <v>1968</v>
      </c>
      <c r="C435">
        <v>0</v>
      </c>
      <c r="D435" s="513">
        <v>99496.76</v>
      </c>
      <c r="E435">
        <f>VLOOKUP(A435,Ucto_HK_summ!$A$2:$D$963,4,FALSE)</f>
        <v>89116.3</v>
      </c>
    </row>
    <row r="436" spans="1:5">
      <c r="A436" s="578" t="s">
        <v>1969</v>
      </c>
      <c r="B436" s="578" t="s">
        <v>1970</v>
      </c>
      <c r="C436">
        <v>0</v>
      </c>
      <c r="D436" s="513">
        <v>7045.73</v>
      </c>
      <c r="E436">
        <f>VLOOKUP(A436,Ucto_HK_summ!$A$2:$D$963,4,FALSE)</f>
        <v>21015.200000000001</v>
      </c>
    </row>
    <row r="437" spans="1:5">
      <c r="A437" s="578" t="s">
        <v>1971</v>
      </c>
      <c r="B437" s="578" t="s">
        <v>1972</v>
      </c>
      <c r="C437">
        <v>0</v>
      </c>
      <c r="D437" s="513">
        <v>241575.2</v>
      </c>
      <c r="E437">
        <f>VLOOKUP(A437,Ucto_HK_summ!$A$2:$D$963,4,FALSE)</f>
        <v>241922.97</v>
      </c>
    </row>
    <row r="438" spans="1:5">
      <c r="A438" s="578" t="s">
        <v>1973</v>
      </c>
      <c r="B438" s="578" t="s">
        <v>229</v>
      </c>
      <c r="C438">
        <v>0</v>
      </c>
      <c r="D438" s="513">
        <v>34302.660000000003</v>
      </c>
      <c r="E438">
        <f>VLOOKUP(A438,Ucto_HK_summ!$A$2:$D$963,4,FALSE)</f>
        <v>34613.449999999997</v>
      </c>
    </row>
    <row r="439" spans="1:5">
      <c r="A439" s="578" t="s">
        <v>1974</v>
      </c>
      <c r="B439" s="578" t="s">
        <v>230</v>
      </c>
      <c r="C439">
        <v>0</v>
      </c>
      <c r="D439" s="513">
        <v>49792.35</v>
      </c>
      <c r="E439">
        <f>VLOOKUP(A439,Ucto_HK_summ!$A$2:$D$963,4,FALSE)</f>
        <v>44087.37</v>
      </c>
    </row>
    <row r="440" spans="1:5">
      <c r="A440" s="578" t="s">
        <v>1975</v>
      </c>
      <c r="B440" s="578" t="s">
        <v>1976</v>
      </c>
      <c r="C440">
        <v>0</v>
      </c>
      <c r="D440" s="513">
        <v>7868.21</v>
      </c>
      <c r="E440">
        <f>VLOOKUP(A440,Ucto_HK_summ!$A$2:$D$963,4,FALSE)</f>
        <v>9274.19</v>
      </c>
    </row>
    <row r="441" spans="1:5">
      <c r="A441" s="578" t="s">
        <v>1977</v>
      </c>
      <c r="B441" s="578" t="s">
        <v>1978</v>
      </c>
      <c r="C441">
        <v>0</v>
      </c>
      <c r="D441" s="513">
        <v>1928.78</v>
      </c>
      <c r="E441">
        <f>VLOOKUP(A441,Ucto_HK_summ!$A$2:$D$963,4,FALSE)</f>
        <v>1693.11</v>
      </c>
    </row>
    <row r="442" spans="1:5">
      <c r="A442" s="578" t="s">
        <v>1979</v>
      </c>
      <c r="B442" s="578" t="s">
        <v>1980</v>
      </c>
      <c r="C442">
        <v>0</v>
      </c>
      <c r="D442" s="513">
        <v>32442.74</v>
      </c>
      <c r="E442">
        <f>VLOOKUP(A442,Ucto_HK_summ!$A$2:$D$963,4,FALSE)</f>
        <v>68622.899999999994</v>
      </c>
    </row>
    <row r="443" spans="1:5">
      <c r="A443" s="578" t="s">
        <v>1983</v>
      </c>
      <c r="B443" s="578" t="s">
        <v>1984</v>
      </c>
      <c r="C443">
        <v>0</v>
      </c>
      <c r="D443" s="550">
        <v>3108</v>
      </c>
      <c r="E443">
        <f>VLOOKUP(A443,Ucto_HK_summ!$A$2:$D$963,4,FALSE)</f>
        <v>0</v>
      </c>
    </row>
    <row r="444" spans="1:5">
      <c r="A444" s="578" t="s">
        <v>1985</v>
      </c>
      <c r="B444" s="578" t="s">
        <v>1986</v>
      </c>
      <c r="C444">
        <v>0</v>
      </c>
      <c r="D444" s="513">
        <v>30776.39</v>
      </c>
      <c r="E444">
        <f>VLOOKUP(A444,Ucto_HK_summ!$A$2:$D$963,4,FALSE)</f>
        <v>28308.78</v>
      </c>
    </row>
    <row r="445" spans="1:5">
      <c r="A445" s="578" t="s">
        <v>1987</v>
      </c>
      <c r="B445" s="578" t="s">
        <v>1988</v>
      </c>
      <c r="C445">
        <v>0</v>
      </c>
      <c r="D445" s="550">
        <v>1000</v>
      </c>
      <c r="E445">
        <f>VLOOKUP(A445,Ucto_HK_summ!$A$2:$D$963,4,FALSE)</f>
        <v>1000</v>
      </c>
    </row>
    <row r="446" spans="1:5">
      <c r="A446" s="578" t="s">
        <v>1989</v>
      </c>
      <c r="B446" s="578" t="s">
        <v>1990</v>
      </c>
      <c r="C446">
        <v>0</v>
      </c>
      <c r="D446" s="513">
        <v>19008.97</v>
      </c>
      <c r="E446">
        <f>VLOOKUP(A446,Ucto_HK_summ!$A$2:$D$963,4,FALSE)</f>
        <v>22049.86</v>
      </c>
    </row>
    <row r="447" spans="1:5">
      <c r="A447" s="578" t="s">
        <v>1991</v>
      </c>
      <c r="B447" s="578" t="s">
        <v>1992</v>
      </c>
      <c r="C447">
        <v>0</v>
      </c>
      <c r="D447" s="550">
        <v>1729</v>
      </c>
      <c r="E447">
        <f>VLOOKUP(A447,Ucto_HK_summ!$A$2:$D$963,4,FALSE)</f>
        <v>3511.74</v>
      </c>
    </row>
    <row r="448" spans="1:5">
      <c r="A448" s="578" t="s">
        <v>1993</v>
      </c>
      <c r="B448" s="578" t="s">
        <v>1994</v>
      </c>
      <c r="C448">
        <v>0</v>
      </c>
      <c r="D448">
        <v>386.57</v>
      </c>
      <c r="E448">
        <f>VLOOKUP(A448,Ucto_HK_summ!$A$2:$D$963,4,FALSE)</f>
        <v>569.14</v>
      </c>
    </row>
    <row r="449" spans="1:5">
      <c r="A449" s="578" t="s">
        <v>1995</v>
      </c>
      <c r="B449" s="578" t="s">
        <v>1996</v>
      </c>
      <c r="C449">
        <v>0</v>
      </c>
      <c r="D449">
        <v>7.08</v>
      </c>
      <c r="E449">
        <f>VLOOKUP(A449,Ucto_HK_summ!$A$2:$D$963,4,FALSE)</f>
        <v>53.99</v>
      </c>
    </row>
    <row r="450" spans="1:5">
      <c r="A450" s="578" t="s">
        <v>815</v>
      </c>
      <c r="C450">
        <v>0</v>
      </c>
      <c r="D450" s="513">
        <v>3189464.49</v>
      </c>
      <c r="E450">
        <f>VLOOKUP(A450,Ucto_HK_summ!$A$2:$D$963,4,FALSE)</f>
        <v>3060480.86</v>
      </c>
    </row>
    <row r="451" spans="1:5">
      <c r="A451" s="577" t="s">
        <v>1999</v>
      </c>
      <c r="C451" s="369">
        <v>0</v>
      </c>
      <c r="D451" s="579">
        <v>4841131.5999999996</v>
      </c>
      <c r="E451">
        <f>VLOOKUP(A451,Ucto_HK_summ!$A$2:$D$963,4,FALSE)</f>
        <v>4553965.6500000004</v>
      </c>
    </row>
    <row r="452" spans="1:5">
      <c r="E452" t="e">
        <f>VLOOKUP(A452,Ucto_HK_summ!$A$2:$D$963,4,FALSE)</f>
        <v>#N/A</v>
      </c>
    </row>
    <row r="453" spans="1:5">
      <c r="A453" s="578" t="s">
        <v>2000</v>
      </c>
      <c r="B453" s="578" t="s">
        <v>2001</v>
      </c>
      <c r="C453">
        <v>0</v>
      </c>
      <c r="D453" s="513">
        <v>18121404.41</v>
      </c>
      <c r="E453">
        <f>VLOOKUP(A453,Ucto_HK_summ!$A$2:$D$963,4,FALSE)</f>
        <v>17959986.390000001</v>
      </c>
    </row>
    <row r="454" spans="1:5">
      <c r="A454" s="578" t="s">
        <v>2002</v>
      </c>
      <c r="B454" s="578" t="s">
        <v>2003</v>
      </c>
      <c r="C454">
        <v>0</v>
      </c>
      <c r="D454" s="513">
        <v>7271780.2400000002</v>
      </c>
      <c r="E454">
        <f>VLOOKUP(A454,Ucto_HK_summ!$A$2:$D$963,4,FALSE)</f>
        <v>7100841.2300000004</v>
      </c>
    </row>
    <row r="455" spans="1:5">
      <c r="A455" s="578" t="s">
        <v>2004</v>
      </c>
      <c r="B455" s="578" t="s">
        <v>2005</v>
      </c>
      <c r="C455">
        <v>0</v>
      </c>
      <c r="D455" s="513">
        <v>5670449.46</v>
      </c>
      <c r="E455">
        <f>VLOOKUP(A455,Ucto_HK_summ!$A$2:$D$963,4,FALSE)</f>
        <v>5345022.54</v>
      </c>
    </row>
    <row r="456" spans="1:5">
      <c r="A456" s="578" t="s">
        <v>2006</v>
      </c>
      <c r="B456" s="578" t="s">
        <v>2007</v>
      </c>
      <c r="C456">
        <v>0</v>
      </c>
      <c r="D456" s="513">
        <v>17152200.59</v>
      </c>
      <c r="E456">
        <f>VLOOKUP(A456,Ucto_HK_summ!$A$2:$D$963,4,FALSE)</f>
        <v>16691167.869999999</v>
      </c>
    </row>
    <row r="457" spans="1:5">
      <c r="A457" s="578" t="s">
        <v>2010</v>
      </c>
      <c r="B457" s="578" t="s">
        <v>2011</v>
      </c>
      <c r="C457">
        <v>0</v>
      </c>
      <c r="D457" s="513">
        <v>7325.6</v>
      </c>
      <c r="E457">
        <f>VLOOKUP(A457,Ucto_HK_summ!$A$2:$D$963,4,FALSE)</f>
        <v>15120.38</v>
      </c>
    </row>
    <row r="458" spans="1:5">
      <c r="A458" s="578" t="s">
        <v>2012</v>
      </c>
      <c r="B458" s="578" t="s">
        <v>2013</v>
      </c>
      <c r="C458">
        <v>0</v>
      </c>
      <c r="D458" s="513">
        <v>168785.63</v>
      </c>
      <c r="E458">
        <f>VLOOKUP(A458,Ucto_HK_summ!$A$2:$D$963,4,FALSE)</f>
        <v>161171.99</v>
      </c>
    </row>
    <row r="459" spans="1:5">
      <c r="A459" s="578" t="s">
        <v>2014</v>
      </c>
      <c r="B459" s="578" t="s">
        <v>2015</v>
      </c>
      <c r="C459">
        <v>0</v>
      </c>
      <c r="D459" s="513">
        <v>5368.94</v>
      </c>
      <c r="E459">
        <f>VLOOKUP(A459,Ucto_HK_summ!$A$2:$D$963,4,FALSE)</f>
        <v>2998.5</v>
      </c>
    </row>
    <row r="460" spans="1:5">
      <c r="A460" s="578" t="s">
        <v>2016</v>
      </c>
      <c r="B460" s="578" t="s">
        <v>2017</v>
      </c>
      <c r="C460">
        <v>0</v>
      </c>
      <c r="D460" s="513">
        <v>913827.22</v>
      </c>
      <c r="E460">
        <f>VLOOKUP(A460,Ucto_HK_summ!$A$2:$D$963,4,FALSE)</f>
        <v>1000989.52</v>
      </c>
    </row>
    <row r="461" spans="1:5">
      <c r="A461" s="578" t="s">
        <v>817</v>
      </c>
      <c r="C461">
        <v>0</v>
      </c>
      <c r="D461" s="513">
        <v>49311142.090000004</v>
      </c>
      <c r="E461">
        <f>VLOOKUP(A461,Ucto_HK_summ!$A$2:$D$963,4,FALSE)</f>
        <v>48277298.420000002</v>
      </c>
    </row>
    <row r="462" spans="1:5">
      <c r="A462" s="578" t="s">
        <v>2018</v>
      </c>
      <c r="B462" s="578" t="s">
        <v>2019</v>
      </c>
      <c r="C462">
        <v>0</v>
      </c>
      <c r="D462" s="513">
        <v>1838527.72</v>
      </c>
      <c r="E462">
        <f>VLOOKUP(A462,Ucto_HK_summ!$A$2:$D$963,4,FALSE)</f>
        <v>1812276.82</v>
      </c>
    </row>
    <row r="463" spans="1:5">
      <c r="A463" s="578" t="s">
        <v>2020</v>
      </c>
      <c r="B463" s="578" t="s">
        <v>2021</v>
      </c>
      <c r="C463">
        <v>0</v>
      </c>
      <c r="D463" s="513">
        <v>718809.38</v>
      </c>
      <c r="E463">
        <f>VLOOKUP(A463,Ucto_HK_summ!$A$2:$D$963,4,FALSE)</f>
        <v>696482.79</v>
      </c>
    </row>
    <row r="464" spans="1:5">
      <c r="A464" s="578" t="s">
        <v>2022</v>
      </c>
      <c r="B464" s="578" t="s">
        <v>2023</v>
      </c>
      <c r="C464">
        <v>0</v>
      </c>
      <c r="D464" s="513">
        <v>560208.01</v>
      </c>
      <c r="E464">
        <f>VLOOKUP(A464,Ucto_HK_summ!$A$2:$D$963,4,FALSE)</f>
        <v>521289.92</v>
      </c>
    </row>
    <row r="465" spans="1:5">
      <c r="A465" s="578" t="s">
        <v>2024</v>
      </c>
      <c r="B465" s="578" t="s">
        <v>2025</v>
      </c>
      <c r="C465">
        <v>0</v>
      </c>
      <c r="D465" s="513">
        <v>1718765.3</v>
      </c>
      <c r="E465">
        <f>VLOOKUP(A465,Ucto_HK_summ!$A$2:$D$963,4,FALSE)</f>
        <v>1668773.42</v>
      </c>
    </row>
    <row r="466" spans="1:5">
      <c r="A466" s="578" t="s">
        <v>2028</v>
      </c>
      <c r="B466" s="578" t="s">
        <v>2029</v>
      </c>
      <c r="C466">
        <v>0</v>
      </c>
      <c r="D466" s="513">
        <v>259873.04</v>
      </c>
      <c r="E466">
        <f>VLOOKUP(A466,Ucto_HK_summ!$A$2:$D$963,4,FALSE)</f>
        <v>258908.03</v>
      </c>
    </row>
    <row r="467" spans="1:5">
      <c r="A467" s="578" t="s">
        <v>2030</v>
      </c>
      <c r="B467" s="578" t="s">
        <v>2031</v>
      </c>
      <c r="C467">
        <v>0</v>
      </c>
      <c r="D467" s="513">
        <v>103332.71</v>
      </c>
      <c r="E467">
        <f>VLOOKUP(A467,Ucto_HK_summ!$A$2:$D$963,4,FALSE)</f>
        <v>101158.83</v>
      </c>
    </row>
    <row r="468" spans="1:5">
      <c r="A468" s="578" t="s">
        <v>2032</v>
      </c>
      <c r="B468" s="578" t="s">
        <v>2033</v>
      </c>
      <c r="C468">
        <v>0</v>
      </c>
      <c r="D468" s="513">
        <v>80875.89</v>
      </c>
      <c r="E468">
        <f>VLOOKUP(A468,Ucto_HK_summ!$A$2:$D$963,4,FALSE)</f>
        <v>77995.03</v>
      </c>
    </row>
    <row r="469" spans="1:5">
      <c r="A469" s="578" t="s">
        <v>2034</v>
      </c>
      <c r="B469" s="578" t="s">
        <v>2035</v>
      </c>
      <c r="C469">
        <v>0</v>
      </c>
      <c r="D469" s="513">
        <v>243019.19</v>
      </c>
      <c r="E469">
        <f>VLOOKUP(A469,Ucto_HK_summ!$A$2:$D$963,4,FALSE)</f>
        <v>236508.46</v>
      </c>
    </row>
    <row r="470" spans="1:5">
      <c r="A470" s="578" t="s">
        <v>2038</v>
      </c>
      <c r="B470" s="578" t="s">
        <v>2039</v>
      </c>
      <c r="C470">
        <v>0</v>
      </c>
      <c r="D470" s="513">
        <v>2600048.09</v>
      </c>
      <c r="E470">
        <f>VLOOKUP(A470,Ucto_HK_summ!$A$2:$D$963,4,FALSE)</f>
        <v>2590795.64</v>
      </c>
    </row>
    <row r="471" spans="1:5">
      <c r="A471" s="578" t="s">
        <v>2040</v>
      </c>
      <c r="B471" s="578" t="s">
        <v>2041</v>
      </c>
      <c r="C471">
        <v>0</v>
      </c>
      <c r="D471" s="513">
        <v>1035069.68</v>
      </c>
      <c r="E471">
        <f>VLOOKUP(A471,Ucto_HK_summ!$A$2:$D$963,4,FALSE)</f>
        <v>1013942.67</v>
      </c>
    </row>
    <row r="472" spans="1:5">
      <c r="A472" s="578" t="s">
        <v>2042</v>
      </c>
      <c r="B472" s="578" t="s">
        <v>2043</v>
      </c>
      <c r="C472">
        <v>0</v>
      </c>
      <c r="D472" s="550">
        <v>806794</v>
      </c>
      <c r="E472">
        <f>VLOOKUP(A472,Ucto_HK_summ!$A$2:$D$963,4,FALSE)</f>
        <v>759920.29</v>
      </c>
    </row>
    <row r="473" spans="1:5">
      <c r="A473" s="578" t="s">
        <v>2044</v>
      </c>
      <c r="B473" s="578" t="s">
        <v>2045</v>
      </c>
      <c r="C473">
        <v>0</v>
      </c>
      <c r="D473" s="513">
        <v>2430902.5</v>
      </c>
      <c r="E473">
        <f>VLOOKUP(A473,Ucto_HK_summ!$A$2:$D$963,4,FALSE)</f>
        <v>2365509.06</v>
      </c>
    </row>
    <row r="474" spans="1:5">
      <c r="A474" s="578" t="s">
        <v>2048</v>
      </c>
      <c r="B474" s="578" t="s">
        <v>2049</v>
      </c>
      <c r="C474">
        <v>0</v>
      </c>
      <c r="D474" s="513">
        <v>167092.07999999999</v>
      </c>
      <c r="E474">
        <f>VLOOKUP(A474,Ucto_HK_summ!$A$2:$D$963,4,FALSE)</f>
        <v>166764.95000000001</v>
      </c>
    </row>
    <row r="475" spans="1:5">
      <c r="A475" s="578" t="s">
        <v>2050</v>
      </c>
      <c r="B475" s="578" t="s">
        <v>2051</v>
      </c>
      <c r="C475">
        <v>0</v>
      </c>
      <c r="D475" s="513">
        <v>69189.23</v>
      </c>
      <c r="E475">
        <f>VLOOKUP(A475,Ucto_HK_summ!$A$2:$D$963,4,FALSE)</f>
        <v>68374.63</v>
      </c>
    </row>
    <row r="476" spans="1:5">
      <c r="A476" s="578" t="s">
        <v>2052</v>
      </c>
      <c r="B476" s="578" t="s">
        <v>2053</v>
      </c>
      <c r="C476">
        <v>0</v>
      </c>
      <c r="D476" s="513">
        <v>51120.47</v>
      </c>
      <c r="E476">
        <f>VLOOKUP(A476,Ucto_HK_summ!$A$2:$D$963,4,FALSE)</f>
        <v>49125.919999999998</v>
      </c>
    </row>
    <row r="477" spans="1:5">
      <c r="A477" s="578" t="s">
        <v>2054</v>
      </c>
      <c r="B477" s="578" t="s">
        <v>2055</v>
      </c>
      <c r="C477">
        <v>0</v>
      </c>
      <c r="D477" s="513">
        <v>168425.26</v>
      </c>
      <c r="E477">
        <f>VLOOKUP(A477,Ucto_HK_summ!$A$2:$D$963,4,FALSE)</f>
        <v>164592.29</v>
      </c>
    </row>
    <row r="478" spans="1:5">
      <c r="A478" s="578" t="s">
        <v>2058</v>
      </c>
      <c r="B478" s="578" t="s">
        <v>2059</v>
      </c>
      <c r="C478">
        <v>0</v>
      </c>
      <c r="D478" s="513">
        <v>505240.06</v>
      </c>
      <c r="E478">
        <f>VLOOKUP(A478,Ucto_HK_summ!$A$2:$D$963,4,FALSE)</f>
        <v>504357.18</v>
      </c>
    </row>
    <row r="479" spans="1:5">
      <c r="A479" s="578" t="s">
        <v>2060</v>
      </c>
      <c r="B479" s="578" t="s">
        <v>2061</v>
      </c>
      <c r="C479">
        <v>0</v>
      </c>
      <c r="D479" s="513">
        <v>209196.03</v>
      </c>
      <c r="E479">
        <f>VLOOKUP(A479,Ucto_HK_summ!$A$2:$D$963,4,FALSE)</f>
        <v>207157.62</v>
      </c>
    </row>
    <row r="480" spans="1:5">
      <c r="A480" s="578" t="s">
        <v>2062</v>
      </c>
      <c r="B480" s="578" t="s">
        <v>2063</v>
      </c>
      <c r="C480">
        <v>0</v>
      </c>
      <c r="D480" s="513">
        <v>154837.91</v>
      </c>
      <c r="E480">
        <f>VLOOKUP(A480,Ucto_HK_summ!$A$2:$D$963,4,FALSE)</f>
        <v>148696.26999999999</v>
      </c>
    </row>
    <row r="481" spans="1:5">
      <c r="A481" s="578" t="s">
        <v>2064</v>
      </c>
      <c r="B481" s="578" t="s">
        <v>2065</v>
      </c>
      <c r="C481">
        <v>0</v>
      </c>
      <c r="D481" s="513">
        <v>506501.23</v>
      </c>
      <c r="E481">
        <f>VLOOKUP(A481,Ucto_HK_summ!$A$2:$D$963,4,FALSE)</f>
        <v>495076.69</v>
      </c>
    </row>
    <row r="482" spans="1:5">
      <c r="A482" s="578" t="s">
        <v>2068</v>
      </c>
      <c r="B482" s="578" t="s">
        <v>2069</v>
      </c>
      <c r="C482">
        <v>0</v>
      </c>
      <c r="D482" s="513">
        <v>148931.07999999999</v>
      </c>
      <c r="E482">
        <f>VLOOKUP(A482,Ucto_HK_summ!$A$2:$D$963,4,FALSE)</f>
        <v>148425.68</v>
      </c>
    </row>
    <row r="483" spans="1:5">
      <c r="A483" s="578" t="s">
        <v>2070</v>
      </c>
      <c r="B483" s="578" t="s">
        <v>2071</v>
      </c>
      <c r="C483">
        <v>0</v>
      </c>
      <c r="D483" s="513">
        <v>60572.53</v>
      </c>
      <c r="E483">
        <f>VLOOKUP(A483,Ucto_HK_summ!$A$2:$D$963,4,FALSE)</f>
        <v>59250.720000000001</v>
      </c>
    </row>
    <row r="484" spans="1:5">
      <c r="A484" s="578" t="s">
        <v>2072</v>
      </c>
      <c r="B484" s="578" t="s">
        <v>2073</v>
      </c>
      <c r="C484">
        <v>0</v>
      </c>
      <c r="D484" s="513">
        <v>46179.76</v>
      </c>
      <c r="E484">
        <f>VLOOKUP(A484,Ucto_HK_summ!$A$2:$D$963,4,FALSE)</f>
        <v>43671.8</v>
      </c>
    </row>
    <row r="485" spans="1:5">
      <c r="A485" s="578" t="s">
        <v>2074</v>
      </c>
      <c r="B485" s="578" t="s">
        <v>2075</v>
      </c>
      <c r="C485">
        <v>0</v>
      </c>
      <c r="D485" s="513">
        <v>139128.91</v>
      </c>
      <c r="E485">
        <f>VLOOKUP(A485,Ucto_HK_summ!$A$2:$D$963,4,FALSE)</f>
        <v>135614.29999999999</v>
      </c>
    </row>
    <row r="486" spans="1:5">
      <c r="A486" s="578" t="s">
        <v>2078</v>
      </c>
      <c r="B486" s="578" t="s">
        <v>2079</v>
      </c>
      <c r="C486">
        <v>0</v>
      </c>
      <c r="D486" s="513">
        <v>882121.68</v>
      </c>
      <c r="E486">
        <f>VLOOKUP(A486,Ucto_HK_summ!$A$2:$D$963,4,FALSE)</f>
        <v>878987.1</v>
      </c>
    </row>
    <row r="487" spans="1:5">
      <c r="A487" s="578" t="s">
        <v>2080</v>
      </c>
      <c r="B487" s="578" t="s">
        <v>2081</v>
      </c>
      <c r="C487">
        <v>0</v>
      </c>
      <c r="D487" s="513">
        <v>351160.31</v>
      </c>
      <c r="E487">
        <f>VLOOKUP(A487,Ucto_HK_summ!$A$2:$D$963,4,FALSE)</f>
        <v>343989.08</v>
      </c>
    </row>
    <row r="488" spans="1:5">
      <c r="A488" s="578" t="s">
        <v>2082</v>
      </c>
      <c r="B488" s="578" t="s">
        <v>2083</v>
      </c>
      <c r="C488">
        <v>0</v>
      </c>
      <c r="D488" s="513">
        <v>273358.38</v>
      </c>
      <c r="E488">
        <f>VLOOKUP(A488,Ucto_HK_summ!$A$2:$D$963,4,FALSE)</f>
        <v>257781.44</v>
      </c>
    </row>
    <row r="489" spans="1:5">
      <c r="A489" s="578" t="s">
        <v>2084</v>
      </c>
      <c r="B489" s="578" t="s">
        <v>2085</v>
      </c>
      <c r="C489">
        <v>0</v>
      </c>
      <c r="D489" s="513">
        <v>824719.43</v>
      </c>
      <c r="E489">
        <f>VLOOKUP(A489,Ucto_HK_summ!$A$2:$D$963,4,FALSE)</f>
        <v>802530.28</v>
      </c>
    </row>
    <row r="490" spans="1:5">
      <c r="A490" s="578" t="s">
        <v>2088</v>
      </c>
      <c r="B490" s="578" t="s">
        <v>2089</v>
      </c>
      <c r="C490">
        <v>0</v>
      </c>
      <c r="D490" s="550">
        <v>89692</v>
      </c>
      <c r="E490">
        <f>VLOOKUP(A490,Ucto_HK_summ!$A$2:$D$963,4,FALSE)</f>
        <v>98126.36</v>
      </c>
    </row>
    <row r="491" spans="1:5">
      <c r="A491" s="578" t="s">
        <v>2090</v>
      </c>
      <c r="B491" s="578" t="s">
        <v>2091</v>
      </c>
      <c r="C491">
        <v>0</v>
      </c>
      <c r="D491" s="513">
        <v>12945.94</v>
      </c>
      <c r="E491">
        <f>VLOOKUP(A491,Ucto_HK_summ!$A$2:$D$963,4,FALSE)</f>
        <v>14182.32</v>
      </c>
    </row>
    <row r="492" spans="1:5">
      <c r="A492" s="578" t="s">
        <v>2092</v>
      </c>
      <c r="B492" s="578" t="s">
        <v>2093</v>
      </c>
      <c r="C492">
        <v>0</v>
      </c>
      <c r="D492" s="513">
        <v>128967.08</v>
      </c>
      <c r="E492">
        <f>VLOOKUP(A492,Ucto_HK_summ!$A$2:$D$963,4,FALSE)</f>
        <v>142021</v>
      </c>
    </row>
    <row r="493" spans="1:5">
      <c r="A493" s="578" t="s">
        <v>2094</v>
      </c>
      <c r="B493" s="578" t="s">
        <v>2095</v>
      </c>
      <c r="C493">
        <v>0</v>
      </c>
      <c r="D493" s="513">
        <v>8034.66</v>
      </c>
      <c r="E493">
        <f>VLOOKUP(A493,Ucto_HK_summ!$A$2:$D$963,4,FALSE)</f>
        <v>8882.44</v>
      </c>
    </row>
    <row r="494" spans="1:5">
      <c r="A494" s="578" t="s">
        <v>2096</v>
      </c>
      <c r="B494" s="578" t="s">
        <v>2097</v>
      </c>
      <c r="C494">
        <v>0</v>
      </c>
      <c r="D494" s="513">
        <v>24257.01</v>
      </c>
      <c r="E494">
        <f>VLOOKUP(A494,Ucto_HK_summ!$A$2:$D$963,4,FALSE)</f>
        <v>26852.65</v>
      </c>
    </row>
    <row r="495" spans="1:5">
      <c r="A495" s="578" t="s">
        <v>2098</v>
      </c>
      <c r="B495" s="578" t="s">
        <v>2099</v>
      </c>
      <c r="C495">
        <v>0</v>
      </c>
      <c r="D495" s="513">
        <v>7421.81</v>
      </c>
      <c r="E495">
        <f>VLOOKUP(A495,Ucto_HK_summ!$A$2:$D$963,4,FALSE)</f>
        <v>8162.77</v>
      </c>
    </row>
    <row r="496" spans="1:5">
      <c r="A496" s="578" t="s">
        <v>2100</v>
      </c>
      <c r="B496" s="578" t="s">
        <v>2101</v>
      </c>
      <c r="C496">
        <v>0</v>
      </c>
      <c r="D496" s="513">
        <v>44220.52</v>
      </c>
      <c r="E496">
        <f>VLOOKUP(A496,Ucto_HK_summ!$A$2:$D$963,4,FALSE)</f>
        <v>48196.35</v>
      </c>
    </row>
    <row r="497" spans="1:5">
      <c r="A497" s="578" t="s">
        <v>818</v>
      </c>
      <c r="C497">
        <v>0</v>
      </c>
      <c r="D497" s="513">
        <v>17269538.879999999</v>
      </c>
      <c r="E497">
        <f>VLOOKUP(A497,Ucto_HK_summ!$A$2:$D$963,4,FALSE)</f>
        <v>16924380.800000001</v>
      </c>
    </row>
    <row r="498" spans="1:5">
      <c r="A498" s="578" t="s">
        <v>2102</v>
      </c>
      <c r="B498" s="578" t="s">
        <v>2103</v>
      </c>
      <c r="C498">
        <v>0</v>
      </c>
      <c r="D498" s="513">
        <v>99223.25</v>
      </c>
      <c r="E498">
        <f>VLOOKUP(A498,Ucto_HK_summ!$A$2:$D$963,4,FALSE)</f>
        <v>95463.77</v>
      </c>
    </row>
    <row r="499" spans="1:5">
      <c r="A499" s="578" t="s">
        <v>2104</v>
      </c>
      <c r="B499" s="578" t="s">
        <v>2105</v>
      </c>
      <c r="C499">
        <v>0</v>
      </c>
      <c r="D499" s="550">
        <v>84901</v>
      </c>
      <c r="E499">
        <f>VLOOKUP(A499,Ucto_HK_summ!$A$2:$D$963,4,FALSE)</f>
        <v>83500.23</v>
      </c>
    </row>
    <row r="500" spans="1:5">
      <c r="A500" s="578" t="s">
        <v>2106</v>
      </c>
      <c r="B500" s="578" t="s">
        <v>2107</v>
      </c>
      <c r="C500">
        <v>0</v>
      </c>
      <c r="D500" s="513">
        <v>59217.97</v>
      </c>
      <c r="E500">
        <f>VLOOKUP(A500,Ucto_HK_summ!$A$2:$D$963,4,FALSE)</f>
        <v>54636.05</v>
      </c>
    </row>
    <row r="501" spans="1:5">
      <c r="A501" s="578" t="s">
        <v>2108</v>
      </c>
      <c r="B501" s="578" t="s">
        <v>2109</v>
      </c>
      <c r="C501">
        <v>0</v>
      </c>
      <c r="D501" s="513">
        <v>154167.09</v>
      </c>
      <c r="E501">
        <f>VLOOKUP(A501,Ucto_HK_summ!$A$2:$D$963,4,FALSE)</f>
        <v>146382.28</v>
      </c>
    </row>
    <row r="502" spans="1:5">
      <c r="A502" s="578" t="s">
        <v>2112</v>
      </c>
      <c r="B502" s="578" t="s">
        <v>2113</v>
      </c>
      <c r="C502">
        <v>0</v>
      </c>
      <c r="D502" s="513">
        <v>9934.24</v>
      </c>
      <c r="E502">
        <f>VLOOKUP(A502,Ucto_HK_summ!$A$2:$D$963,4,FALSE)</f>
        <v>10497.01</v>
      </c>
    </row>
    <row r="503" spans="1:5">
      <c r="A503" s="578" t="s">
        <v>820</v>
      </c>
      <c r="C503">
        <v>0</v>
      </c>
      <c r="D503" s="513">
        <v>407443.55</v>
      </c>
      <c r="E503">
        <f>VLOOKUP(A503,Ucto_HK_summ!$A$2:$D$963,4,FALSE)</f>
        <v>390479.34</v>
      </c>
    </row>
    <row r="504" spans="1:5">
      <c r="A504" s="578" t="s">
        <v>2114</v>
      </c>
      <c r="B504" s="578" t="s">
        <v>2115</v>
      </c>
      <c r="C504">
        <v>0</v>
      </c>
      <c r="D504" s="513">
        <v>208906.39</v>
      </c>
      <c r="E504">
        <f>VLOOKUP(A504,Ucto_HK_summ!$A$2:$D$963,4,FALSE)</f>
        <v>206182.9</v>
      </c>
    </row>
    <row r="505" spans="1:5">
      <c r="A505" s="578" t="s">
        <v>2116</v>
      </c>
      <c r="B505" s="578" t="s">
        <v>2117</v>
      </c>
      <c r="C505">
        <v>0</v>
      </c>
      <c r="D505" s="513">
        <v>93006.399999999994</v>
      </c>
      <c r="E505">
        <f>VLOOKUP(A505,Ucto_HK_summ!$A$2:$D$963,4,FALSE)</f>
        <v>89171.68</v>
      </c>
    </row>
    <row r="506" spans="1:5">
      <c r="A506" s="578" t="s">
        <v>2118</v>
      </c>
      <c r="B506" s="578" t="s">
        <v>2119</v>
      </c>
      <c r="C506">
        <v>0</v>
      </c>
      <c r="D506" s="513">
        <v>84824.55</v>
      </c>
      <c r="E506">
        <f>VLOOKUP(A506,Ucto_HK_summ!$A$2:$D$963,4,FALSE)</f>
        <v>80306.320000000007</v>
      </c>
    </row>
    <row r="507" spans="1:5">
      <c r="A507" s="578" t="s">
        <v>2120</v>
      </c>
      <c r="B507" s="578" t="s">
        <v>2121</v>
      </c>
      <c r="C507">
        <v>0</v>
      </c>
      <c r="D507" s="513">
        <v>220953.32</v>
      </c>
      <c r="E507">
        <f>VLOOKUP(A507,Ucto_HK_summ!$A$2:$D$963,4,FALSE)</f>
        <v>210789.57</v>
      </c>
    </row>
    <row r="508" spans="1:5">
      <c r="A508" s="578" t="s">
        <v>2124</v>
      </c>
      <c r="B508" s="578" t="s">
        <v>2125</v>
      </c>
      <c r="C508">
        <v>0</v>
      </c>
      <c r="D508" s="513">
        <v>74102.61</v>
      </c>
      <c r="E508">
        <f>VLOOKUP(A508,Ucto_HK_summ!$A$2:$D$963,4,FALSE)</f>
        <v>72638.22</v>
      </c>
    </row>
    <row r="509" spans="1:5">
      <c r="A509" s="578" t="s">
        <v>2126</v>
      </c>
      <c r="B509" s="578" t="s">
        <v>2127</v>
      </c>
      <c r="C509">
        <v>0</v>
      </c>
      <c r="D509" s="513">
        <v>78027.61</v>
      </c>
      <c r="E509">
        <f>VLOOKUP(A509,Ucto_HK_summ!$A$2:$D$963,4,FALSE)</f>
        <v>76247.72</v>
      </c>
    </row>
    <row r="510" spans="1:5">
      <c r="A510" s="578" t="s">
        <v>2128</v>
      </c>
      <c r="B510" s="578" t="s">
        <v>2129</v>
      </c>
      <c r="C510">
        <v>0</v>
      </c>
      <c r="D510" s="513">
        <v>90642.95</v>
      </c>
      <c r="E510">
        <f>VLOOKUP(A510,Ucto_HK_summ!$A$2:$D$963,4,FALSE)</f>
        <v>90861.4</v>
      </c>
    </row>
    <row r="511" spans="1:5">
      <c r="A511" s="578" t="s">
        <v>2130</v>
      </c>
      <c r="B511" s="578" t="s">
        <v>2131</v>
      </c>
      <c r="C511">
        <v>0</v>
      </c>
      <c r="D511" s="513">
        <v>130513.72</v>
      </c>
      <c r="E511">
        <f>VLOOKUP(A511,Ucto_HK_summ!$A$2:$D$963,4,FALSE)</f>
        <v>120955.66</v>
      </c>
    </row>
    <row r="512" spans="1:5">
      <c r="A512" s="578" t="s">
        <v>2134</v>
      </c>
      <c r="B512" s="578" t="s">
        <v>2135</v>
      </c>
      <c r="C512">
        <v>0</v>
      </c>
      <c r="D512" s="513">
        <v>8135.91</v>
      </c>
      <c r="E512">
        <f>VLOOKUP(A512,Ucto_HK_summ!$A$2:$D$963,4,FALSE)</f>
        <v>17735.740000000002</v>
      </c>
    </row>
    <row r="513" spans="1:5">
      <c r="A513" s="578" t="s">
        <v>2136</v>
      </c>
      <c r="B513" s="578" t="s">
        <v>2137</v>
      </c>
      <c r="C513">
        <v>0</v>
      </c>
      <c r="D513" s="513">
        <v>3794.84</v>
      </c>
      <c r="E513">
        <f>VLOOKUP(A513,Ucto_HK_summ!$A$2:$D$963,4,FALSE)</f>
        <v>5998.69</v>
      </c>
    </row>
    <row r="514" spans="1:5">
      <c r="A514" s="578" t="s">
        <v>2138</v>
      </c>
      <c r="B514" s="578" t="s">
        <v>2139</v>
      </c>
      <c r="C514">
        <v>0</v>
      </c>
      <c r="D514" s="513">
        <v>4226.22</v>
      </c>
      <c r="E514">
        <f>VLOOKUP(A514,Ucto_HK_summ!$A$2:$D$963,4,FALSE)</f>
        <v>8423.08</v>
      </c>
    </row>
    <row r="515" spans="1:5">
      <c r="A515" s="578" t="s">
        <v>2140</v>
      </c>
      <c r="B515" s="578" t="s">
        <v>2141</v>
      </c>
      <c r="C515">
        <v>0</v>
      </c>
      <c r="D515" s="513">
        <v>34259.230000000003</v>
      </c>
      <c r="E515">
        <f>VLOOKUP(A515,Ucto_HK_summ!$A$2:$D$963,4,FALSE)</f>
        <v>25549.54</v>
      </c>
    </row>
    <row r="516" spans="1:5">
      <c r="A516" s="578" t="s">
        <v>2142</v>
      </c>
      <c r="B516" s="578" t="s">
        <v>2143</v>
      </c>
      <c r="C516">
        <v>0</v>
      </c>
      <c r="D516" s="513">
        <v>19802.55</v>
      </c>
      <c r="E516">
        <f>VLOOKUP(A516,Ucto_HK_summ!$A$2:$D$963,4,FALSE)</f>
        <v>21068.58</v>
      </c>
    </row>
    <row r="517" spans="1:5">
      <c r="A517" s="578" t="s">
        <v>2144</v>
      </c>
      <c r="B517" s="578" t="s">
        <v>2145</v>
      </c>
      <c r="C517">
        <v>0</v>
      </c>
      <c r="D517" s="513">
        <v>17658.46</v>
      </c>
      <c r="E517">
        <f>VLOOKUP(A517,Ucto_HK_summ!$A$2:$D$963,4,FALSE)</f>
        <v>22546.46</v>
      </c>
    </row>
    <row r="518" spans="1:5">
      <c r="A518" s="578" t="s">
        <v>2146</v>
      </c>
      <c r="B518" s="578" t="s">
        <v>2147</v>
      </c>
      <c r="C518">
        <v>0</v>
      </c>
      <c r="D518" s="513">
        <v>17949.939999999999</v>
      </c>
      <c r="E518">
        <f>VLOOKUP(A518,Ucto_HK_summ!$A$2:$D$963,4,FALSE)</f>
        <v>27791.35</v>
      </c>
    </row>
    <row r="519" spans="1:5">
      <c r="A519" s="578" t="s">
        <v>2148</v>
      </c>
      <c r="B519" s="578" t="s">
        <v>2149</v>
      </c>
      <c r="C519">
        <v>0</v>
      </c>
      <c r="D519" s="513">
        <v>36740.800000000003</v>
      </c>
      <c r="E519">
        <f>VLOOKUP(A519,Ucto_HK_summ!$A$2:$D$963,4,FALSE)</f>
        <v>35849.71</v>
      </c>
    </row>
    <row r="520" spans="1:5">
      <c r="A520" s="578" t="s">
        <v>2150</v>
      </c>
      <c r="B520" s="578" t="s">
        <v>2151</v>
      </c>
      <c r="C520">
        <v>0</v>
      </c>
      <c r="D520" s="513">
        <v>42438.03</v>
      </c>
      <c r="E520">
        <f>VLOOKUP(A520,Ucto_HK_summ!$A$2:$D$963,4,FALSE)</f>
        <v>36801.97</v>
      </c>
    </row>
    <row r="521" spans="1:5">
      <c r="A521" s="578" t="s">
        <v>2152</v>
      </c>
      <c r="B521" s="578" t="s">
        <v>2153</v>
      </c>
      <c r="C521">
        <v>0</v>
      </c>
      <c r="D521" s="513">
        <v>21905.599999999999</v>
      </c>
      <c r="E521">
        <f>VLOOKUP(A521,Ucto_HK_summ!$A$2:$D$963,4,FALSE)</f>
        <v>20531.34</v>
      </c>
    </row>
    <row r="522" spans="1:5">
      <c r="A522" s="578" t="s">
        <v>2154</v>
      </c>
      <c r="B522" s="578" t="s">
        <v>2155</v>
      </c>
      <c r="C522">
        <v>0</v>
      </c>
      <c r="D522" s="513">
        <v>80069.289999999994</v>
      </c>
      <c r="E522">
        <f>VLOOKUP(A522,Ucto_HK_summ!$A$2:$D$963,4,FALSE)</f>
        <v>69216.12</v>
      </c>
    </row>
    <row r="523" spans="1:5">
      <c r="A523" s="578" t="s">
        <v>2158</v>
      </c>
      <c r="B523" s="578" t="s">
        <v>2159</v>
      </c>
      <c r="C523">
        <v>0</v>
      </c>
      <c r="D523" s="513">
        <v>13219.29</v>
      </c>
      <c r="E523">
        <f>VLOOKUP(A523,Ucto_HK_summ!$A$2:$D$963,4,FALSE)</f>
        <v>4208.96</v>
      </c>
    </row>
    <row r="524" spans="1:5">
      <c r="A524" s="578" t="s">
        <v>2160</v>
      </c>
      <c r="B524" s="578" t="s">
        <v>2161</v>
      </c>
      <c r="C524">
        <v>0</v>
      </c>
      <c r="D524" s="513">
        <v>11071.58</v>
      </c>
      <c r="E524">
        <f>VLOOKUP(A524,Ucto_HK_summ!$A$2:$D$963,4,FALSE)</f>
        <v>5069.8100000000004</v>
      </c>
    </row>
    <row r="525" spans="1:5">
      <c r="A525" s="578" t="s">
        <v>2162</v>
      </c>
      <c r="B525" s="578" t="s">
        <v>2163</v>
      </c>
      <c r="C525">
        <v>0</v>
      </c>
      <c r="D525" s="513">
        <v>14489.23</v>
      </c>
      <c r="E525">
        <f>VLOOKUP(A525,Ucto_HK_summ!$A$2:$D$963,4,FALSE)</f>
        <v>3322.42</v>
      </c>
    </row>
    <row r="526" spans="1:5">
      <c r="A526" s="578" t="s">
        <v>2164</v>
      </c>
      <c r="B526" s="578" t="s">
        <v>2165</v>
      </c>
      <c r="C526">
        <v>0</v>
      </c>
      <c r="D526" s="513">
        <v>19855.53</v>
      </c>
      <c r="E526">
        <f>VLOOKUP(A526,Ucto_HK_summ!$A$2:$D$963,4,FALSE)</f>
        <v>6647.19</v>
      </c>
    </row>
    <row r="527" spans="1:5">
      <c r="A527" s="578" t="s">
        <v>2176</v>
      </c>
      <c r="B527" s="578" t="s">
        <v>2177</v>
      </c>
      <c r="C527">
        <v>0</v>
      </c>
      <c r="D527" s="513">
        <v>14675.75</v>
      </c>
      <c r="E527">
        <f>VLOOKUP(A527,Ucto_HK_summ!$A$2:$D$963,4,FALSE)</f>
        <v>12843.86</v>
      </c>
    </row>
    <row r="528" spans="1:5">
      <c r="A528" s="578" t="s">
        <v>2180</v>
      </c>
      <c r="B528" s="578" t="s">
        <v>2181</v>
      </c>
      <c r="C528">
        <v>0</v>
      </c>
      <c r="D528" s="550">
        <v>1120</v>
      </c>
      <c r="E528">
        <f>VLOOKUP(A528,Ucto_HK_summ!$A$2:$D$963,4,FALSE)</f>
        <v>846</v>
      </c>
    </row>
    <row r="529" spans="1:5">
      <c r="A529" s="578" t="s">
        <v>2182</v>
      </c>
      <c r="B529" s="578" t="s">
        <v>2183</v>
      </c>
      <c r="C529">
        <v>0</v>
      </c>
      <c r="D529" s="550">
        <v>4589</v>
      </c>
      <c r="E529">
        <f>VLOOKUP(A529,Ucto_HK_summ!$A$2:$D$963,4,FALSE)</f>
        <v>4830</v>
      </c>
    </row>
    <row r="530" spans="1:5">
      <c r="A530" s="578" t="s">
        <v>2184</v>
      </c>
      <c r="B530" s="578" t="s">
        <v>2185</v>
      </c>
      <c r="C530">
        <v>0</v>
      </c>
      <c r="D530" s="513">
        <v>3257.88</v>
      </c>
      <c r="E530">
        <f>VLOOKUP(A530,Ucto_HK_summ!$A$2:$D$963,4,FALSE)</f>
        <v>3379.4</v>
      </c>
    </row>
    <row r="531" spans="1:5">
      <c r="A531" s="578" t="s">
        <v>822</v>
      </c>
      <c r="C531">
        <v>0</v>
      </c>
      <c r="D531" s="513">
        <v>1350236.68</v>
      </c>
      <c r="E531">
        <f>VLOOKUP(A531,Ucto_HK_summ!$A$2:$D$963,4,FALSE)</f>
        <v>1279813.69</v>
      </c>
    </row>
    <row r="532" spans="1:5">
      <c r="A532" s="577" t="s">
        <v>2188</v>
      </c>
      <c r="C532" s="369">
        <v>0</v>
      </c>
      <c r="D532" s="579">
        <v>68338361.200000003</v>
      </c>
      <c r="E532">
        <f>VLOOKUP(A532,Ucto_HK_summ!$A$2:$D$963,4,FALSE)</f>
        <v>66871972.25</v>
      </c>
    </row>
    <row r="533" spans="1:5">
      <c r="E533" t="e">
        <f>VLOOKUP(A533,Ucto_HK_summ!$A$2:$D$963,4,FALSE)</f>
        <v>#N/A</v>
      </c>
    </row>
    <row r="534" spans="1:5">
      <c r="A534" s="578" t="s">
        <v>2189</v>
      </c>
      <c r="B534" s="578" t="s">
        <v>235</v>
      </c>
      <c r="C534">
        <v>0</v>
      </c>
      <c r="D534" s="513">
        <v>3082.74</v>
      </c>
      <c r="E534">
        <f>VLOOKUP(A534,Ucto_HK_summ!$A$2:$D$963,4,FALSE)</f>
        <v>3113.83</v>
      </c>
    </row>
    <row r="535" spans="1:5">
      <c r="A535" s="578" t="s">
        <v>825</v>
      </c>
      <c r="C535">
        <v>0</v>
      </c>
      <c r="D535" s="513">
        <v>3082.74</v>
      </c>
      <c r="E535">
        <f>VLOOKUP(A535,Ucto_HK_summ!$A$2:$D$963,4,FALSE)</f>
        <v>3113.83</v>
      </c>
    </row>
    <row r="536" spans="1:5">
      <c r="A536" s="578" t="s">
        <v>2190</v>
      </c>
      <c r="B536" s="578" t="s">
        <v>827</v>
      </c>
      <c r="C536">
        <v>0</v>
      </c>
      <c r="D536" s="513">
        <v>181324.77</v>
      </c>
      <c r="E536">
        <f>VLOOKUP(A536,Ucto_HK_summ!$A$2:$D$963,4,FALSE)</f>
        <v>182410.09</v>
      </c>
    </row>
    <row r="537" spans="1:5">
      <c r="A537" s="578" t="s">
        <v>826</v>
      </c>
      <c r="C537">
        <v>0</v>
      </c>
      <c r="D537" s="513">
        <v>181324.77</v>
      </c>
      <c r="E537">
        <f>VLOOKUP(A537,Ucto_HK_summ!$A$2:$D$963,4,FALSE)</f>
        <v>182410.09</v>
      </c>
    </row>
    <row r="538" spans="1:5">
      <c r="A538" s="578" t="s">
        <v>2193</v>
      </c>
      <c r="B538" s="578" t="s">
        <v>2194</v>
      </c>
      <c r="C538">
        <v>0</v>
      </c>
      <c r="D538" s="513">
        <v>11630.79</v>
      </c>
      <c r="E538">
        <f>VLOOKUP(A538,Ucto_HK_summ!$A$2:$D$963,4,FALSE)</f>
        <v>11786.3</v>
      </c>
    </row>
    <row r="539" spans="1:5">
      <c r="A539" s="578" t="s">
        <v>828</v>
      </c>
      <c r="C539">
        <v>0</v>
      </c>
      <c r="D539" s="513">
        <v>11630.79</v>
      </c>
      <c r="E539">
        <f>VLOOKUP(A539,Ucto_HK_summ!$A$2:$D$963,4,FALSE)</f>
        <v>11786.3</v>
      </c>
    </row>
    <row r="540" spans="1:5">
      <c r="A540" s="577" t="s">
        <v>2195</v>
      </c>
      <c r="C540" s="369">
        <v>0</v>
      </c>
      <c r="D540" s="579">
        <v>196038.3</v>
      </c>
      <c r="E540">
        <f>VLOOKUP(A540,Ucto_HK_summ!$A$2:$D$963,4,FALSE)</f>
        <v>197310.22</v>
      </c>
    </row>
    <row r="541" spans="1:5">
      <c r="E541" t="e">
        <f>VLOOKUP(A541,Ucto_HK_summ!$A$2:$D$963,4,FALSE)</f>
        <v>#N/A</v>
      </c>
    </row>
    <row r="542" spans="1:5">
      <c r="A542" s="578" t="s">
        <v>2198</v>
      </c>
      <c r="B542" s="578" t="s">
        <v>833</v>
      </c>
      <c r="C542">
        <v>0</v>
      </c>
      <c r="D542" s="513">
        <v>2138.1</v>
      </c>
      <c r="E542">
        <f>VLOOKUP(A542,Ucto_HK_summ!$A$2:$D$963,4,FALSE)</f>
        <v>2021</v>
      </c>
    </row>
    <row r="543" spans="1:5">
      <c r="A543" s="578" t="s">
        <v>832</v>
      </c>
      <c r="C543">
        <v>0</v>
      </c>
      <c r="D543" s="513">
        <v>2138.1</v>
      </c>
      <c r="E543">
        <f>VLOOKUP(A543,Ucto_HK_summ!$A$2:$D$963,4,FALSE)</f>
        <v>2021</v>
      </c>
    </row>
    <row r="544" spans="1:5">
      <c r="A544" s="578" t="s">
        <v>2679</v>
      </c>
      <c r="B544" s="578" t="s">
        <v>2478</v>
      </c>
      <c r="C544">
        <v>0</v>
      </c>
      <c r="D544" s="550">
        <v>100396</v>
      </c>
      <c r="E544">
        <f>VLOOKUP(A544,Ucto_HK_summ!$A$2:$D$963,4,FALSE)</f>
        <v>49122.1</v>
      </c>
    </row>
    <row r="545" spans="1:5">
      <c r="A545" s="578" t="s">
        <v>2199</v>
      </c>
      <c r="B545" s="578" t="s">
        <v>2200</v>
      </c>
      <c r="C545">
        <v>0</v>
      </c>
      <c r="D545">
        <v>240</v>
      </c>
      <c r="E545">
        <f>VLOOKUP(A545,Ucto_HK_summ!$A$2:$D$963,4,FALSE)</f>
        <v>30</v>
      </c>
    </row>
    <row r="546" spans="1:5">
      <c r="A546" s="578" t="s">
        <v>834</v>
      </c>
      <c r="C546">
        <v>0</v>
      </c>
      <c r="D546" s="550">
        <v>100636</v>
      </c>
      <c r="E546">
        <f>VLOOKUP(A546,Ucto_HK_summ!$A$2:$D$963,4,FALSE)</f>
        <v>49152.1</v>
      </c>
    </row>
    <row r="547" spans="1:5">
      <c r="A547" s="578" t="s">
        <v>2203</v>
      </c>
      <c r="B547" s="578" t="s">
        <v>2204</v>
      </c>
      <c r="C547">
        <v>0</v>
      </c>
      <c r="D547" s="513">
        <v>2434917.29</v>
      </c>
      <c r="E547">
        <f>VLOOKUP(A547,Ucto_HK_summ!$A$2:$D$963,4,FALSE)</f>
        <v>200000</v>
      </c>
    </row>
    <row r="548" spans="1:5">
      <c r="A548" s="578" t="s">
        <v>2205</v>
      </c>
      <c r="B548" s="578" t="s">
        <v>2206</v>
      </c>
      <c r="C548">
        <v>0</v>
      </c>
      <c r="D548" s="513">
        <v>108796.88</v>
      </c>
      <c r="E548">
        <f>VLOOKUP(A548,Ucto_HK_summ!$A$2:$D$963,4,FALSE)</f>
        <v>12535.89</v>
      </c>
    </row>
    <row r="549" spans="1:5">
      <c r="A549" s="578" t="s">
        <v>2207</v>
      </c>
      <c r="B549" s="578" t="s">
        <v>2208</v>
      </c>
      <c r="C549">
        <v>0</v>
      </c>
      <c r="D549" s="513">
        <v>3524.4</v>
      </c>
      <c r="E549">
        <f>VLOOKUP(A549,Ucto_HK_summ!$A$2:$D$963,4,FALSE)</f>
        <v>13154</v>
      </c>
    </row>
    <row r="550" spans="1:5">
      <c r="A550" s="578" t="s">
        <v>836</v>
      </c>
      <c r="C550">
        <v>0</v>
      </c>
      <c r="D550" s="513">
        <v>2547238.5699999998</v>
      </c>
      <c r="E550">
        <f>VLOOKUP(A550,Ucto_HK_summ!$A$2:$D$963,4,FALSE)</f>
        <v>225689.89</v>
      </c>
    </row>
    <row r="551" spans="1:5">
      <c r="A551" s="578" t="s">
        <v>2209</v>
      </c>
      <c r="B551" s="578" t="s">
        <v>243</v>
      </c>
      <c r="C551">
        <v>0</v>
      </c>
      <c r="D551">
        <v>728.95</v>
      </c>
      <c r="E551">
        <f>VLOOKUP(A551,Ucto_HK_summ!$A$2:$D$963,4,FALSE)</f>
        <v>4212.8900000000003</v>
      </c>
    </row>
    <row r="552" spans="1:5">
      <c r="A552" s="578" t="s">
        <v>838</v>
      </c>
      <c r="C552">
        <v>0</v>
      </c>
      <c r="D552">
        <v>728.95</v>
      </c>
      <c r="E552">
        <f>VLOOKUP(A552,Ucto_HK_summ!$A$2:$D$963,4,FALSE)</f>
        <v>4212.8900000000003</v>
      </c>
    </row>
    <row r="553" spans="1:5">
      <c r="A553" s="578" t="s">
        <v>2210</v>
      </c>
      <c r="B553" s="578" t="s">
        <v>2211</v>
      </c>
      <c r="C553">
        <v>0</v>
      </c>
      <c r="D553" s="513">
        <v>1688873.43</v>
      </c>
      <c r="E553">
        <f>VLOOKUP(A553,Ucto_HK_summ!$A$2:$D$963,4,FALSE)</f>
        <v>1591328.6</v>
      </c>
    </row>
    <row r="554" spans="1:5">
      <c r="A554" s="578" t="s">
        <v>2212</v>
      </c>
      <c r="B554" s="578" t="s">
        <v>2213</v>
      </c>
      <c r="C554">
        <v>0</v>
      </c>
      <c r="D554" s="550">
        <v>1000</v>
      </c>
      <c r="E554">
        <f>VLOOKUP(A554,Ucto_HK_summ!$A$2:$D$963,4,FALSE)</f>
        <v>1000</v>
      </c>
    </row>
    <row r="555" spans="1:5">
      <c r="A555" s="578" t="s">
        <v>2214</v>
      </c>
      <c r="B555" s="578" t="s">
        <v>2215</v>
      </c>
      <c r="C555">
        <v>0</v>
      </c>
      <c r="D555">
        <v>194.34</v>
      </c>
      <c r="E555">
        <f>VLOOKUP(A555,Ucto_HK_summ!$A$2:$D$963,4,FALSE)</f>
        <v>149.79</v>
      </c>
    </row>
    <row r="556" spans="1:5">
      <c r="A556" s="578" t="s">
        <v>2216</v>
      </c>
      <c r="B556" s="578" t="s">
        <v>2217</v>
      </c>
      <c r="C556">
        <v>0</v>
      </c>
      <c r="D556" s="513">
        <v>5509.14</v>
      </c>
      <c r="E556">
        <f>VLOOKUP(A556,Ucto_HK_summ!$A$2:$D$963,4,FALSE)</f>
        <v>44233.45</v>
      </c>
    </row>
    <row r="557" spans="1:5">
      <c r="A557" s="578" t="s">
        <v>2218</v>
      </c>
      <c r="B557" s="578" t="s">
        <v>244</v>
      </c>
      <c r="C557">
        <v>0</v>
      </c>
      <c r="D557">
        <v>456.23</v>
      </c>
      <c r="E557">
        <f>VLOOKUP(A557,Ucto_HK_summ!$A$2:$D$963,4,FALSE)</f>
        <v>196.85</v>
      </c>
    </row>
    <row r="558" spans="1:5">
      <c r="A558" s="578" t="s">
        <v>2219</v>
      </c>
      <c r="B558" s="578" t="s">
        <v>2220</v>
      </c>
      <c r="C558">
        <v>0</v>
      </c>
      <c r="D558" s="513">
        <v>20595.02</v>
      </c>
      <c r="E558">
        <f>VLOOKUP(A558,Ucto_HK_summ!$A$2:$D$963,4,FALSE)</f>
        <v>29635.93</v>
      </c>
    </row>
    <row r="559" spans="1:5">
      <c r="A559" s="578" t="s">
        <v>839</v>
      </c>
      <c r="C559">
        <v>0</v>
      </c>
      <c r="D559" s="513">
        <v>1716628.16</v>
      </c>
      <c r="E559">
        <f>VLOOKUP(A559,Ucto_HK_summ!$A$2:$D$963,4,FALSE)</f>
        <v>1682474.62</v>
      </c>
    </row>
    <row r="560" spans="1:5">
      <c r="A560" s="578" t="s">
        <v>2223</v>
      </c>
      <c r="B560" s="578" t="s">
        <v>842</v>
      </c>
      <c r="C560">
        <v>0</v>
      </c>
      <c r="D560" s="513">
        <v>17269.97</v>
      </c>
      <c r="E560">
        <f>VLOOKUP(A560,Ucto_HK_summ!$A$2:$D$963,4,FALSE)</f>
        <v>19348.150000000001</v>
      </c>
    </row>
    <row r="561" spans="1:5">
      <c r="A561" s="578" t="s">
        <v>841</v>
      </c>
      <c r="C561">
        <v>0</v>
      </c>
      <c r="D561" s="513">
        <v>17269.97</v>
      </c>
      <c r="E561">
        <f>VLOOKUP(A561,Ucto_HK_summ!$A$2:$D$963,4,FALSE)</f>
        <v>19348.150000000001</v>
      </c>
    </row>
    <row r="562" spans="1:5">
      <c r="A562" s="577" t="s">
        <v>2226</v>
      </c>
      <c r="C562" s="369">
        <v>0</v>
      </c>
      <c r="D562" s="579">
        <v>4384639.75</v>
      </c>
      <c r="E562">
        <f>VLOOKUP(A562,Ucto_HK_summ!$A$2:$D$963,4,FALSE)</f>
        <v>1982898.65</v>
      </c>
    </row>
    <row r="563" spans="1:5">
      <c r="E563" t="e">
        <f>VLOOKUP(A563,Ucto_HK_summ!$A$2:$D$963,4,FALSE)</f>
        <v>#N/A</v>
      </c>
    </row>
    <row r="564" spans="1:5">
      <c r="A564" s="578" t="s">
        <v>2227</v>
      </c>
      <c r="B564" s="578" t="s">
        <v>2228</v>
      </c>
      <c r="C564">
        <v>0</v>
      </c>
      <c r="D564" s="513">
        <v>26017.56</v>
      </c>
      <c r="E564">
        <f>VLOOKUP(A564,Ucto_HK_summ!$A$2:$D$963,4,FALSE)</f>
        <v>20659.55</v>
      </c>
    </row>
    <row r="565" spans="1:5">
      <c r="A565" s="578" t="s">
        <v>2229</v>
      </c>
      <c r="B565" s="578" t="s">
        <v>2230</v>
      </c>
      <c r="C565">
        <v>0</v>
      </c>
      <c r="D565" s="513">
        <v>2353.7399999999998</v>
      </c>
      <c r="E565">
        <f>VLOOKUP(A565,Ucto_HK_summ!$A$2:$D$963,4,FALSE)</f>
        <v>967.72</v>
      </c>
    </row>
    <row r="566" spans="1:5">
      <c r="A566" s="578" t="s">
        <v>2231</v>
      </c>
      <c r="B566" s="578" t="s">
        <v>2232</v>
      </c>
      <c r="C566">
        <v>0</v>
      </c>
      <c r="D566" s="513">
        <v>1542724.15</v>
      </c>
      <c r="E566">
        <f>VLOOKUP(A566,Ucto_HK_summ!$A$2:$D$963,4,FALSE)</f>
        <v>1437275.58</v>
      </c>
    </row>
    <row r="567" spans="1:5">
      <c r="A567" s="578" t="s">
        <v>2233</v>
      </c>
      <c r="B567" s="578" t="s">
        <v>2234</v>
      </c>
      <c r="C567">
        <v>0</v>
      </c>
      <c r="D567" s="513">
        <v>71898.59</v>
      </c>
      <c r="E567">
        <f>VLOOKUP(A567,Ucto_HK_summ!$A$2:$D$963,4,FALSE)</f>
        <v>72397.61</v>
      </c>
    </row>
    <row r="568" spans="1:5">
      <c r="A568" s="578" t="s">
        <v>2235</v>
      </c>
      <c r="B568" s="578" t="s">
        <v>2236</v>
      </c>
      <c r="C568">
        <v>0</v>
      </c>
      <c r="D568" s="513">
        <v>1587378.12</v>
      </c>
      <c r="E568">
        <f>VLOOKUP(A568,Ucto_HK_summ!$A$2:$D$963,4,FALSE)</f>
        <v>1605611.52</v>
      </c>
    </row>
    <row r="569" spans="1:5">
      <c r="A569" s="578" t="s">
        <v>844</v>
      </c>
      <c r="C569">
        <v>0</v>
      </c>
      <c r="D569" s="513">
        <v>3230372.16</v>
      </c>
      <c r="E569">
        <f>VLOOKUP(A569,Ucto_HK_summ!$A$2:$D$963,4,FALSE)</f>
        <v>3137294.2</v>
      </c>
    </row>
    <row r="570" spans="1:5">
      <c r="A570" s="578" t="s">
        <v>2237</v>
      </c>
      <c r="B570" s="578" t="s">
        <v>2238</v>
      </c>
      <c r="C570">
        <v>0</v>
      </c>
      <c r="D570" s="513">
        <v>20631.599999999999</v>
      </c>
      <c r="E570">
        <f>VLOOKUP(A570,Ucto_HK_summ!$A$2:$D$963,4,FALSE)</f>
        <v>18014</v>
      </c>
    </row>
    <row r="571" spans="1:5">
      <c r="A571" s="578" t="s">
        <v>847</v>
      </c>
      <c r="C571">
        <v>0</v>
      </c>
      <c r="D571" s="513">
        <v>20631.599999999999</v>
      </c>
      <c r="E571">
        <f>VLOOKUP(A571,Ucto_HK_summ!$A$2:$D$963,4,FALSE)</f>
        <v>18014</v>
      </c>
    </row>
    <row r="572" spans="1:5">
      <c r="A572" s="578" t="s">
        <v>2239</v>
      </c>
      <c r="B572" s="578" t="s">
        <v>2240</v>
      </c>
      <c r="C572">
        <v>0</v>
      </c>
      <c r="D572" s="550">
        <v>2705700</v>
      </c>
      <c r="E572">
        <f>VLOOKUP(A572,Ucto_HK_summ!$A$2:$D$963,4,FALSE)</f>
        <v>1068922.94</v>
      </c>
    </row>
    <row r="573" spans="1:5">
      <c r="A573" s="578" t="s">
        <v>849</v>
      </c>
      <c r="C573">
        <v>0</v>
      </c>
      <c r="D573" s="550">
        <v>2705700</v>
      </c>
      <c r="E573">
        <f>VLOOKUP(A573,Ucto_HK_summ!$A$2:$D$963,4,FALSE)</f>
        <v>1068922.94</v>
      </c>
    </row>
    <row r="574" spans="1:5">
      <c r="A574" s="578" t="s">
        <v>2241</v>
      </c>
      <c r="B574" s="578" t="s">
        <v>2242</v>
      </c>
      <c r="C574">
        <v>0</v>
      </c>
      <c r="D574" s="513">
        <v>116680.79</v>
      </c>
      <c r="E574">
        <f>VLOOKUP(A574,Ucto_HK_summ!$A$2:$D$963,4,FALSE)</f>
        <v>1266747.73</v>
      </c>
    </row>
    <row r="575" spans="1:5">
      <c r="A575" s="578" t="s">
        <v>853</v>
      </c>
      <c r="C575">
        <v>0</v>
      </c>
      <c r="D575" s="513">
        <v>116680.79</v>
      </c>
      <c r="E575">
        <f>VLOOKUP(A575,Ucto_HK_summ!$A$2:$D$963,4,FALSE)</f>
        <v>1266747.73</v>
      </c>
    </row>
    <row r="576" spans="1:5">
      <c r="A576" s="577" t="s">
        <v>2243</v>
      </c>
      <c r="C576" s="369">
        <v>0</v>
      </c>
      <c r="D576" s="579">
        <v>6073384.5499999998</v>
      </c>
      <c r="E576">
        <f>VLOOKUP(A576,Ucto_HK_summ!$A$2:$D$963,4,FALSE)</f>
        <v>5490978.8700000001</v>
      </c>
    </row>
    <row r="577" spans="1:5">
      <c r="E577" t="e">
        <f>VLOOKUP(A577,Ucto_HK_summ!$A$2:$D$963,4,FALSE)</f>
        <v>#N/A</v>
      </c>
    </row>
    <row r="578" spans="1:5">
      <c r="A578" s="578" t="s">
        <v>2245</v>
      </c>
      <c r="B578" s="578" t="s">
        <v>2246</v>
      </c>
      <c r="C578">
        <v>0</v>
      </c>
      <c r="D578">
        <v>0.17</v>
      </c>
      <c r="E578">
        <f>VLOOKUP(A578,Ucto_HK_summ!$A$2:$D$963,4,FALSE)</f>
        <v>63.95</v>
      </c>
    </row>
    <row r="579" spans="1:5">
      <c r="A579" s="578" t="s">
        <v>866</v>
      </c>
      <c r="C579">
        <v>0</v>
      </c>
      <c r="D579">
        <v>0.17</v>
      </c>
      <c r="E579">
        <f>VLOOKUP(A579,Ucto_HK_summ!$A$2:$D$963,4,FALSE)</f>
        <v>109.68</v>
      </c>
    </row>
    <row r="580" spans="1:5">
      <c r="A580" s="578" t="s">
        <v>2247</v>
      </c>
      <c r="B580" s="578" t="s">
        <v>245</v>
      </c>
      <c r="C580">
        <v>0</v>
      </c>
      <c r="D580">
        <v>974.73</v>
      </c>
      <c r="E580">
        <f>VLOOKUP(A580,Ucto_HK_summ!$A$2:$D$963,4,FALSE)</f>
        <v>438.12</v>
      </c>
    </row>
    <row r="581" spans="1:5">
      <c r="A581" s="578" t="s">
        <v>2248</v>
      </c>
      <c r="B581" s="578" t="s">
        <v>2249</v>
      </c>
      <c r="C581">
        <v>0</v>
      </c>
      <c r="D581" s="513">
        <v>3471.49</v>
      </c>
      <c r="E581">
        <f>VLOOKUP(A581,Ucto_HK_summ!$A$2:$D$963,4,FALSE)</f>
        <v>3637.6</v>
      </c>
    </row>
    <row r="582" spans="1:5">
      <c r="A582" s="578" t="s">
        <v>2250</v>
      </c>
      <c r="B582" s="578" t="s">
        <v>2251</v>
      </c>
      <c r="C582">
        <v>0</v>
      </c>
      <c r="D582" s="513">
        <v>101469.85</v>
      </c>
      <c r="E582">
        <f>VLOOKUP(A582,Ucto_HK_summ!$A$2:$D$963,4,FALSE)</f>
        <v>99934.02</v>
      </c>
    </row>
    <row r="583" spans="1:5">
      <c r="A583" s="578" t="s">
        <v>873</v>
      </c>
      <c r="C583">
        <v>0</v>
      </c>
      <c r="D583" s="513">
        <v>105916.07</v>
      </c>
      <c r="E583">
        <f>VLOOKUP(A583,Ucto_HK_summ!$A$2:$D$963,4,FALSE)</f>
        <v>104009.74</v>
      </c>
    </row>
    <row r="584" spans="1:5">
      <c r="A584" s="577" t="s">
        <v>2258</v>
      </c>
      <c r="C584" s="369">
        <v>0</v>
      </c>
      <c r="D584" s="579">
        <v>105916.24</v>
      </c>
      <c r="E584">
        <f>VLOOKUP(A584,Ucto_HK_summ!$A$2:$D$963,4,FALSE)</f>
        <v>104119.42</v>
      </c>
    </row>
    <row r="585" spans="1:5">
      <c r="E585" t="e">
        <f>VLOOKUP(A585,Ucto_HK_summ!$A$2:$D$963,4,FALSE)</f>
        <v>#N/A</v>
      </c>
    </row>
    <row r="586" spans="1:5">
      <c r="A586" s="578" t="s">
        <v>2681</v>
      </c>
      <c r="B586" s="578" t="s">
        <v>224</v>
      </c>
      <c r="C586">
        <v>0</v>
      </c>
      <c r="D586" s="513">
        <v>1413.76</v>
      </c>
      <c r="E586">
        <f>VLOOKUP(A586,Ucto_HK_summ!$A$2:$D$963,4,FALSE)</f>
        <v>5567.62</v>
      </c>
    </row>
    <row r="587" spans="1:5">
      <c r="A587" s="578" t="s">
        <v>2262</v>
      </c>
      <c r="B587" s="578" t="s">
        <v>1581</v>
      </c>
      <c r="C587">
        <v>0</v>
      </c>
      <c r="D587" s="513">
        <v>2849.03</v>
      </c>
      <c r="E587">
        <f>VLOOKUP(A587,Ucto_HK_summ!$A$2:$D$963,4,FALSE)</f>
        <v>2349.3200000000002</v>
      </c>
    </row>
    <row r="588" spans="1:5">
      <c r="A588" s="578" t="s">
        <v>2263</v>
      </c>
      <c r="B588" s="578" t="s">
        <v>2264</v>
      </c>
      <c r="C588">
        <v>0</v>
      </c>
      <c r="D588" s="513">
        <v>3879.92</v>
      </c>
      <c r="E588">
        <f>VLOOKUP(A588,Ucto_HK_summ!$A$2:$D$963,4,FALSE)</f>
        <v>304</v>
      </c>
    </row>
    <row r="589" spans="1:5">
      <c r="A589" s="578" t="s">
        <v>1028</v>
      </c>
      <c r="C589">
        <v>0</v>
      </c>
      <c r="D589" s="513">
        <v>8142.71</v>
      </c>
      <c r="E589">
        <f>VLOOKUP(A589,Ucto_HK_summ!$A$2:$D$963,4,FALSE)</f>
        <v>8220.94</v>
      </c>
    </row>
    <row r="590" spans="1:5">
      <c r="A590" s="577" t="s">
        <v>2265</v>
      </c>
      <c r="C590" s="369">
        <v>0</v>
      </c>
      <c r="D590" s="579">
        <v>8142.71</v>
      </c>
      <c r="E590">
        <f>VLOOKUP(A590,Ucto_HK_summ!$A$2:$D$963,4,FALSE)</f>
        <v>8220.94</v>
      </c>
    </row>
    <row r="591" spans="1:5">
      <c r="E591" t="e">
        <f>VLOOKUP(A591,Ucto_HK_summ!$A$2:$D$963,4,FALSE)</f>
        <v>#N/A</v>
      </c>
    </row>
    <row r="592" spans="1:5">
      <c r="A592" s="577" t="s">
        <v>2266</v>
      </c>
      <c r="C592" s="369">
        <v>0</v>
      </c>
      <c r="D592" s="579">
        <v>123785226.37</v>
      </c>
      <c r="E592">
        <f>VLOOKUP(A592,Ucto_HK_summ!$A$2:$D$963,4,FALSE)</f>
        <v>116410339.17</v>
      </c>
    </row>
    <row r="593" spans="1:5">
      <c r="E593" t="e">
        <f>VLOOKUP(A593,Ucto_HK_summ!$A$2:$D$963,4,FALSE)</f>
        <v>#N/A</v>
      </c>
    </row>
    <row r="594" spans="1:5">
      <c r="E594" t="e">
        <f>VLOOKUP(A594,Ucto_HK_summ!$A$2:$D$963,4,FALSE)</f>
        <v>#N/A</v>
      </c>
    </row>
    <row r="595" spans="1:5">
      <c r="A595" s="578" t="s">
        <v>2267</v>
      </c>
      <c r="B595" s="578" t="s">
        <v>2268</v>
      </c>
      <c r="C595">
        <v>0</v>
      </c>
      <c r="D595" s="513">
        <v>-33282353.68</v>
      </c>
      <c r="E595">
        <f>VLOOKUP(A595,Ucto_HK_summ!$A$2:$D$963,4,FALSE)</f>
        <v>-30957629.879999999</v>
      </c>
    </row>
    <row r="596" spans="1:5">
      <c r="A596" s="578" t="s">
        <v>2713</v>
      </c>
      <c r="B596" s="578" t="s">
        <v>2714</v>
      </c>
      <c r="C596">
        <v>0</v>
      </c>
      <c r="D596" s="513">
        <v>-341199.01</v>
      </c>
      <c r="E596">
        <f>VLOOKUP(A596,Ucto_HK_summ!$A$2:$D$963,4,FALSE)</f>
        <v>-437040</v>
      </c>
    </row>
    <row r="597" spans="1:5">
      <c r="A597" s="578" t="s">
        <v>2715</v>
      </c>
      <c r="B597" s="578" t="s">
        <v>2716</v>
      </c>
      <c r="C597">
        <v>0</v>
      </c>
      <c r="D597" s="513">
        <v>-150163.14000000001</v>
      </c>
      <c r="E597">
        <f>VLOOKUP(A597,Ucto_HK_summ!$A$2:$D$963,4,FALSE)</f>
        <v>-314863.21999999997</v>
      </c>
    </row>
    <row r="598" spans="1:5">
      <c r="A598" s="578" t="s">
        <v>2269</v>
      </c>
      <c r="B598" s="578" t="s">
        <v>2270</v>
      </c>
      <c r="C598">
        <v>0</v>
      </c>
      <c r="D598" s="513">
        <v>-1864028.69</v>
      </c>
      <c r="E598">
        <f>VLOOKUP(A598,Ucto_HK_summ!$A$2:$D$963,4,FALSE)</f>
        <v>-1828014.88</v>
      </c>
    </row>
    <row r="599" spans="1:5">
      <c r="A599" s="578" t="s">
        <v>2271</v>
      </c>
      <c r="B599" s="578" t="s">
        <v>2272</v>
      </c>
      <c r="C599">
        <v>0</v>
      </c>
      <c r="D599" s="513">
        <v>-3094735.47</v>
      </c>
      <c r="E599">
        <f>VLOOKUP(A599,Ucto_HK_summ!$A$2:$D$963,4,FALSE)</f>
        <v>-2964782.17</v>
      </c>
    </row>
    <row r="600" spans="1:5">
      <c r="A600" s="578" t="s">
        <v>2273</v>
      </c>
      <c r="B600" s="578" t="s">
        <v>2274</v>
      </c>
      <c r="C600">
        <v>0</v>
      </c>
      <c r="D600" s="513">
        <v>-150740.42000000001</v>
      </c>
      <c r="E600">
        <f>VLOOKUP(A600,Ucto_HK_summ!$A$2:$D$963,4,FALSE)</f>
        <v>-116383.77</v>
      </c>
    </row>
    <row r="601" spans="1:5">
      <c r="A601" s="578" t="s">
        <v>2275</v>
      </c>
      <c r="B601" s="578" t="s">
        <v>2276</v>
      </c>
      <c r="C601">
        <v>0</v>
      </c>
      <c r="D601" s="513">
        <v>-139472.49</v>
      </c>
      <c r="E601">
        <f>VLOOKUP(A601,Ucto_HK_summ!$A$2:$D$963,4,FALSE)</f>
        <v>-189052.26</v>
      </c>
    </row>
    <row r="602" spans="1:5">
      <c r="A602" s="578" t="s">
        <v>2277</v>
      </c>
      <c r="B602" s="578" t="s">
        <v>2278</v>
      </c>
      <c r="C602">
        <v>0</v>
      </c>
      <c r="D602" s="513">
        <v>-430084.23</v>
      </c>
      <c r="E602">
        <f>VLOOKUP(A602,Ucto_HK_summ!$A$2:$D$963,4,FALSE)</f>
        <v>-432958.02</v>
      </c>
    </row>
    <row r="603" spans="1:5">
      <c r="A603" s="578" t="s">
        <v>2717</v>
      </c>
      <c r="B603" s="578" t="s">
        <v>2718</v>
      </c>
      <c r="C603">
        <v>0</v>
      </c>
      <c r="D603" s="513">
        <v>-5916.91</v>
      </c>
      <c r="E603">
        <f>VLOOKUP(A603,Ucto_HK_summ!$A$2:$D$963,4,FALSE)</f>
        <v>-30347.56</v>
      </c>
    </row>
    <row r="604" spans="1:5">
      <c r="A604" s="578" t="s">
        <v>2719</v>
      </c>
      <c r="B604" s="578" t="s">
        <v>2720</v>
      </c>
      <c r="C604">
        <v>0</v>
      </c>
      <c r="D604" s="513">
        <v>-33663.24</v>
      </c>
      <c r="E604">
        <f>VLOOKUP(A604,Ucto_HK_summ!$A$2:$D$963,4,FALSE)</f>
        <v>-101688.13</v>
      </c>
    </row>
    <row r="605" spans="1:5">
      <c r="A605" s="578" t="s">
        <v>2279</v>
      </c>
      <c r="B605" s="578" t="s">
        <v>2280</v>
      </c>
      <c r="C605">
        <v>0</v>
      </c>
      <c r="D605" s="513">
        <v>-8152495.1799999997</v>
      </c>
      <c r="E605">
        <f>VLOOKUP(A605,Ucto_HK_summ!$A$2:$D$963,4,FALSE)</f>
        <v>-6680628.5099999998</v>
      </c>
    </row>
    <row r="606" spans="1:5">
      <c r="A606" s="578" t="s">
        <v>2281</v>
      </c>
      <c r="B606" s="578" t="s">
        <v>2282</v>
      </c>
      <c r="C606">
        <v>0</v>
      </c>
      <c r="D606" s="513">
        <v>-310279.93</v>
      </c>
      <c r="E606">
        <f>VLOOKUP(A606,Ucto_HK_summ!$A$2:$D$963,4,FALSE)</f>
        <v>-184816.21</v>
      </c>
    </row>
    <row r="607" spans="1:5">
      <c r="A607" s="578" t="s">
        <v>2283</v>
      </c>
      <c r="B607" s="578" t="s">
        <v>2284</v>
      </c>
      <c r="C607">
        <v>0</v>
      </c>
      <c r="D607" s="513">
        <v>-1121538.1200000001</v>
      </c>
      <c r="E607">
        <f>VLOOKUP(A607,Ucto_HK_summ!$A$2:$D$963,4,FALSE)</f>
        <v>-1028005.82</v>
      </c>
    </row>
    <row r="608" spans="1:5">
      <c r="A608" s="578" t="s">
        <v>2285</v>
      </c>
      <c r="B608" s="578" t="s">
        <v>2286</v>
      </c>
      <c r="C608">
        <v>0</v>
      </c>
      <c r="D608" s="513">
        <v>-277624.78000000003</v>
      </c>
      <c r="E608">
        <f>VLOOKUP(A608,Ucto_HK_summ!$A$2:$D$963,4,FALSE)</f>
        <v>-248712.17</v>
      </c>
    </row>
    <row r="609" spans="1:5">
      <c r="A609" s="578" t="s">
        <v>2287</v>
      </c>
      <c r="B609" s="578" t="s">
        <v>2288</v>
      </c>
      <c r="C609">
        <v>0</v>
      </c>
      <c r="D609" s="513">
        <v>-73840.240000000005</v>
      </c>
      <c r="E609">
        <f>VLOOKUP(A609,Ucto_HK_summ!$A$2:$D$963,4,FALSE)</f>
        <v>-38454.129999999997</v>
      </c>
    </row>
    <row r="610" spans="1:5">
      <c r="A610" s="578" t="s">
        <v>2289</v>
      </c>
      <c r="B610" s="578" t="s">
        <v>2290</v>
      </c>
      <c r="C610">
        <v>0</v>
      </c>
      <c r="D610" s="513">
        <v>-724805.74</v>
      </c>
      <c r="E610">
        <f>VLOOKUP(A610,Ucto_HK_summ!$A$2:$D$963,4,FALSE)</f>
        <v>-444460.11</v>
      </c>
    </row>
    <row r="611" spans="1:5">
      <c r="A611" s="578" t="s">
        <v>2291</v>
      </c>
      <c r="B611" s="578" t="s">
        <v>2292</v>
      </c>
      <c r="C611">
        <v>0</v>
      </c>
      <c r="D611" s="513">
        <v>-2099946.6800000002</v>
      </c>
      <c r="E611">
        <f>VLOOKUP(A611,Ucto_HK_summ!$A$2:$D$963,4,FALSE)</f>
        <v>-1748356.27</v>
      </c>
    </row>
    <row r="612" spans="1:5">
      <c r="A612" s="578" t="s">
        <v>2293</v>
      </c>
      <c r="B612" s="578" t="s">
        <v>2294</v>
      </c>
      <c r="C612">
        <v>0</v>
      </c>
      <c r="D612" s="513">
        <v>-680348.8</v>
      </c>
      <c r="E612">
        <f>VLOOKUP(A612,Ucto_HK_summ!$A$2:$D$963,4,FALSE)</f>
        <v>-271476.53999999998</v>
      </c>
    </row>
    <row r="613" spans="1:5">
      <c r="A613" s="578" t="s">
        <v>2295</v>
      </c>
      <c r="B613" s="578" t="s">
        <v>2296</v>
      </c>
      <c r="C613">
        <v>0</v>
      </c>
      <c r="D613" s="513">
        <v>-4244861.59</v>
      </c>
      <c r="E613">
        <f>VLOOKUP(A613,Ucto_HK_summ!$A$2:$D$963,4,FALSE)</f>
        <v>-4485348.45</v>
      </c>
    </row>
    <row r="614" spans="1:5">
      <c r="A614" s="578" t="s">
        <v>2297</v>
      </c>
      <c r="B614" s="578" t="s">
        <v>2298</v>
      </c>
      <c r="C614">
        <v>0</v>
      </c>
      <c r="D614" s="513">
        <v>-137632.01</v>
      </c>
      <c r="E614">
        <f>VLOOKUP(A614,Ucto_HK_summ!$A$2:$D$963,4,FALSE)</f>
        <v>-130682.83</v>
      </c>
    </row>
    <row r="615" spans="1:5">
      <c r="A615" s="578" t="s">
        <v>2299</v>
      </c>
      <c r="B615" s="578" t="s">
        <v>2300</v>
      </c>
      <c r="C615">
        <v>0</v>
      </c>
      <c r="D615" s="513">
        <v>-132031.66</v>
      </c>
      <c r="E615">
        <f>VLOOKUP(A615,Ucto_HK_summ!$A$2:$D$963,4,FALSE)</f>
        <v>-99372.25</v>
      </c>
    </row>
    <row r="616" spans="1:5">
      <c r="A616" s="578" t="s">
        <v>2301</v>
      </c>
      <c r="B616" s="578" t="s">
        <v>2302</v>
      </c>
      <c r="C616">
        <v>0</v>
      </c>
      <c r="D616" s="513">
        <v>-927675.82</v>
      </c>
      <c r="E616">
        <f>VLOOKUP(A616,Ucto_HK_summ!$A$2:$D$963,4,FALSE)</f>
        <v>-1110286.52</v>
      </c>
    </row>
    <row r="617" spans="1:5">
      <c r="A617" s="578" t="s">
        <v>2303</v>
      </c>
      <c r="B617" s="578" t="s">
        <v>2304</v>
      </c>
      <c r="C617">
        <v>0</v>
      </c>
      <c r="D617" s="513">
        <v>-17846.7</v>
      </c>
      <c r="E617">
        <f>VLOOKUP(A617,Ucto_HK_summ!$A$2:$D$963,4,FALSE)</f>
        <v>-15097.93</v>
      </c>
    </row>
    <row r="618" spans="1:5">
      <c r="A618" s="578" t="s">
        <v>2305</v>
      </c>
      <c r="B618" s="578" t="s">
        <v>2306</v>
      </c>
      <c r="C618">
        <v>0</v>
      </c>
      <c r="D618" s="513">
        <v>-16695751.029999999</v>
      </c>
      <c r="E618">
        <f>VLOOKUP(A618,Ucto_HK_summ!$A$2:$D$963,4,FALSE)</f>
        <v>-14942325.49</v>
      </c>
    </row>
    <row r="619" spans="1:5">
      <c r="A619" s="578" t="s">
        <v>2721</v>
      </c>
      <c r="B619" s="578" t="s">
        <v>2722</v>
      </c>
      <c r="C619">
        <v>0</v>
      </c>
      <c r="D619" s="513">
        <v>-1148.5</v>
      </c>
      <c r="E619">
        <f>VLOOKUP(A619,Ucto_HK_summ!$A$2:$D$963,4,FALSE)</f>
        <v>-421820.62</v>
      </c>
    </row>
    <row r="620" spans="1:5">
      <c r="A620" s="578" t="s">
        <v>2307</v>
      </c>
      <c r="B620" s="578" t="s">
        <v>2308</v>
      </c>
      <c r="C620">
        <v>0</v>
      </c>
      <c r="D620" s="513">
        <v>-4259.58</v>
      </c>
      <c r="E620">
        <f>VLOOKUP(A620,Ucto_HK_summ!$A$2:$D$963,4,FALSE)</f>
        <v>0</v>
      </c>
    </row>
    <row r="621" spans="1:5">
      <c r="A621" s="578" t="s">
        <v>2309</v>
      </c>
      <c r="B621" s="578" t="s">
        <v>2310</v>
      </c>
      <c r="C621">
        <v>0</v>
      </c>
      <c r="D621" s="513">
        <v>-1608200.97</v>
      </c>
      <c r="E621">
        <f>VLOOKUP(A621,Ucto_HK_summ!$A$2:$D$963,4,FALSE)</f>
        <v>-1518066.62</v>
      </c>
    </row>
    <row r="622" spans="1:5">
      <c r="A622" s="578" t="s">
        <v>2311</v>
      </c>
      <c r="B622" s="578" t="s">
        <v>2312</v>
      </c>
      <c r="C622">
        <v>0</v>
      </c>
      <c r="D622" s="513">
        <v>-4274.34</v>
      </c>
      <c r="E622">
        <f>VLOOKUP(A622,Ucto_HK_summ!$A$2:$D$963,4,FALSE)</f>
        <v>0</v>
      </c>
    </row>
    <row r="623" spans="1:5">
      <c r="A623" s="578" t="s">
        <v>2313</v>
      </c>
      <c r="B623" s="578" t="s">
        <v>2314</v>
      </c>
      <c r="C623">
        <v>0</v>
      </c>
      <c r="D623" s="513">
        <v>-48498.39</v>
      </c>
      <c r="E623">
        <f>VLOOKUP(A623,Ucto_HK_summ!$A$2:$D$963,4,FALSE)</f>
        <v>-72799.59</v>
      </c>
    </row>
    <row r="624" spans="1:5">
      <c r="A624" s="578" t="s">
        <v>2315</v>
      </c>
      <c r="B624" s="578" t="s">
        <v>2316</v>
      </c>
      <c r="C624">
        <v>0</v>
      </c>
      <c r="D624" s="513">
        <v>-223618.49</v>
      </c>
      <c r="E624">
        <f>VLOOKUP(A624,Ucto_HK_summ!$A$2:$D$963,4,FALSE)</f>
        <v>-193368.84</v>
      </c>
    </row>
    <row r="625" spans="1:5">
      <c r="A625" s="578" t="s">
        <v>2723</v>
      </c>
      <c r="B625" s="578" t="s">
        <v>2724</v>
      </c>
      <c r="C625">
        <v>0</v>
      </c>
      <c r="D625" s="513">
        <v>-11038.53</v>
      </c>
      <c r="E625">
        <f>VLOOKUP(A625,Ucto_HK_summ!$A$2:$D$963,4,FALSE)</f>
        <v>-30372.74</v>
      </c>
    </row>
    <row r="626" spans="1:5">
      <c r="A626" s="578" t="s">
        <v>2725</v>
      </c>
      <c r="B626" s="578" t="s">
        <v>2726</v>
      </c>
      <c r="C626">
        <v>0</v>
      </c>
      <c r="D626" s="513">
        <v>-3668.29</v>
      </c>
      <c r="E626">
        <f>VLOOKUP(A626,Ucto_HK_summ!$A$2:$D$963,4,FALSE)</f>
        <v>-8902.6200000000008</v>
      </c>
    </row>
    <row r="627" spans="1:5">
      <c r="A627" s="578" t="s">
        <v>2317</v>
      </c>
      <c r="B627" s="578" t="s">
        <v>2318</v>
      </c>
      <c r="C627">
        <v>0</v>
      </c>
      <c r="D627" s="513">
        <v>-2933945.47</v>
      </c>
      <c r="E627">
        <f>VLOOKUP(A627,Ucto_HK_summ!$A$2:$D$963,4,FALSE)</f>
        <v>-3250376.18</v>
      </c>
    </row>
    <row r="628" spans="1:5">
      <c r="A628" s="578" t="s">
        <v>2319</v>
      </c>
      <c r="B628" s="578" t="s">
        <v>2320</v>
      </c>
      <c r="C628">
        <v>0</v>
      </c>
      <c r="D628" s="513">
        <v>-55578.07</v>
      </c>
      <c r="E628">
        <f>VLOOKUP(A628,Ucto_HK_summ!$A$2:$D$963,4,FALSE)</f>
        <v>-75003.19</v>
      </c>
    </row>
    <row r="629" spans="1:5">
      <c r="A629" s="578" t="s">
        <v>2321</v>
      </c>
      <c r="B629" s="578" t="s">
        <v>2322</v>
      </c>
      <c r="C629">
        <v>0</v>
      </c>
      <c r="D629" s="513">
        <v>-537294.48</v>
      </c>
      <c r="E629">
        <f>VLOOKUP(A629,Ucto_HK_summ!$A$2:$D$963,4,FALSE)</f>
        <v>-505908.43</v>
      </c>
    </row>
    <row r="630" spans="1:5">
      <c r="A630" s="578" t="s">
        <v>2323</v>
      </c>
      <c r="B630" s="578" t="s">
        <v>2324</v>
      </c>
      <c r="C630">
        <v>0</v>
      </c>
      <c r="D630" s="513">
        <v>-62280.3</v>
      </c>
      <c r="E630">
        <f>VLOOKUP(A630,Ucto_HK_summ!$A$2:$D$963,4,FALSE)</f>
        <v>-82409.58</v>
      </c>
    </row>
    <row r="631" spans="1:5">
      <c r="A631" s="578" t="s">
        <v>2325</v>
      </c>
      <c r="B631" s="578" t="s">
        <v>2326</v>
      </c>
      <c r="C631">
        <v>0</v>
      </c>
      <c r="D631" s="513">
        <v>-38444.339999999997</v>
      </c>
      <c r="E631">
        <f>VLOOKUP(A631,Ucto_HK_summ!$A$2:$D$963,4,FALSE)</f>
        <v>-19001.79</v>
      </c>
    </row>
    <row r="632" spans="1:5">
      <c r="A632" s="578" t="s">
        <v>2327</v>
      </c>
      <c r="B632" s="578" t="s">
        <v>2328</v>
      </c>
      <c r="C632">
        <v>0</v>
      </c>
      <c r="D632" s="513">
        <v>-973518.03</v>
      </c>
      <c r="E632">
        <f>VLOOKUP(A632,Ucto_HK_summ!$A$2:$D$963,4,FALSE)</f>
        <v>-865906.87</v>
      </c>
    </row>
    <row r="633" spans="1:5">
      <c r="A633" s="578" t="s">
        <v>2329</v>
      </c>
      <c r="B633" s="578" t="s">
        <v>2330</v>
      </c>
      <c r="C633">
        <v>0</v>
      </c>
      <c r="D633" s="513">
        <v>-288693.40999999997</v>
      </c>
      <c r="E633">
        <f>VLOOKUP(A633,Ucto_HK_summ!$A$2:$D$963,4,FALSE)</f>
        <v>-263545.52</v>
      </c>
    </row>
    <row r="634" spans="1:5">
      <c r="A634" s="578" t="s">
        <v>2331</v>
      </c>
      <c r="B634" s="578" t="s">
        <v>2332</v>
      </c>
      <c r="C634">
        <v>0</v>
      </c>
      <c r="D634" s="513">
        <v>-1514135.06</v>
      </c>
      <c r="E634">
        <f>VLOOKUP(A634,Ucto_HK_summ!$A$2:$D$963,4,FALSE)</f>
        <v>-1483810.97</v>
      </c>
    </row>
    <row r="635" spans="1:5">
      <c r="A635" s="578" t="s">
        <v>2333</v>
      </c>
      <c r="B635" s="578" t="s">
        <v>2334</v>
      </c>
      <c r="C635">
        <v>0</v>
      </c>
      <c r="D635" s="513">
        <v>-7086.87</v>
      </c>
      <c r="E635">
        <f>VLOOKUP(A635,Ucto_HK_summ!$A$2:$D$963,4,FALSE)</f>
        <v>-1748.54</v>
      </c>
    </row>
    <row r="636" spans="1:5">
      <c r="A636" s="578" t="s">
        <v>2335</v>
      </c>
      <c r="B636" s="578" t="s">
        <v>2336</v>
      </c>
      <c r="C636">
        <v>0</v>
      </c>
      <c r="D636" s="513">
        <v>-381609.54</v>
      </c>
      <c r="E636">
        <f>VLOOKUP(A636,Ucto_HK_summ!$A$2:$D$963,4,FALSE)</f>
        <v>-660672.89</v>
      </c>
    </row>
    <row r="637" spans="1:5">
      <c r="A637" s="578" t="s">
        <v>2337</v>
      </c>
      <c r="B637" s="578" t="s">
        <v>2338</v>
      </c>
      <c r="C637">
        <v>0</v>
      </c>
      <c r="D637" s="550">
        <v>-11970</v>
      </c>
      <c r="E637">
        <f>VLOOKUP(A637,Ucto_HK_summ!$A$2:$D$963,4,FALSE)</f>
        <v>-10080</v>
      </c>
    </row>
    <row r="638" spans="1:5">
      <c r="A638" s="578" t="s">
        <v>2339</v>
      </c>
      <c r="B638" s="578" t="s">
        <v>2340</v>
      </c>
      <c r="C638">
        <v>0</v>
      </c>
      <c r="D638" s="513">
        <v>-4138801.74</v>
      </c>
      <c r="E638">
        <f>VLOOKUP(A638,Ucto_HK_summ!$A$2:$D$963,4,FALSE)</f>
        <v>-4649898.46</v>
      </c>
    </row>
    <row r="639" spans="1:5">
      <c r="A639" s="578" t="s">
        <v>2727</v>
      </c>
      <c r="B639" s="578" t="s">
        <v>2728</v>
      </c>
      <c r="C639">
        <v>0</v>
      </c>
      <c r="D639" s="513">
        <v>-31742.58</v>
      </c>
      <c r="E639">
        <f>VLOOKUP(A639,Ucto_HK_summ!$A$2:$D$963,4,FALSE)</f>
        <v>-52785.98</v>
      </c>
    </row>
    <row r="640" spans="1:5">
      <c r="A640" s="578" t="s">
        <v>2341</v>
      </c>
      <c r="B640" s="578" t="s">
        <v>2342</v>
      </c>
      <c r="C640">
        <v>0</v>
      </c>
      <c r="D640">
        <v>-79.67</v>
      </c>
      <c r="E640">
        <f>VLOOKUP(A640,Ucto_HK_summ!$A$2:$D$963,4,FALSE)</f>
        <v>0</v>
      </c>
    </row>
    <row r="641" spans="1:5">
      <c r="A641" s="578" t="s">
        <v>2343</v>
      </c>
      <c r="B641" s="578" t="s">
        <v>2344</v>
      </c>
      <c r="C641">
        <v>0</v>
      </c>
      <c r="D641" s="513">
        <v>-135717.56</v>
      </c>
      <c r="E641">
        <f>VLOOKUP(A641,Ucto_HK_summ!$A$2:$D$963,4,FALSE)</f>
        <v>-113272.6</v>
      </c>
    </row>
    <row r="642" spans="1:5">
      <c r="A642" s="578" t="s">
        <v>2345</v>
      </c>
      <c r="B642" s="578" t="s">
        <v>2346</v>
      </c>
      <c r="C642">
        <v>0</v>
      </c>
      <c r="D642" s="513">
        <v>-469843.96</v>
      </c>
      <c r="E642">
        <f>VLOOKUP(A642,Ucto_HK_summ!$A$2:$D$963,4,FALSE)</f>
        <v>-377470.14</v>
      </c>
    </row>
    <row r="643" spans="1:5">
      <c r="A643" s="578" t="s">
        <v>2347</v>
      </c>
      <c r="B643" s="578" t="s">
        <v>2348</v>
      </c>
      <c r="C643">
        <v>0</v>
      </c>
      <c r="D643" s="513">
        <v>-1333.34</v>
      </c>
      <c r="E643">
        <f>VLOOKUP(A643,Ucto_HK_summ!$A$2:$D$963,4,FALSE)</f>
        <v>0</v>
      </c>
    </row>
    <row r="644" spans="1:5">
      <c r="A644" s="578" t="s">
        <v>2349</v>
      </c>
      <c r="B644" s="578" t="s">
        <v>2350</v>
      </c>
      <c r="C644">
        <v>0</v>
      </c>
      <c r="D644" s="513">
        <v>-22255.03</v>
      </c>
      <c r="E644">
        <f>VLOOKUP(A644,Ucto_HK_summ!$A$2:$D$963,4,FALSE)</f>
        <v>-27022.46</v>
      </c>
    </row>
    <row r="645" spans="1:5">
      <c r="A645" s="578" t="s">
        <v>2351</v>
      </c>
      <c r="B645" s="578" t="s">
        <v>2352</v>
      </c>
      <c r="C645">
        <v>0</v>
      </c>
      <c r="D645" s="513">
        <v>-76635.5</v>
      </c>
      <c r="E645">
        <f>VLOOKUP(A645,Ucto_HK_summ!$A$2:$D$963,4,FALSE)</f>
        <v>-59804.800000000003</v>
      </c>
    </row>
    <row r="646" spans="1:5">
      <c r="A646" s="578" t="s">
        <v>2729</v>
      </c>
      <c r="B646" s="578" t="s">
        <v>2730</v>
      </c>
      <c r="C646">
        <v>0</v>
      </c>
      <c r="D646" s="513">
        <v>-6977.43</v>
      </c>
      <c r="E646">
        <f>VLOOKUP(A646,Ucto_HK_summ!$A$2:$D$963,4,FALSE)</f>
        <v>-10820.69</v>
      </c>
    </row>
    <row r="647" spans="1:5">
      <c r="A647" s="578" t="s">
        <v>2731</v>
      </c>
      <c r="B647" s="578" t="s">
        <v>2732</v>
      </c>
      <c r="C647">
        <v>0</v>
      </c>
      <c r="D647" s="513">
        <v>-1053.3900000000001</v>
      </c>
      <c r="E647">
        <f>VLOOKUP(A647,Ucto_HK_summ!$A$2:$D$963,4,FALSE)</f>
        <v>-2350.1799999999998</v>
      </c>
    </row>
    <row r="648" spans="1:5">
      <c r="A648" s="578" t="s">
        <v>2353</v>
      </c>
      <c r="B648" s="578" t="s">
        <v>2354</v>
      </c>
      <c r="C648">
        <v>0</v>
      </c>
      <c r="D648" s="513">
        <v>-983656.66</v>
      </c>
      <c r="E648">
        <f>VLOOKUP(A648,Ucto_HK_summ!$A$2:$D$963,4,FALSE)</f>
        <v>-767508.15</v>
      </c>
    </row>
    <row r="649" spans="1:5">
      <c r="A649" s="578" t="s">
        <v>2355</v>
      </c>
      <c r="B649" s="578" t="s">
        <v>2356</v>
      </c>
      <c r="C649">
        <v>0</v>
      </c>
      <c r="D649" s="513">
        <v>-23496.44</v>
      </c>
      <c r="E649">
        <f>VLOOKUP(A649,Ucto_HK_summ!$A$2:$D$963,4,FALSE)</f>
        <v>-28202.53</v>
      </c>
    </row>
    <row r="650" spans="1:5">
      <c r="A650" s="578" t="s">
        <v>2357</v>
      </c>
      <c r="B650" s="578" t="s">
        <v>2358</v>
      </c>
      <c r="C650">
        <v>0</v>
      </c>
      <c r="D650" s="513">
        <v>-101599.95</v>
      </c>
      <c r="E650">
        <f>VLOOKUP(A650,Ucto_HK_summ!$A$2:$D$963,4,FALSE)</f>
        <v>-142859.35999999999</v>
      </c>
    </row>
    <row r="651" spans="1:5">
      <c r="A651" s="578" t="s">
        <v>2359</v>
      </c>
      <c r="B651" s="578" t="s">
        <v>2360</v>
      </c>
      <c r="C651">
        <v>0</v>
      </c>
      <c r="D651" s="513">
        <v>-2848.01</v>
      </c>
      <c r="E651">
        <f>VLOOKUP(A651,Ucto_HK_summ!$A$2:$D$963,4,FALSE)</f>
        <v>-12047.19</v>
      </c>
    </row>
    <row r="652" spans="1:5">
      <c r="A652" s="578" t="s">
        <v>2361</v>
      </c>
      <c r="B652" s="578" t="s">
        <v>2362</v>
      </c>
      <c r="C652">
        <v>0</v>
      </c>
      <c r="D652">
        <v>-779.85</v>
      </c>
      <c r="E652">
        <f>VLOOKUP(A652,Ucto_HK_summ!$A$2:$D$963,4,FALSE)</f>
        <v>0</v>
      </c>
    </row>
    <row r="653" spans="1:5">
      <c r="A653" s="578" t="s">
        <v>2363</v>
      </c>
      <c r="B653" s="578" t="s">
        <v>2364</v>
      </c>
      <c r="C653">
        <v>0</v>
      </c>
      <c r="D653" s="513">
        <v>-222270.18</v>
      </c>
      <c r="E653">
        <f>VLOOKUP(A653,Ucto_HK_summ!$A$2:$D$963,4,FALSE)</f>
        <v>-59849.45</v>
      </c>
    </row>
    <row r="654" spans="1:5">
      <c r="A654" s="578" t="s">
        <v>2365</v>
      </c>
      <c r="B654" s="578" t="s">
        <v>2366</v>
      </c>
      <c r="C654">
        <v>0</v>
      </c>
      <c r="D654" s="513">
        <v>-196896.25</v>
      </c>
      <c r="E654">
        <f>VLOOKUP(A654,Ucto_HK_summ!$A$2:$D$963,4,FALSE)</f>
        <v>-67030.179999999993</v>
      </c>
    </row>
    <row r="655" spans="1:5">
      <c r="A655" s="578" t="s">
        <v>2367</v>
      </c>
      <c r="B655" s="578" t="s">
        <v>2368</v>
      </c>
      <c r="C655">
        <v>0</v>
      </c>
      <c r="D655" s="513">
        <v>-465853.51</v>
      </c>
      <c r="E655">
        <f>VLOOKUP(A655,Ucto_HK_summ!$A$2:$D$963,4,FALSE)</f>
        <v>-453941.73</v>
      </c>
    </row>
    <row r="656" spans="1:5">
      <c r="A656" s="578" t="s">
        <v>2369</v>
      </c>
      <c r="B656" s="578" t="s">
        <v>2370</v>
      </c>
      <c r="C656">
        <v>0</v>
      </c>
      <c r="D656" s="513">
        <v>-12252.29</v>
      </c>
      <c r="E656">
        <f>VLOOKUP(A656,Ucto_HK_summ!$A$2:$D$963,4,FALSE)</f>
        <v>-7287.34</v>
      </c>
    </row>
    <row r="657" spans="1:5">
      <c r="A657" s="578" t="s">
        <v>2371</v>
      </c>
      <c r="B657" s="578" t="s">
        <v>2372</v>
      </c>
      <c r="C657">
        <v>0</v>
      </c>
      <c r="D657">
        <v>-238.76</v>
      </c>
      <c r="E657">
        <f>VLOOKUP(A657,Ucto_HK_summ!$A$2:$D$963,4,FALSE)</f>
        <v>0</v>
      </c>
    </row>
    <row r="658" spans="1:5">
      <c r="A658" s="578" t="s">
        <v>2373</v>
      </c>
      <c r="B658" s="578" t="s">
        <v>2374</v>
      </c>
      <c r="C658">
        <v>0</v>
      </c>
      <c r="D658" s="513">
        <v>-166506.72</v>
      </c>
      <c r="E658">
        <f>VLOOKUP(A658,Ucto_HK_summ!$A$2:$D$963,4,FALSE)</f>
        <v>-110680.6</v>
      </c>
    </row>
    <row r="659" spans="1:5">
      <c r="A659" s="578" t="s">
        <v>2375</v>
      </c>
      <c r="B659" s="578" t="s">
        <v>2376</v>
      </c>
      <c r="C659">
        <v>0</v>
      </c>
      <c r="D659" s="513">
        <v>-3043.13</v>
      </c>
      <c r="E659">
        <f>VLOOKUP(A659,Ucto_HK_summ!$A$2:$D$963,4,FALSE)</f>
        <v>-4691.6899999999996</v>
      </c>
    </row>
    <row r="660" spans="1:5">
      <c r="A660" s="578" t="s">
        <v>2682</v>
      </c>
      <c r="B660" s="578" t="s">
        <v>2683</v>
      </c>
      <c r="C660">
        <v>0</v>
      </c>
      <c r="D660" s="513">
        <v>-676669.51</v>
      </c>
      <c r="E660">
        <f>VLOOKUP(A660,Ucto_HK_summ!$A$2:$D$963,4,FALSE)</f>
        <v>-649427.09</v>
      </c>
    </row>
    <row r="661" spans="1:5">
      <c r="A661" s="578" t="s">
        <v>2684</v>
      </c>
      <c r="B661" s="578" t="s">
        <v>2685</v>
      </c>
      <c r="C661">
        <v>0</v>
      </c>
      <c r="D661" s="513">
        <v>-138866.73000000001</v>
      </c>
      <c r="E661">
        <f>VLOOKUP(A661,Ucto_HK_summ!$A$2:$D$963,4,FALSE)</f>
        <v>-148292.43</v>
      </c>
    </row>
    <row r="662" spans="1:5">
      <c r="A662" s="578" t="s">
        <v>2686</v>
      </c>
      <c r="B662" s="578" t="s">
        <v>2687</v>
      </c>
      <c r="C662">
        <v>0</v>
      </c>
      <c r="D662" s="513">
        <v>-57133.74</v>
      </c>
      <c r="E662">
        <f>VLOOKUP(A662,Ucto_HK_summ!$A$2:$D$963,4,FALSE)</f>
        <v>-58906.3</v>
      </c>
    </row>
    <row r="663" spans="1:5" s="331" customFormat="1">
      <c r="A663" s="581" t="s">
        <v>2399</v>
      </c>
      <c r="B663" s="581" t="s">
        <v>2400</v>
      </c>
      <c r="C663" s="331">
        <v>0</v>
      </c>
      <c r="D663" s="582">
        <v>-6721.98</v>
      </c>
      <c r="E663">
        <f>VLOOKUP(A663,Ucto_HK_summ!$A$2:$D$963,4,FALSE)</f>
        <v>-6613.02</v>
      </c>
    </row>
    <row r="664" spans="1:5" s="331" customFormat="1">
      <c r="A664" s="581" t="s">
        <v>2401</v>
      </c>
      <c r="B664" s="581" t="s">
        <v>2402</v>
      </c>
      <c r="C664" s="331">
        <v>0</v>
      </c>
      <c r="D664" s="582">
        <v>-6708.3</v>
      </c>
      <c r="E664">
        <f>VLOOKUP(A664,Ucto_HK_summ!$A$2:$D$963,4,FALSE)</f>
        <v>-5897.02</v>
      </c>
    </row>
    <row r="665" spans="1:5" s="331" customFormat="1">
      <c r="A665" s="581" t="s">
        <v>2403</v>
      </c>
      <c r="B665" s="581" t="s">
        <v>2404</v>
      </c>
      <c r="C665" s="331">
        <v>0</v>
      </c>
      <c r="D665" s="331">
        <v>-205.56</v>
      </c>
      <c r="E665">
        <f>VLOOKUP(A665,Ucto_HK_summ!$A$2:$D$963,4,FALSE)</f>
        <v>-361.33</v>
      </c>
    </row>
    <row r="666" spans="1:5" s="331" customFormat="1">
      <c r="A666" s="581" t="s">
        <v>2405</v>
      </c>
      <c r="B666" s="581" t="s">
        <v>2406</v>
      </c>
      <c r="C666" s="331">
        <v>0</v>
      </c>
      <c r="D666" s="582">
        <v>-19070.64</v>
      </c>
      <c r="E666">
        <f>VLOOKUP(A666,Ucto_HK_summ!$A$2:$D$963,4,FALSE)</f>
        <v>-48726.83</v>
      </c>
    </row>
    <row r="667" spans="1:5" s="331" customFormat="1">
      <c r="A667" s="581" t="s">
        <v>2407</v>
      </c>
      <c r="B667" s="581" t="s">
        <v>2408</v>
      </c>
      <c r="C667" s="331">
        <v>0</v>
      </c>
      <c r="D667" s="582">
        <v>-292051.96000000002</v>
      </c>
      <c r="E667">
        <f>VLOOKUP(A667,Ucto_HK_summ!$A$2:$D$963,4,FALSE)</f>
        <v>-312853.64</v>
      </c>
    </row>
    <row r="668" spans="1:5" s="331" customFormat="1">
      <c r="A668" s="581" t="s">
        <v>2409</v>
      </c>
      <c r="B668" s="581" t="s">
        <v>2410</v>
      </c>
      <c r="C668" s="331">
        <v>0</v>
      </c>
      <c r="D668" s="582">
        <v>-333248.56</v>
      </c>
      <c r="E668">
        <f>VLOOKUP(A668,Ucto_HK_summ!$A$2:$D$963,4,FALSE)</f>
        <v>-283983.15999999997</v>
      </c>
    </row>
    <row r="669" spans="1:5" s="331" customFormat="1">
      <c r="A669" s="581" t="s">
        <v>2411</v>
      </c>
      <c r="B669" s="581" t="s">
        <v>2412</v>
      </c>
      <c r="C669" s="331">
        <v>0</v>
      </c>
      <c r="D669" s="583">
        <v>-10780</v>
      </c>
      <c r="E669">
        <f>VLOOKUP(A669,Ucto_HK_summ!$A$2:$D$963,4,FALSE)</f>
        <v>-16350</v>
      </c>
    </row>
    <row r="670" spans="1:5" s="331" customFormat="1">
      <c r="A670" s="581" t="s">
        <v>2413</v>
      </c>
      <c r="B670" s="581" t="s">
        <v>2414</v>
      </c>
      <c r="C670" s="331">
        <v>0</v>
      </c>
      <c r="D670" s="582">
        <v>-147482.4</v>
      </c>
      <c r="E670">
        <f>VLOOKUP(A670,Ucto_HK_summ!$A$2:$D$963,4,FALSE)</f>
        <v>-118918.19</v>
      </c>
    </row>
    <row r="671" spans="1:5" s="331" customFormat="1">
      <c r="A671" s="581" t="s">
        <v>2415</v>
      </c>
      <c r="B671" s="581" t="s">
        <v>2416</v>
      </c>
      <c r="C671" s="331">
        <v>0</v>
      </c>
      <c r="D671" s="582">
        <v>-199661.5</v>
      </c>
      <c r="E671">
        <f>VLOOKUP(A671,Ucto_HK_summ!$A$2:$D$963,4,FALSE)</f>
        <v>-171389.36</v>
      </c>
    </row>
    <row r="672" spans="1:5">
      <c r="A672" s="578" t="s">
        <v>2417</v>
      </c>
      <c r="B672" s="578" t="s">
        <v>2418</v>
      </c>
      <c r="C672">
        <v>0</v>
      </c>
      <c r="D672" s="513">
        <v>-588149.43999999994</v>
      </c>
      <c r="E672">
        <f>VLOOKUP(A672,Ucto_HK_summ!$A$2:$D$963,4,FALSE)</f>
        <v>-556658.69999999995</v>
      </c>
    </row>
    <row r="673" spans="1:5">
      <c r="A673" s="578" t="s">
        <v>2419</v>
      </c>
      <c r="B673" s="578" t="s">
        <v>2420</v>
      </c>
      <c r="C673">
        <v>0</v>
      </c>
      <c r="D673" s="513">
        <v>-6662.5</v>
      </c>
      <c r="E673">
        <f>VLOOKUP(A673,Ucto_HK_summ!$A$2:$D$963,4,FALSE)</f>
        <v>-9600</v>
      </c>
    </row>
    <row r="674" spans="1:5">
      <c r="A674" s="578" t="s">
        <v>2421</v>
      </c>
      <c r="B674" s="578" t="s">
        <v>2422</v>
      </c>
      <c r="C674">
        <v>0</v>
      </c>
      <c r="D674" s="513">
        <v>-49040.45</v>
      </c>
      <c r="E674">
        <f>VLOOKUP(A674,Ucto_HK_summ!$A$2:$D$963,4,FALSE)</f>
        <v>-53398.400000000001</v>
      </c>
    </row>
    <row r="675" spans="1:5">
      <c r="A675" s="578" t="s">
        <v>2423</v>
      </c>
      <c r="B675" s="578" t="s">
        <v>2424</v>
      </c>
      <c r="C675">
        <v>0</v>
      </c>
      <c r="D675" s="513">
        <v>-1231986.95</v>
      </c>
      <c r="E675">
        <f>VLOOKUP(A675,Ucto_HK_summ!$A$2:$D$963,4,FALSE)</f>
        <v>-1355395.77</v>
      </c>
    </row>
    <row r="676" spans="1:5">
      <c r="A676" s="578" t="s">
        <v>2425</v>
      </c>
      <c r="B676" s="578" t="s">
        <v>2426</v>
      </c>
      <c r="C676">
        <v>0</v>
      </c>
      <c r="D676" s="513">
        <v>-3488.9</v>
      </c>
      <c r="E676">
        <f>VLOOKUP(A676,Ucto_HK_summ!$A$2:$D$963,4,FALSE)</f>
        <v>-3099.68</v>
      </c>
    </row>
    <row r="677" spans="1:5">
      <c r="A677" s="578" t="s">
        <v>2427</v>
      </c>
      <c r="B677" s="578" t="s">
        <v>1652</v>
      </c>
      <c r="C677">
        <v>0</v>
      </c>
      <c r="D677" s="513">
        <v>-49159.45</v>
      </c>
      <c r="E677">
        <f>VLOOKUP(A677,Ucto_HK_summ!$A$2:$D$963,4,FALSE)</f>
        <v>-60574.69</v>
      </c>
    </row>
    <row r="678" spans="1:5">
      <c r="A678" s="578" t="s">
        <v>2428</v>
      </c>
      <c r="B678" s="578" t="s">
        <v>2429</v>
      </c>
      <c r="C678">
        <v>0</v>
      </c>
      <c r="D678">
        <v>-302.77999999999997</v>
      </c>
      <c r="E678">
        <f>VLOOKUP(A678,Ucto_HK_summ!$A$2:$D$963,4,FALSE)</f>
        <v>0</v>
      </c>
    </row>
    <row r="679" spans="1:5">
      <c r="A679" s="578" t="s">
        <v>2430</v>
      </c>
      <c r="B679" s="578" t="s">
        <v>2431</v>
      </c>
      <c r="C679">
        <v>0</v>
      </c>
      <c r="D679" s="513">
        <v>-494393.17</v>
      </c>
      <c r="E679">
        <f>VLOOKUP(A679,Ucto_HK_summ!$A$2:$D$963,4,FALSE)</f>
        <v>-490717.27</v>
      </c>
    </row>
    <row r="680" spans="1:5">
      <c r="A680" s="578" t="s">
        <v>2432</v>
      </c>
      <c r="B680" s="578" t="s">
        <v>2433</v>
      </c>
      <c r="C680">
        <v>0</v>
      </c>
      <c r="D680" s="513">
        <v>-695359.39</v>
      </c>
      <c r="E680">
        <f>VLOOKUP(A680,Ucto_HK_summ!$A$2:$D$963,4,FALSE)</f>
        <v>-657248.16</v>
      </c>
    </row>
    <row r="681" spans="1:5">
      <c r="A681" s="578" t="s">
        <v>2434</v>
      </c>
      <c r="B681" s="578" t="s">
        <v>2435</v>
      </c>
      <c r="C681">
        <v>0</v>
      </c>
      <c r="D681" s="513">
        <v>-20508.240000000002</v>
      </c>
      <c r="E681">
        <f>VLOOKUP(A681,Ucto_HK_summ!$A$2:$D$963,4,FALSE)</f>
        <v>-20668.09</v>
      </c>
    </row>
    <row r="682" spans="1:5">
      <c r="A682" s="578" t="s">
        <v>2436</v>
      </c>
      <c r="B682" s="578" t="s">
        <v>2437</v>
      </c>
      <c r="C682">
        <v>0</v>
      </c>
      <c r="D682">
        <v>-574.91999999999996</v>
      </c>
      <c r="E682">
        <f>VLOOKUP(A682,Ucto_HK_summ!$A$2:$D$963,4,FALSE)</f>
        <v>-14226.38</v>
      </c>
    </row>
    <row r="683" spans="1:5">
      <c r="A683" s="578" t="s">
        <v>2438</v>
      </c>
      <c r="B683" s="578" t="s">
        <v>2439</v>
      </c>
      <c r="C683">
        <v>0</v>
      </c>
      <c r="D683" s="513">
        <v>-14471.56</v>
      </c>
      <c r="E683">
        <f>VLOOKUP(A683,Ucto_HK_summ!$A$2:$D$963,4,FALSE)</f>
        <v>-14471.56</v>
      </c>
    </row>
    <row r="684" spans="1:5">
      <c r="A684" s="578" t="s">
        <v>2440</v>
      </c>
      <c r="B684" s="578" t="s">
        <v>2441</v>
      </c>
      <c r="C684">
        <v>0</v>
      </c>
      <c r="D684" s="513">
        <v>-593929.55000000005</v>
      </c>
      <c r="E684">
        <f>VLOOKUP(A684,Ucto_HK_summ!$A$2:$D$963,4,FALSE)</f>
        <v>-584774.05000000005</v>
      </c>
    </row>
    <row r="685" spans="1:5">
      <c r="A685" s="578" t="s">
        <v>2442</v>
      </c>
      <c r="B685" s="578" t="s">
        <v>2443</v>
      </c>
      <c r="C685">
        <v>0</v>
      </c>
      <c r="D685" s="513">
        <v>-8959.81</v>
      </c>
      <c r="E685">
        <f>VLOOKUP(A685,Ucto_HK_summ!$A$2:$D$963,4,FALSE)</f>
        <v>-10003.26</v>
      </c>
    </row>
    <row r="686" spans="1:5" s="331" customFormat="1">
      <c r="A686" s="581" t="s">
        <v>2444</v>
      </c>
      <c r="B686" s="581" t="s">
        <v>2445</v>
      </c>
      <c r="C686" s="331">
        <v>0</v>
      </c>
      <c r="D686" s="582">
        <v>-73625.539999999994</v>
      </c>
      <c r="E686">
        <f>VLOOKUP(A686,Ucto_HK_summ!$A$2:$D$963,4,FALSE)</f>
        <v>-303471.8</v>
      </c>
    </row>
    <row r="687" spans="1:5">
      <c r="A687" s="578" t="s">
        <v>2446</v>
      </c>
      <c r="B687" s="578" t="s">
        <v>2447</v>
      </c>
      <c r="C687">
        <v>0</v>
      </c>
      <c r="D687" s="513">
        <v>-7081.9</v>
      </c>
      <c r="E687">
        <f>VLOOKUP(A687,Ucto_HK_summ!$A$2:$D$963,4,FALSE)</f>
        <v>-4241.8500000000004</v>
      </c>
    </row>
    <row r="688" spans="1:5">
      <c r="A688" s="578" t="s">
        <v>2448</v>
      </c>
      <c r="B688" s="578" t="s">
        <v>2449</v>
      </c>
      <c r="C688">
        <v>0</v>
      </c>
      <c r="D688" s="513">
        <v>-89199.25</v>
      </c>
      <c r="E688">
        <f>VLOOKUP(A688,Ucto_HK_summ!$A$2:$D$963,4,FALSE)</f>
        <v>-86827.27</v>
      </c>
    </row>
    <row r="689" spans="1:5">
      <c r="A689" s="578" t="s">
        <v>2450</v>
      </c>
      <c r="B689" s="578" t="s">
        <v>2451</v>
      </c>
      <c r="C689">
        <v>0</v>
      </c>
      <c r="D689" s="513">
        <v>-80752.52</v>
      </c>
      <c r="E689">
        <f>VLOOKUP(A689,Ucto_HK_summ!$A$2:$D$963,4,FALSE)</f>
        <v>-85665.74</v>
      </c>
    </row>
    <row r="690" spans="1:5">
      <c r="A690" s="578" t="s">
        <v>909</v>
      </c>
      <c r="C690">
        <v>0</v>
      </c>
      <c r="D690" s="513">
        <v>-96758427.370000005</v>
      </c>
      <c r="E690">
        <f>VLOOKUP(A690,Ucto_HK_summ!$A$2:$D$963,4,FALSE)</f>
        <v>-91537466.319999993</v>
      </c>
    </row>
    <row r="691" spans="1:5">
      <c r="A691" s="577" t="s">
        <v>2471</v>
      </c>
      <c r="C691" s="369">
        <v>0</v>
      </c>
      <c r="D691" s="579">
        <v>-96758427.370000005</v>
      </c>
      <c r="E691">
        <f>VLOOKUP(A691,Ucto_HK_summ!$A$2:$D$963,4,FALSE)</f>
        <v>-91537466.319999993</v>
      </c>
    </row>
    <row r="692" spans="1:5">
      <c r="E692" t="e">
        <f>VLOOKUP(A692,Ucto_HK_summ!$A$2:$D$963,4,FALSE)</f>
        <v>#N/A</v>
      </c>
    </row>
    <row r="693" spans="1:5">
      <c r="A693" s="578" t="s">
        <v>2472</v>
      </c>
      <c r="B693" s="578" t="s">
        <v>2473</v>
      </c>
      <c r="C693">
        <v>0</v>
      </c>
      <c r="D693" s="513">
        <v>-43839.8</v>
      </c>
      <c r="E693">
        <f>VLOOKUP(A693,Ucto_HK_summ!$A$2:$D$963,4,FALSE)</f>
        <v>-43508.2</v>
      </c>
    </row>
    <row r="694" spans="1:5">
      <c r="A694" s="578" t="s">
        <v>924</v>
      </c>
      <c r="C694">
        <v>0</v>
      </c>
      <c r="D694" s="513">
        <v>-43839.8</v>
      </c>
      <c r="E694">
        <f>VLOOKUP(A694,Ucto_HK_summ!$A$2:$D$963,4,FALSE)</f>
        <v>-43508.2</v>
      </c>
    </row>
    <row r="695" spans="1:5">
      <c r="A695" s="577" t="s">
        <v>2474</v>
      </c>
      <c r="C695" s="369">
        <v>0</v>
      </c>
      <c r="D695" s="579">
        <v>-43839.8</v>
      </c>
      <c r="E695">
        <f>VLOOKUP(A695,Ucto_HK_summ!$A$2:$D$963,4,FALSE)</f>
        <v>-43508.2</v>
      </c>
    </row>
    <row r="696" spans="1:5">
      <c r="E696" t="e">
        <f>VLOOKUP(A696,Ucto_HK_summ!$A$2:$D$963,4,FALSE)</f>
        <v>#N/A</v>
      </c>
    </row>
    <row r="697" spans="1:5">
      <c r="A697" s="578" t="s">
        <v>2479</v>
      </c>
      <c r="B697" s="578" t="s">
        <v>2480</v>
      </c>
      <c r="C697">
        <v>0</v>
      </c>
      <c r="D697">
        <v>-833.81</v>
      </c>
      <c r="E697">
        <f>VLOOKUP(A697,Ucto_HK_summ!$A$2:$D$963,4,FALSE)</f>
        <v>0</v>
      </c>
    </row>
    <row r="698" spans="1:5">
      <c r="A698" s="578" t="s">
        <v>942</v>
      </c>
      <c r="C698">
        <v>0</v>
      </c>
      <c r="D698">
        <v>-833.81</v>
      </c>
      <c r="E698">
        <f>VLOOKUP(A698,Ucto_HK_summ!$A$2:$D$963,4,FALSE)</f>
        <v>0</v>
      </c>
    </row>
    <row r="699" spans="1:5">
      <c r="A699" s="578" t="s">
        <v>2690</v>
      </c>
      <c r="B699" s="578" t="s">
        <v>2691</v>
      </c>
      <c r="C699">
        <v>0</v>
      </c>
      <c r="D699">
        <v>-168.3</v>
      </c>
      <c r="E699">
        <f>VLOOKUP(A699,Ucto_HK_summ!$A$2:$D$963,4,FALSE)</f>
        <v>-56969.09</v>
      </c>
    </row>
    <row r="700" spans="1:5">
      <c r="A700" s="578" t="s">
        <v>943</v>
      </c>
      <c r="C700">
        <v>0</v>
      </c>
      <c r="D700">
        <v>-168.3</v>
      </c>
      <c r="E700">
        <f>VLOOKUP(A700,Ucto_HK_summ!$A$2:$D$963,4,FALSE)</f>
        <v>-56969.09</v>
      </c>
    </row>
    <row r="701" spans="1:5">
      <c r="A701" s="578" t="s">
        <v>2481</v>
      </c>
      <c r="B701" s="578" t="s">
        <v>2482</v>
      </c>
      <c r="C701">
        <v>0</v>
      </c>
      <c r="D701" s="513">
        <v>-3148.59</v>
      </c>
      <c r="E701">
        <f>VLOOKUP(A701,Ucto_HK_summ!$A$2:$D$963,4,FALSE)</f>
        <v>-25774.25</v>
      </c>
    </row>
    <row r="702" spans="1:5">
      <c r="A702" s="578" t="s">
        <v>2483</v>
      </c>
      <c r="B702" s="578" t="s">
        <v>2484</v>
      </c>
      <c r="C702">
        <v>0</v>
      </c>
      <c r="D702" s="513">
        <v>-5331.69</v>
      </c>
      <c r="E702">
        <f>VLOOKUP(A702,Ucto_HK_summ!$A$2:$D$963,4,FALSE)</f>
        <v>-13170.87</v>
      </c>
    </row>
    <row r="703" spans="1:5">
      <c r="A703" s="578" t="s">
        <v>2485</v>
      </c>
      <c r="B703" s="578" t="s">
        <v>2486</v>
      </c>
      <c r="C703">
        <v>0</v>
      </c>
      <c r="D703">
        <v>-112.53</v>
      </c>
      <c r="E703">
        <f>VLOOKUP(A703,Ucto_HK_summ!$A$2:$D$963,4,FALSE)</f>
        <v>0</v>
      </c>
    </row>
    <row r="704" spans="1:5">
      <c r="A704" s="578" t="s">
        <v>2487</v>
      </c>
      <c r="B704" s="578" t="s">
        <v>2488</v>
      </c>
      <c r="C704">
        <v>0</v>
      </c>
      <c r="D704" s="513">
        <v>-16333.64</v>
      </c>
      <c r="E704">
        <f>VLOOKUP(A704,Ucto_HK_summ!$A$2:$D$963,4,FALSE)</f>
        <v>-21428.560000000001</v>
      </c>
    </row>
    <row r="705" spans="1:5">
      <c r="A705" s="578" t="s">
        <v>2491</v>
      </c>
      <c r="B705" s="578" t="s">
        <v>2492</v>
      </c>
      <c r="C705">
        <v>0</v>
      </c>
      <c r="D705">
        <v>-16.739999999999998</v>
      </c>
      <c r="E705">
        <f>VLOOKUP(A705,Ucto_HK_summ!$A$2:$D$963,4,FALSE)</f>
        <v>-54.64</v>
      </c>
    </row>
    <row r="706" spans="1:5">
      <c r="A706" s="578" t="s">
        <v>2493</v>
      </c>
      <c r="B706" s="578" t="s">
        <v>2494</v>
      </c>
      <c r="C706">
        <v>0</v>
      </c>
      <c r="D706" s="513">
        <v>-4271.01</v>
      </c>
      <c r="E706">
        <f>VLOOKUP(A706,Ucto_HK_summ!$A$2:$D$963,4,FALSE)</f>
        <v>-10165.870000000001</v>
      </c>
    </row>
    <row r="707" spans="1:5">
      <c r="A707" s="578" t="s">
        <v>2495</v>
      </c>
      <c r="B707" s="578" t="s">
        <v>2496</v>
      </c>
      <c r="C707">
        <v>0</v>
      </c>
      <c r="D707">
        <v>-331.11</v>
      </c>
      <c r="E707">
        <f>VLOOKUP(A707,Ucto_HK_summ!$A$2:$D$963,4,FALSE)</f>
        <v>-325.72000000000003</v>
      </c>
    </row>
    <row r="708" spans="1:5">
      <c r="A708" s="578" t="s">
        <v>2497</v>
      </c>
      <c r="B708" s="578" t="s">
        <v>2498</v>
      </c>
      <c r="C708">
        <v>0</v>
      </c>
      <c r="D708" s="513">
        <v>-979809.59</v>
      </c>
      <c r="E708">
        <f>VLOOKUP(A708,Ucto_HK_summ!$A$2:$D$963,4,FALSE)</f>
        <v>-2133259.69</v>
      </c>
    </row>
    <row r="709" spans="1:5">
      <c r="A709" s="578" t="s">
        <v>2692</v>
      </c>
      <c r="B709" s="578" t="s">
        <v>2693</v>
      </c>
      <c r="C709">
        <v>0</v>
      </c>
      <c r="D709" s="513">
        <v>-624370.39</v>
      </c>
      <c r="E709">
        <f>VLOOKUP(A709,Ucto_HK_summ!$A$2:$D$963,4,FALSE)</f>
        <v>0</v>
      </c>
    </row>
    <row r="710" spans="1:5">
      <c r="A710" s="578" t="s">
        <v>2499</v>
      </c>
      <c r="B710" s="578" t="s">
        <v>2500</v>
      </c>
      <c r="C710">
        <v>0</v>
      </c>
      <c r="D710" s="513">
        <v>-2179141.7599999998</v>
      </c>
      <c r="E710">
        <f>VLOOKUP(A710,Ucto_HK_summ!$A$2:$D$963,4,FALSE)</f>
        <v>0</v>
      </c>
    </row>
    <row r="711" spans="1:5">
      <c r="A711" s="578" t="s">
        <v>2694</v>
      </c>
      <c r="B711" s="578" t="s">
        <v>2695</v>
      </c>
      <c r="C711">
        <v>0</v>
      </c>
      <c r="D711" s="513">
        <v>-22186066.23</v>
      </c>
      <c r="E711">
        <f>VLOOKUP(A711,Ucto_HK_summ!$A$2:$D$963,4,FALSE)</f>
        <v>0</v>
      </c>
    </row>
    <row r="712" spans="1:5">
      <c r="A712" s="578" t="s">
        <v>2503</v>
      </c>
      <c r="B712" s="578" t="s">
        <v>2504</v>
      </c>
      <c r="C712">
        <v>0</v>
      </c>
      <c r="D712" s="513">
        <v>-47172.87</v>
      </c>
      <c r="E712">
        <f>VLOOKUP(A712,Ucto_HK_summ!$A$2:$D$963,4,FALSE)</f>
        <v>-53627.45</v>
      </c>
    </row>
    <row r="713" spans="1:5">
      <c r="A713" s="578" t="s">
        <v>2505</v>
      </c>
      <c r="B713" s="578" t="s">
        <v>2506</v>
      </c>
      <c r="C713">
        <v>0</v>
      </c>
      <c r="D713">
        <v>-595.27</v>
      </c>
      <c r="E713">
        <f>VLOOKUP(A713,Ucto_HK_summ!$A$2:$D$963,4,FALSE)</f>
        <v>-385.46</v>
      </c>
    </row>
    <row r="714" spans="1:5">
      <c r="A714" s="578" t="s">
        <v>946</v>
      </c>
      <c r="C714">
        <v>0</v>
      </c>
      <c r="D714" s="513">
        <v>-26046701.420000002</v>
      </c>
      <c r="E714">
        <f>VLOOKUP(A714,Ucto_HK_summ!$A$2:$D$963,4,FALSE)</f>
        <v>-2258192.5099999998</v>
      </c>
    </row>
    <row r="715" spans="1:5">
      <c r="A715" s="577" t="s">
        <v>2509</v>
      </c>
      <c r="C715" s="369">
        <v>0</v>
      </c>
      <c r="D715" s="579">
        <v>-26047703.530000001</v>
      </c>
      <c r="E715">
        <f>VLOOKUP(A715,Ucto_HK_summ!$A$2:$D$963,4,FALSE)</f>
        <v>-2318155.4</v>
      </c>
    </row>
    <row r="716" spans="1:5">
      <c r="E716" t="e">
        <f>VLOOKUP(A716,Ucto_HK_summ!$A$2:$D$963,4,FALSE)</f>
        <v>#N/A</v>
      </c>
    </row>
    <row r="717" spans="1:5">
      <c r="A717" s="578" t="s">
        <v>2510</v>
      </c>
      <c r="B717" s="578" t="s">
        <v>2511</v>
      </c>
      <c r="C717">
        <v>0</v>
      </c>
      <c r="D717" s="550">
        <v>-13377</v>
      </c>
      <c r="E717">
        <f>VLOOKUP(A717,Ucto_HK_summ!$A$2:$D$963,4,FALSE)</f>
        <v>-24695</v>
      </c>
    </row>
    <row r="718" spans="1:5">
      <c r="A718" s="578" t="s">
        <v>2512</v>
      </c>
      <c r="B718" s="578" t="s">
        <v>2513</v>
      </c>
      <c r="C718">
        <v>0</v>
      </c>
      <c r="D718" s="550">
        <v>-4637</v>
      </c>
      <c r="E718">
        <f>VLOOKUP(A718,Ucto_HK_summ!$A$2:$D$963,4,FALSE)</f>
        <v>-8631</v>
      </c>
    </row>
    <row r="719" spans="1:5">
      <c r="A719" s="578" t="s">
        <v>950</v>
      </c>
      <c r="C719">
        <v>0</v>
      </c>
      <c r="D719" s="550">
        <v>-18014</v>
      </c>
      <c r="E719">
        <f>VLOOKUP(A719,Ucto_HK_summ!$A$2:$D$963,4,FALSE)</f>
        <v>-33326</v>
      </c>
    </row>
    <row r="720" spans="1:5">
      <c r="A720" s="578" t="s">
        <v>2514</v>
      </c>
      <c r="B720" s="578" t="s">
        <v>2515</v>
      </c>
      <c r="C720">
        <v>0</v>
      </c>
      <c r="D720" s="550">
        <v>-472362</v>
      </c>
      <c r="E720">
        <f>VLOOKUP(A720,Ucto_HK_summ!$A$2:$D$963,4,FALSE)</f>
        <v>-585092.12</v>
      </c>
    </row>
    <row r="721" spans="1:5">
      <c r="A721" s="578" t="s">
        <v>2516</v>
      </c>
      <c r="B721" s="578" t="s">
        <v>2517</v>
      </c>
      <c r="C721">
        <v>0</v>
      </c>
      <c r="D721" s="513">
        <v>-536560.93999999994</v>
      </c>
      <c r="E721">
        <f>VLOOKUP(A721,Ucto_HK_summ!$A$2:$D$963,4,FALSE)</f>
        <v>-2515277</v>
      </c>
    </row>
    <row r="722" spans="1:5">
      <c r="A722" s="578" t="s">
        <v>952</v>
      </c>
      <c r="C722">
        <v>0</v>
      </c>
      <c r="D722" s="513">
        <v>-1008922.94</v>
      </c>
      <c r="E722">
        <f>VLOOKUP(A722,Ucto_HK_summ!$A$2:$D$963,4,FALSE)</f>
        <v>-3100369.12</v>
      </c>
    </row>
    <row r="723" spans="1:5">
      <c r="A723" s="578" t="s">
        <v>2518</v>
      </c>
      <c r="B723" s="578" t="s">
        <v>2519</v>
      </c>
      <c r="C723">
        <v>0</v>
      </c>
      <c r="D723" s="513">
        <v>-277247.90999999997</v>
      </c>
      <c r="E723">
        <f>VLOOKUP(A723,Ucto_HK_summ!$A$2:$D$963,4,FALSE)</f>
        <v>-1835.6</v>
      </c>
    </row>
    <row r="724" spans="1:5">
      <c r="A724" s="578" t="s">
        <v>956</v>
      </c>
      <c r="C724">
        <v>0</v>
      </c>
      <c r="D724" s="513">
        <v>-277247.90999999997</v>
      </c>
      <c r="E724">
        <f>VLOOKUP(A724,Ucto_HK_summ!$A$2:$D$963,4,FALSE)</f>
        <v>-1835.6</v>
      </c>
    </row>
    <row r="725" spans="1:5">
      <c r="A725" s="577" t="s">
        <v>2520</v>
      </c>
      <c r="C725" s="369">
        <v>0</v>
      </c>
      <c r="D725" s="579">
        <v>-1304184.8500000001</v>
      </c>
      <c r="E725">
        <f>VLOOKUP(A725,Ucto_HK_summ!$A$2:$D$963,4,FALSE)</f>
        <v>-3135530.72</v>
      </c>
    </row>
    <row r="726" spans="1:5">
      <c r="E726" t="e">
        <f>VLOOKUP(A726,Ucto_HK_summ!$A$2:$D$963,4,FALSE)</f>
        <v>#N/A</v>
      </c>
    </row>
    <row r="727" spans="1:5">
      <c r="A727" s="578" t="s">
        <v>2521</v>
      </c>
      <c r="B727" s="578" t="s">
        <v>2522</v>
      </c>
      <c r="C727">
        <v>0</v>
      </c>
      <c r="D727">
        <v>-355.56</v>
      </c>
      <c r="E727">
        <f>VLOOKUP(A727,Ucto_HK_summ!$A$2:$D$963,4,FALSE)</f>
        <v>-361.68</v>
      </c>
    </row>
    <row r="728" spans="1:5">
      <c r="A728" s="578" t="s">
        <v>967</v>
      </c>
      <c r="C728">
        <v>0</v>
      </c>
      <c r="D728">
        <v>-355.56</v>
      </c>
      <c r="E728">
        <f>VLOOKUP(A728,Ucto_HK_summ!$A$2:$D$963,4,FALSE)</f>
        <v>-361.68</v>
      </c>
    </row>
    <row r="729" spans="1:5">
      <c r="A729" s="578" t="s">
        <v>2525</v>
      </c>
      <c r="B729" s="578" t="s">
        <v>2526</v>
      </c>
      <c r="C729">
        <v>0</v>
      </c>
      <c r="D729">
        <v>-6.1</v>
      </c>
      <c r="E729">
        <f>VLOOKUP(A729,Ucto_HK_summ!$A$2:$D$963,4,FALSE)</f>
        <v>0</v>
      </c>
    </row>
    <row r="730" spans="1:5">
      <c r="A730" s="578" t="s">
        <v>968</v>
      </c>
      <c r="C730">
        <v>0</v>
      </c>
      <c r="D730">
        <v>-6.1</v>
      </c>
      <c r="E730">
        <f>VLOOKUP(A730,Ucto_HK_summ!$A$2:$D$963,4,FALSE)</f>
        <v>0</v>
      </c>
    </row>
    <row r="731" spans="1:5">
      <c r="A731" s="578" t="s">
        <v>2527</v>
      </c>
      <c r="B731" s="578" t="s">
        <v>978</v>
      </c>
      <c r="C731">
        <v>0</v>
      </c>
      <c r="D731">
        <v>-117.1</v>
      </c>
      <c r="E731">
        <f>VLOOKUP(A731,Ucto_HK_summ!$A$2:$D$963,4,FALSE)</f>
        <v>0</v>
      </c>
    </row>
    <row r="732" spans="1:5">
      <c r="A732" s="578" t="s">
        <v>2528</v>
      </c>
      <c r="B732" s="578" t="s">
        <v>2529</v>
      </c>
      <c r="C732">
        <v>0</v>
      </c>
      <c r="D732">
        <v>-0.13</v>
      </c>
      <c r="E732">
        <f>VLOOKUP(A732,Ucto_HK_summ!$A$2:$D$963,4,FALSE)</f>
        <v>0</v>
      </c>
    </row>
    <row r="733" spans="1:5">
      <c r="A733" s="578" t="s">
        <v>977</v>
      </c>
      <c r="C733">
        <v>0</v>
      </c>
      <c r="D733">
        <v>-117.23</v>
      </c>
      <c r="E733">
        <f>VLOOKUP(A733,Ucto_HK_summ!$A$2:$D$963,4,FALSE)</f>
        <v>0</v>
      </c>
    </row>
    <row r="734" spans="1:5">
      <c r="A734" s="577" t="s">
        <v>2530</v>
      </c>
      <c r="C734" s="369">
        <v>0</v>
      </c>
      <c r="D734" s="369">
        <v>-478.89</v>
      </c>
      <c r="E734">
        <f>VLOOKUP(A734,Ucto_HK_summ!$A$2:$D$963,4,FALSE)</f>
        <v>-361.68</v>
      </c>
    </row>
    <row r="735" spans="1:5">
      <c r="E735" t="e">
        <f>VLOOKUP(A735,Ucto_HK_summ!$A$2:$D$963,4,FALSE)</f>
        <v>#N/A</v>
      </c>
    </row>
    <row r="736" spans="1:5">
      <c r="A736" s="578" t="s">
        <v>2733</v>
      </c>
      <c r="B736" s="578" t="s">
        <v>985</v>
      </c>
      <c r="C736">
        <v>0</v>
      </c>
      <c r="D736">
        <v>-270</v>
      </c>
      <c r="E736">
        <f>VLOOKUP(A736,Ucto_HK_summ!$A$2:$D$963,4,FALSE)</f>
        <v>-390</v>
      </c>
    </row>
    <row r="737" spans="1:5">
      <c r="A737" s="578" t="s">
        <v>984</v>
      </c>
      <c r="C737">
        <v>0</v>
      </c>
      <c r="D737">
        <v>-270</v>
      </c>
      <c r="E737">
        <f>VLOOKUP(A737,Ucto_HK_summ!$A$2:$D$963,4,FALSE)</f>
        <v>-390</v>
      </c>
    </row>
    <row r="738" spans="1:5">
      <c r="A738" s="578" t="s">
        <v>2531</v>
      </c>
      <c r="B738" s="578" t="s">
        <v>987</v>
      </c>
      <c r="C738">
        <v>0</v>
      </c>
      <c r="D738">
        <v>-371.16</v>
      </c>
      <c r="E738">
        <f>VLOOKUP(A738,Ucto_HK_summ!$A$2:$D$963,4,FALSE)</f>
        <v>-31338.76</v>
      </c>
    </row>
    <row r="739" spans="1:5">
      <c r="A739" s="578" t="s">
        <v>986</v>
      </c>
      <c r="C739">
        <v>0</v>
      </c>
      <c r="D739">
        <v>-371.16</v>
      </c>
      <c r="E739">
        <f>VLOOKUP(A739,Ucto_HK_summ!$A$2:$D$963,4,FALSE)</f>
        <v>-31338.76</v>
      </c>
    </row>
    <row r="740" spans="1:5">
      <c r="A740" s="577" t="s">
        <v>2532</v>
      </c>
      <c r="C740" s="369">
        <v>0</v>
      </c>
      <c r="D740" s="369">
        <v>-641.16</v>
      </c>
      <c r="E740">
        <f>VLOOKUP(A740,Ucto_HK_summ!$A$2:$D$963,4,FALSE)</f>
        <v>-31728.76</v>
      </c>
    </row>
    <row r="741" spans="1:5">
      <c r="E741" t="e">
        <f>VLOOKUP(A741,Ucto_HK_summ!$A$2:$D$963,4,FALSE)</f>
        <v>#N/A</v>
      </c>
    </row>
    <row r="742" spans="1:5">
      <c r="A742" s="578" t="s">
        <v>2533</v>
      </c>
      <c r="B742" s="578" t="s">
        <v>2534</v>
      </c>
      <c r="C742">
        <v>0</v>
      </c>
      <c r="D742" s="513">
        <v>-10716.79</v>
      </c>
      <c r="E742">
        <f>VLOOKUP(A742,Ucto_HK_summ!$A$2:$D$963,4,FALSE)</f>
        <v>-5556.71</v>
      </c>
    </row>
    <row r="743" spans="1:5">
      <c r="A743" s="578" t="s">
        <v>989</v>
      </c>
      <c r="C743">
        <v>0</v>
      </c>
      <c r="D743" s="513">
        <v>-10716.79</v>
      </c>
      <c r="E743">
        <f>VLOOKUP(A743,Ucto_HK_summ!$A$2:$D$963,4,FALSE)</f>
        <v>-5556.71</v>
      </c>
    </row>
    <row r="744" spans="1:5">
      <c r="A744" s="578" t="s">
        <v>2539</v>
      </c>
      <c r="B744" s="578" t="s">
        <v>2540</v>
      </c>
      <c r="C744">
        <v>0</v>
      </c>
      <c r="D744" s="513">
        <v>-994300.17</v>
      </c>
      <c r="E744">
        <f>VLOOKUP(A744,Ucto_HK_summ!$A$2:$D$963,4,FALSE)</f>
        <v>-994350.11</v>
      </c>
    </row>
    <row r="745" spans="1:5">
      <c r="A745" s="578" t="s">
        <v>2541</v>
      </c>
      <c r="B745" s="578" t="s">
        <v>2542</v>
      </c>
      <c r="C745">
        <v>0</v>
      </c>
      <c r="D745" s="513">
        <v>-9223.81</v>
      </c>
      <c r="E745">
        <f>VLOOKUP(A745,Ucto_HK_summ!$A$2:$D$963,4,FALSE)</f>
        <v>-9105.27</v>
      </c>
    </row>
    <row r="746" spans="1:5">
      <c r="A746" s="578" t="s">
        <v>2543</v>
      </c>
      <c r="B746" s="578" t="s">
        <v>2544</v>
      </c>
      <c r="C746">
        <v>0</v>
      </c>
      <c r="D746" s="513">
        <v>-52269.62</v>
      </c>
      <c r="E746">
        <f>VLOOKUP(A746,Ucto_HK_summ!$A$2:$D$963,4,FALSE)</f>
        <v>-51596.43</v>
      </c>
    </row>
    <row r="747" spans="1:5">
      <c r="A747" s="578" t="s">
        <v>2545</v>
      </c>
      <c r="B747" s="578" t="s">
        <v>2546</v>
      </c>
      <c r="C747">
        <v>0</v>
      </c>
      <c r="D747" s="513">
        <v>-132863.57</v>
      </c>
      <c r="E747">
        <f>VLOOKUP(A747,Ucto_HK_summ!$A$2:$D$963,4,FALSE)</f>
        <v>-131682.53</v>
      </c>
    </row>
    <row r="748" spans="1:5">
      <c r="A748" s="578" t="s">
        <v>2547</v>
      </c>
      <c r="B748" s="578" t="s">
        <v>2548</v>
      </c>
      <c r="C748">
        <v>0</v>
      </c>
      <c r="D748" s="513">
        <v>-752884.1</v>
      </c>
      <c r="E748">
        <f>VLOOKUP(A748,Ucto_HK_summ!$A$2:$D$963,4,FALSE)</f>
        <v>-746187.46</v>
      </c>
    </row>
    <row r="749" spans="1:5">
      <c r="A749" s="578" t="s">
        <v>991</v>
      </c>
      <c r="C749">
        <v>0</v>
      </c>
      <c r="D749" s="513">
        <v>-1941541.27</v>
      </c>
      <c r="E749">
        <f>VLOOKUP(A749,Ucto_HK_summ!$A$2:$D$963,4,FALSE)</f>
        <v>-1932921.8</v>
      </c>
    </row>
    <row r="750" spans="1:5">
      <c r="A750" s="578" t="s">
        <v>2549</v>
      </c>
      <c r="B750" s="578" t="s">
        <v>2550</v>
      </c>
      <c r="C750">
        <v>0</v>
      </c>
      <c r="D750" s="513">
        <v>-4637.88</v>
      </c>
      <c r="E750">
        <f>VLOOKUP(A750,Ucto_HK_summ!$A$2:$D$963,4,FALSE)</f>
        <v>-5360</v>
      </c>
    </row>
    <row r="751" spans="1:5">
      <c r="A751" s="578" t="s">
        <v>993</v>
      </c>
      <c r="C751">
        <v>0</v>
      </c>
      <c r="D751" s="513">
        <v>-4637.88</v>
      </c>
      <c r="E751">
        <f>VLOOKUP(A751,Ucto_HK_summ!$A$2:$D$963,4,FALSE)</f>
        <v>-5360</v>
      </c>
    </row>
    <row r="752" spans="1:5">
      <c r="A752" s="578" t="s">
        <v>2553</v>
      </c>
      <c r="B752" s="578" t="s">
        <v>2554</v>
      </c>
      <c r="C752">
        <v>0</v>
      </c>
      <c r="D752" s="513">
        <v>-24297.06</v>
      </c>
      <c r="E752">
        <f>VLOOKUP(A752,Ucto_HK_summ!$A$2:$D$963,4,FALSE)</f>
        <v>-44122.44</v>
      </c>
    </row>
    <row r="753" spans="1:5">
      <c r="A753" s="578" t="s">
        <v>1001</v>
      </c>
      <c r="C753">
        <v>0</v>
      </c>
      <c r="D753" s="513">
        <v>-24297.06</v>
      </c>
      <c r="E753">
        <f>VLOOKUP(A753,Ucto_HK_summ!$A$2:$D$963,4,FALSE)</f>
        <v>-44122.44</v>
      </c>
    </row>
    <row r="754" spans="1:5">
      <c r="A754" s="578" t="s">
        <v>2555</v>
      </c>
      <c r="B754" s="578" t="s">
        <v>2556</v>
      </c>
      <c r="C754">
        <v>0</v>
      </c>
      <c r="D754" s="513">
        <v>-26895.45</v>
      </c>
      <c r="E754">
        <f>VLOOKUP(A754,Ucto_HK_summ!$A$2:$D$963,4,FALSE)</f>
        <v>-22815.13</v>
      </c>
    </row>
    <row r="755" spans="1:5">
      <c r="A755" s="578" t="s">
        <v>1003</v>
      </c>
      <c r="C755">
        <v>0</v>
      </c>
      <c r="D755" s="513">
        <v>-26895.45</v>
      </c>
      <c r="E755">
        <f>VLOOKUP(A755,Ucto_HK_summ!$A$2:$D$963,4,FALSE)</f>
        <v>-22815.13</v>
      </c>
    </row>
    <row r="756" spans="1:5">
      <c r="A756" s="577" t="s">
        <v>2557</v>
      </c>
      <c r="C756" s="369">
        <v>0</v>
      </c>
      <c r="D756" s="579">
        <v>-2008088.45</v>
      </c>
      <c r="E756">
        <f>VLOOKUP(A756,Ucto_HK_summ!$A$2:$D$963,4,FALSE)</f>
        <v>-2010776.08</v>
      </c>
    </row>
    <row r="757" spans="1:5">
      <c r="E757" t="e">
        <f>VLOOKUP(A757,Ucto_HK_summ!$A$2:$D$963,4,FALSE)</f>
        <v>#N/A</v>
      </c>
    </row>
    <row r="758" spans="1:5">
      <c r="A758" s="577" t="s">
        <v>2558</v>
      </c>
      <c r="C758" s="369">
        <v>0</v>
      </c>
      <c r="D758" s="579">
        <v>-126163364.05</v>
      </c>
      <c r="E758">
        <f>VLOOKUP(A758,Ucto_HK_summ!$A$2:$D$963,4,FALSE)</f>
        <v>-99077527.159999996</v>
      </c>
    </row>
    <row r="759" spans="1:5">
      <c r="E759" t="e">
        <f>VLOOKUP(A759,Ucto_HK_summ!$A$2:$D$963,4,FALSE)</f>
        <v>#N/A</v>
      </c>
    </row>
    <row r="760" spans="1:5">
      <c r="E760" t="e">
        <f>VLOOKUP(A760,Ucto_HK_summ!$A$2:$D$963,4,FALSE)</f>
        <v>#N/A</v>
      </c>
    </row>
    <row r="761" spans="1:5">
      <c r="A761" s="578" t="s">
        <v>2559</v>
      </c>
      <c r="B761" s="578" t="s">
        <v>2560</v>
      </c>
      <c r="C761" s="513">
        <v>990920.16</v>
      </c>
      <c r="D761" s="513">
        <v>990920.16</v>
      </c>
      <c r="E761">
        <f>VLOOKUP(A761,Ucto_HK_summ!$A$2:$D$963,4,FALSE)</f>
        <v>990920.16</v>
      </c>
    </row>
    <row r="762" spans="1:5">
      <c r="A762" s="578" t="s">
        <v>2561</v>
      </c>
      <c r="B762" s="578" t="s">
        <v>2562</v>
      </c>
      <c r="C762" s="513">
        <v>5615214.1699999999</v>
      </c>
      <c r="D762" s="513">
        <v>5615214.1699999999</v>
      </c>
      <c r="E762">
        <f>VLOOKUP(A762,Ucto_HK_summ!$A$2:$D$963,4,FALSE)</f>
        <v>5615214.1699999999</v>
      </c>
    </row>
    <row r="763" spans="1:5">
      <c r="A763" s="578" t="s">
        <v>2563</v>
      </c>
      <c r="C763" s="513">
        <v>6606134.3300000001</v>
      </c>
      <c r="D763" s="513">
        <v>6606134.3300000001</v>
      </c>
      <c r="E763">
        <f>VLOOKUP(A763,Ucto_HK_summ!$A$2:$D$963,4,FALSE)</f>
        <v>6606134.3300000001</v>
      </c>
    </row>
    <row r="764" spans="1:5">
      <c r="A764" s="578" t="s">
        <v>2564</v>
      </c>
      <c r="B764" s="578" t="s">
        <v>2565</v>
      </c>
      <c r="C764" s="513">
        <v>433735.23</v>
      </c>
      <c r="D764" s="513">
        <v>434589.35</v>
      </c>
      <c r="E764">
        <f>VLOOKUP(A764,Ucto_HK_summ!$A$2:$D$963,4,FALSE)</f>
        <v>433735.23</v>
      </c>
    </row>
    <row r="765" spans="1:5">
      <c r="A765" s="578" t="s">
        <v>2566</v>
      </c>
      <c r="C765" s="513">
        <v>433735.23</v>
      </c>
      <c r="D765" s="513">
        <v>434589.35</v>
      </c>
      <c r="E765">
        <f>VLOOKUP(A765,Ucto_HK_summ!$A$2:$D$963,4,FALSE)</f>
        <v>433735.23</v>
      </c>
    </row>
    <row r="766" spans="1:5">
      <c r="A766" s="578" t="s">
        <v>2567</v>
      </c>
      <c r="B766" s="578" t="s">
        <v>2568</v>
      </c>
      <c r="C766" s="513">
        <v>1370.25</v>
      </c>
      <c r="D766" s="513">
        <v>1370.25</v>
      </c>
      <c r="E766">
        <f>VLOOKUP(A766,Ucto_HK_summ!$A$2:$D$963,4,FALSE)</f>
        <v>1370.25</v>
      </c>
    </row>
    <row r="767" spans="1:5">
      <c r="A767" s="578" t="s">
        <v>2569</v>
      </c>
      <c r="B767" s="578" t="s">
        <v>2570</v>
      </c>
      <c r="C767" s="513">
        <v>15639.95</v>
      </c>
      <c r="D767" s="513">
        <v>16801.95</v>
      </c>
      <c r="E767">
        <f>VLOOKUP(A767,Ucto_HK_summ!$A$2:$D$963,4,FALSE)</f>
        <v>15639.95</v>
      </c>
    </row>
    <row r="768" spans="1:5">
      <c r="A768" s="578" t="s">
        <v>2571</v>
      </c>
      <c r="B768" s="578" t="s">
        <v>2572</v>
      </c>
      <c r="C768" s="513">
        <v>1927.28</v>
      </c>
      <c r="D768" s="513">
        <v>2321.1799999999998</v>
      </c>
      <c r="E768">
        <f>VLOOKUP(A768,Ucto_HK_summ!$A$2:$D$963,4,FALSE)</f>
        <v>1927.28</v>
      </c>
    </row>
    <row r="769" spans="1:5">
      <c r="A769" s="578" t="s">
        <v>2573</v>
      </c>
      <c r="B769" s="578" t="s">
        <v>2574</v>
      </c>
      <c r="C769" s="513">
        <v>1245.6500000000001</v>
      </c>
      <c r="D769" s="513">
        <v>1639.55</v>
      </c>
      <c r="E769">
        <f>VLOOKUP(A769,Ucto_HK_summ!$A$2:$D$963,4,FALSE)</f>
        <v>1245.6500000000001</v>
      </c>
    </row>
    <row r="770" spans="1:5">
      <c r="A770" s="578" t="s">
        <v>2575</v>
      </c>
      <c r="C770" s="513">
        <v>20183.13</v>
      </c>
      <c r="D770" s="513">
        <v>22132.93</v>
      </c>
      <c r="E770">
        <f>VLOOKUP(A770,Ucto_HK_summ!$A$2:$D$963,4,FALSE)</f>
        <v>20183.13</v>
      </c>
    </row>
    <row r="771" spans="1:5">
      <c r="A771" s="578" t="s">
        <v>2576</v>
      </c>
      <c r="B771" s="578" t="s">
        <v>2577</v>
      </c>
      <c r="C771" s="513">
        <v>10532203.359999999</v>
      </c>
      <c r="D771" s="513">
        <v>10750755.189999999</v>
      </c>
      <c r="E771">
        <f>VLOOKUP(A771,Ucto_HK_summ!$A$2:$D$963,4,FALSE)</f>
        <v>10532203.359999999</v>
      </c>
    </row>
    <row r="772" spans="1:5">
      <c r="A772" s="578" t="s">
        <v>2578</v>
      </c>
      <c r="B772" s="578" t="s">
        <v>2579</v>
      </c>
      <c r="C772" s="513">
        <v>71984.740000000005</v>
      </c>
      <c r="D772" s="513">
        <v>71256.539999999994</v>
      </c>
      <c r="E772">
        <f>VLOOKUP(A772,Ucto_HK_summ!$A$2:$D$963,4,FALSE)</f>
        <v>71984.740000000005</v>
      </c>
    </row>
    <row r="773" spans="1:5">
      <c r="A773" s="578" t="s">
        <v>2580</v>
      </c>
      <c r="B773" s="578" t="s">
        <v>2581</v>
      </c>
      <c r="C773" s="513">
        <v>182353.26</v>
      </c>
      <c r="D773" s="513">
        <v>199487.38</v>
      </c>
      <c r="E773">
        <f>VLOOKUP(A773,Ucto_HK_summ!$A$2:$D$963,4,FALSE)</f>
        <v>182353.26</v>
      </c>
    </row>
    <row r="774" spans="1:5">
      <c r="A774" s="578" t="s">
        <v>2582</v>
      </c>
      <c r="B774" s="578" t="s">
        <v>2583</v>
      </c>
      <c r="C774" s="513">
        <v>8714989.2100000009</v>
      </c>
      <c r="D774" s="513">
        <v>9272304.6500000004</v>
      </c>
      <c r="E774">
        <f>VLOOKUP(A774,Ucto_HK_summ!$A$2:$D$963,4,FALSE)</f>
        <v>8714989.2100000009</v>
      </c>
    </row>
    <row r="775" spans="1:5">
      <c r="A775" s="578" t="s">
        <v>2584</v>
      </c>
      <c r="C775" s="513">
        <v>19501530.57</v>
      </c>
      <c r="D775" s="513">
        <v>20293803.760000002</v>
      </c>
      <c r="E775">
        <f>VLOOKUP(A775,Ucto_HK_summ!$A$2:$D$963,4,FALSE)</f>
        <v>19501530.57</v>
      </c>
    </row>
    <row r="776" spans="1:5">
      <c r="A776" s="577" t="s">
        <v>2588</v>
      </c>
      <c r="C776" s="579">
        <v>26561583.260000002</v>
      </c>
      <c r="D776" s="579">
        <v>27356660.370000001</v>
      </c>
      <c r="E776">
        <f>VLOOKUP(A776,Ucto_HK_summ!$A$2:$D$963,4,FALSE)</f>
        <v>26561583.260000002</v>
      </c>
    </row>
    <row r="777" spans="1:5">
      <c r="E777" t="e">
        <f>VLOOKUP(A777,Ucto_HK_summ!$A$2:$D$963,4,FALSE)</f>
        <v>#N/A</v>
      </c>
    </row>
    <row r="778" spans="1:5">
      <c r="A778" s="578" t="s">
        <v>2589</v>
      </c>
      <c r="B778" s="578" t="s">
        <v>2590</v>
      </c>
      <c r="C778" s="513">
        <v>2622837.2999999998</v>
      </c>
      <c r="D778" s="513">
        <v>2622837.2999999998</v>
      </c>
      <c r="E778">
        <f>VLOOKUP(A778,Ucto_HK_summ!$A$2:$D$963,4,FALSE)</f>
        <v>2622837.2999999998</v>
      </c>
    </row>
    <row r="779" spans="1:5">
      <c r="A779" s="578" t="s">
        <v>2591</v>
      </c>
      <c r="B779" s="578" t="s">
        <v>2592</v>
      </c>
      <c r="C779" s="513">
        <v>-2622837.2999999998</v>
      </c>
      <c r="D779" s="513">
        <v>-2622837.2999999998</v>
      </c>
      <c r="E779">
        <f>VLOOKUP(A779,Ucto_HK_summ!$A$2:$D$963,4,FALSE)</f>
        <v>-2622837.2999999998</v>
      </c>
    </row>
    <row r="780" spans="1:5">
      <c r="A780" s="578" t="s">
        <v>2593</v>
      </c>
      <c r="B780" s="578" t="s">
        <v>2594</v>
      </c>
      <c r="C780" s="513">
        <v>92298.46</v>
      </c>
      <c r="D780" s="513">
        <v>93027.41</v>
      </c>
      <c r="E780">
        <f>VLOOKUP(A780,Ucto_HK_summ!$A$2:$D$963,4,FALSE)</f>
        <v>92298.46</v>
      </c>
    </row>
    <row r="781" spans="1:5">
      <c r="A781" s="578" t="s">
        <v>2595</v>
      </c>
      <c r="C781" s="513">
        <v>92298.46</v>
      </c>
      <c r="D781" s="513">
        <v>93027.41</v>
      </c>
      <c r="E781">
        <f>VLOOKUP(A781,Ucto_HK_summ!$A$2:$D$963,4,FALSE)</f>
        <v>92298.46</v>
      </c>
    </row>
    <row r="782" spans="1:5">
      <c r="A782" s="577" t="s">
        <v>2596</v>
      </c>
      <c r="C782" s="579">
        <v>92298.46</v>
      </c>
      <c r="D782" s="579">
        <v>93027.41</v>
      </c>
      <c r="E782">
        <f>VLOOKUP(A782,Ucto_HK_summ!$A$2:$D$963,4,FALSE)</f>
        <v>92298.46</v>
      </c>
    </row>
    <row r="783" spans="1:5">
      <c r="E783" t="e">
        <f>VLOOKUP(A783,Ucto_HK_summ!$A$2:$D$963,4,FALSE)</f>
        <v>#N/A</v>
      </c>
    </row>
    <row r="784" spans="1:5">
      <c r="A784" s="578" t="s">
        <v>2597</v>
      </c>
      <c r="B784" s="578" t="s">
        <v>2598</v>
      </c>
      <c r="C784" s="513">
        <v>19905.32</v>
      </c>
      <c r="D784" s="513">
        <v>21570.14</v>
      </c>
      <c r="E784">
        <f>VLOOKUP(A784,Ucto_HK_summ!$A$2:$D$963,4,FALSE)</f>
        <v>19905.32</v>
      </c>
    </row>
    <row r="785" spans="1:5">
      <c r="A785" s="578" t="s">
        <v>2599</v>
      </c>
      <c r="B785" s="578" t="s">
        <v>2600</v>
      </c>
      <c r="C785" s="513">
        <v>23972.82</v>
      </c>
      <c r="D785" s="513">
        <v>27151.22</v>
      </c>
      <c r="E785">
        <f>VLOOKUP(A785,Ucto_HK_summ!$A$2:$D$963,4,FALSE)</f>
        <v>23972.82</v>
      </c>
    </row>
    <row r="786" spans="1:5">
      <c r="A786" s="578" t="s">
        <v>2601</v>
      </c>
      <c r="C786" s="513">
        <v>43878.14</v>
      </c>
      <c r="D786" s="513">
        <v>48721.36</v>
      </c>
      <c r="E786">
        <f>VLOOKUP(A786,Ucto_HK_summ!$A$2:$D$963,4,FALSE)</f>
        <v>43878.14</v>
      </c>
    </row>
    <row r="787" spans="1:5">
      <c r="A787" s="577" t="s">
        <v>2602</v>
      </c>
      <c r="C787" s="579">
        <v>43878.14</v>
      </c>
      <c r="D787" s="579">
        <v>48721.36</v>
      </c>
      <c r="E787">
        <f>VLOOKUP(A787,Ucto_HK_summ!$A$2:$D$963,4,FALSE)</f>
        <v>43878.14</v>
      </c>
    </row>
    <row r="788" spans="1:5">
      <c r="E788" t="e">
        <f>VLOOKUP(A788,Ucto_HK_summ!$A$2:$D$963,4,FALSE)</f>
        <v>#N/A</v>
      </c>
    </row>
    <row r="789" spans="1:5">
      <c r="A789" s="578" t="s">
        <v>2603</v>
      </c>
      <c r="B789" s="578" t="s">
        <v>2604</v>
      </c>
      <c r="C789" s="513">
        <v>-26697759.859999999</v>
      </c>
      <c r="D789" s="513">
        <v>-27498409.140000001</v>
      </c>
      <c r="E789">
        <f>VLOOKUP(A789,Ucto_HK_summ!$A$2:$D$963,4,FALSE)</f>
        <v>-26697759.859999999</v>
      </c>
    </row>
    <row r="790" spans="1:5">
      <c r="A790" s="578" t="s">
        <v>2605</v>
      </c>
      <c r="C790" s="513">
        <v>-26697759.859999999</v>
      </c>
      <c r="D790" s="513">
        <v>-27498409.140000001</v>
      </c>
      <c r="E790">
        <f>VLOOKUP(A790,Ucto_HK_summ!$A$2:$D$963,4,FALSE)</f>
        <v>-26697759.859999999</v>
      </c>
    </row>
    <row r="791" spans="1:5">
      <c r="A791" s="577" t="s">
        <v>2606</v>
      </c>
      <c r="C791" s="579">
        <v>-26697759.859999999</v>
      </c>
      <c r="D791" s="579">
        <v>-27498409.140000001</v>
      </c>
      <c r="E791">
        <f>VLOOKUP(A791,Ucto_HK_summ!$A$2:$D$963,4,FALSE)</f>
        <v>-26697759.859999999</v>
      </c>
    </row>
    <row r="792" spans="1:5">
      <c r="E792" t="e">
        <f>VLOOKUP(A792,Ucto_HK_summ!$A$2:$D$963,4,FALSE)</f>
        <v>#N/A</v>
      </c>
    </row>
    <row r="793" spans="1:5">
      <c r="A793" s="577" t="s">
        <v>2607</v>
      </c>
      <c r="C793" s="369">
        <v>0</v>
      </c>
      <c r="D793" s="369">
        <v>0</v>
      </c>
      <c r="E793">
        <f>VLOOKUP(A793,Ucto_HK_summ!$A$2:$D$963,4,FALSE)</f>
        <v>0</v>
      </c>
    </row>
    <row r="794" spans="1:5">
      <c r="E794" t="e">
        <f>VLOOKUP(A794,Ucto_HK_summ!$A$2:$D$963,4,FALSE)</f>
        <v>#N/A</v>
      </c>
    </row>
    <row r="795" spans="1:5">
      <c r="E795" t="e">
        <f>VLOOKUP(A795,Ucto_HK_summ!$A$2:$D$963,4,FALSE)</f>
        <v>#N/A</v>
      </c>
    </row>
    <row r="796" spans="1:5">
      <c r="A796" s="578" t="s">
        <v>2608</v>
      </c>
      <c r="B796" s="578" t="s">
        <v>2609</v>
      </c>
      <c r="C796">
        <v>0</v>
      </c>
      <c r="D796" s="513">
        <v>-424390.65</v>
      </c>
      <c r="E796">
        <f>VLOOKUP(A796,Ucto_HK_summ!$A$2:$D$963,4,FALSE)</f>
        <v>0</v>
      </c>
    </row>
    <row r="797" spans="1:5">
      <c r="A797" s="578" t="s">
        <v>2610</v>
      </c>
      <c r="B797" s="578" t="s">
        <v>2611</v>
      </c>
      <c r="C797">
        <v>0</v>
      </c>
      <c r="D797" s="513">
        <v>-121605.32</v>
      </c>
      <c r="E797">
        <f>VLOOKUP(A797,Ucto_HK_summ!$A$2:$D$963,4,FALSE)</f>
        <v>0</v>
      </c>
    </row>
    <row r="798" spans="1:5">
      <c r="A798" s="578" t="s">
        <v>2612</v>
      </c>
      <c r="B798" s="578" t="s">
        <v>2613</v>
      </c>
      <c r="C798">
        <v>0</v>
      </c>
      <c r="D798" s="513">
        <v>-52298.82</v>
      </c>
      <c r="E798">
        <f>VLOOKUP(A798,Ucto_HK_summ!$A$2:$D$963,4,FALSE)</f>
        <v>0</v>
      </c>
    </row>
    <row r="799" spans="1:5">
      <c r="A799" s="578" t="s">
        <v>2614</v>
      </c>
      <c r="B799" s="578" t="s">
        <v>2615</v>
      </c>
      <c r="C799">
        <v>0</v>
      </c>
      <c r="D799" s="513">
        <v>-1452812.14</v>
      </c>
      <c r="E799">
        <f>VLOOKUP(A799,Ucto_HK_summ!$A$2:$D$963,4,FALSE)</f>
        <v>0</v>
      </c>
    </row>
    <row r="800" spans="1:5">
      <c r="A800" s="578" t="s">
        <v>2616</v>
      </c>
      <c r="B800" s="578" t="s">
        <v>2617</v>
      </c>
      <c r="C800" s="513">
        <v>-5563355.3200000003</v>
      </c>
      <c r="D800" s="513">
        <v>-2021557.73</v>
      </c>
      <c r="E800">
        <f>VLOOKUP(A800,Ucto_HK_summ!$A$2:$D$963,4,FALSE)</f>
        <v>-5563355.3200000003</v>
      </c>
    </row>
    <row r="801" spans="1:5">
      <c r="A801" s="578" t="s">
        <v>2618</v>
      </c>
      <c r="B801" s="578" t="s">
        <v>2619</v>
      </c>
      <c r="C801" s="513">
        <v>-12088963.800000001</v>
      </c>
      <c r="D801" s="513">
        <v>-12088963.800000001</v>
      </c>
      <c r="E801">
        <f>VLOOKUP(A801,Ucto_HK_summ!$A$2:$D$963,4,FALSE)</f>
        <v>-12088963.800000001</v>
      </c>
    </row>
    <row r="802" spans="1:5">
      <c r="A802" s="578" t="s">
        <v>2620</v>
      </c>
      <c r="B802" s="588" t="s">
        <v>2621</v>
      </c>
      <c r="C802">
        <v>0</v>
      </c>
      <c r="D802" s="513">
        <v>-11175744.99</v>
      </c>
      <c r="E802">
        <f>VLOOKUP(A802,Ucto_HK_summ!$A$2:$D$963,4,FALSE)</f>
        <v>0</v>
      </c>
    </row>
    <row r="803" spans="1:5">
      <c r="A803" s="578" t="s">
        <v>2626</v>
      </c>
      <c r="B803" s="578" t="s">
        <v>2627</v>
      </c>
      <c r="C803" s="513">
        <v>-608873.73</v>
      </c>
      <c r="D803" s="513">
        <v>-608873.73</v>
      </c>
      <c r="E803">
        <f>VLOOKUP(A803,Ucto_HK_summ!$A$2:$D$963,4,FALSE)</f>
        <v>-608873.73</v>
      </c>
    </row>
    <row r="804" spans="1:5">
      <c r="A804" s="578" t="s">
        <v>2628</v>
      </c>
      <c r="B804" s="578" t="s">
        <v>2629</v>
      </c>
      <c r="C804" s="513">
        <v>18261192.850000001</v>
      </c>
      <c r="D804" s="513">
        <v>27946247.18</v>
      </c>
      <c r="E804">
        <f>VLOOKUP(A804,Ucto_HK_summ!$A$2:$D$963,4,FALSE)</f>
        <v>18261192.850000001</v>
      </c>
    </row>
    <row r="805" spans="1:5">
      <c r="A805" s="578" t="s">
        <v>2630</v>
      </c>
      <c r="C805">
        <v>0</v>
      </c>
      <c r="D805">
        <v>0</v>
      </c>
      <c r="E805">
        <f>VLOOKUP(A805,Ucto_HK_summ!$A$2:$D$963,4,FALSE)</f>
        <v>0</v>
      </c>
    </row>
    <row r="806" spans="1:5">
      <c r="A806" s="577" t="s">
        <v>2631</v>
      </c>
      <c r="C806" s="369">
        <v>0</v>
      </c>
      <c r="D806" s="369">
        <v>0</v>
      </c>
      <c r="E806">
        <f>VLOOKUP(A806,Ucto_HK_summ!$A$2:$D$963,4,FALSE)</f>
        <v>0</v>
      </c>
    </row>
    <row r="807" spans="1:5">
      <c r="E807" t="e">
        <f>VLOOKUP(A807,Ucto_HK_summ!$A$2:$D$963,4,FALSE)</f>
        <v>#N/A</v>
      </c>
    </row>
    <row r="808" spans="1:5">
      <c r="A808" s="577" t="s">
        <v>2632</v>
      </c>
      <c r="C808" s="369">
        <v>0</v>
      </c>
      <c r="D808" s="369">
        <v>0</v>
      </c>
      <c r="E808">
        <f>VLOOKUP(A808,Ucto_HK_summ!$A$2:$D$963,4,FALSE)</f>
        <v>0</v>
      </c>
    </row>
    <row r="809" spans="1:5">
      <c r="E809" t="e">
        <f>VLOOKUP(A809,Ucto_HK_summ!$A$2:$D$963,4,FALSE)</f>
        <v>#N/A</v>
      </c>
    </row>
    <row r="810" spans="1:5">
      <c r="E810" t="e">
        <f>VLOOKUP(A810,Ucto_HK_summ!$A$2:$D$963,4,FALSE)</f>
        <v>#N/A</v>
      </c>
    </row>
    <row r="811" spans="1:5">
      <c r="A811" s="578" t="s">
        <v>2639</v>
      </c>
      <c r="C811">
        <v>0</v>
      </c>
      <c r="D811">
        <v>0</v>
      </c>
      <c r="E811">
        <f>VLOOKUP(A811,Ucto_HK_summ!$A$2:$D$963,4,FALSE)</f>
        <v>0</v>
      </c>
    </row>
    <row r="812" spans="1:5">
      <c r="A812" s="577" t="s">
        <v>2640</v>
      </c>
      <c r="C812" s="369">
        <v>0</v>
      </c>
      <c r="D812" s="369">
        <v>0</v>
      </c>
      <c r="E812">
        <f>VLOOKUP(A812,Ucto_HK_summ!$A$2:$D$963,4,FALSE)</f>
        <v>0</v>
      </c>
    </row>
    <row r="813" spans="1:5">
      <c r="A813" s="577" t="s">
        <v>2641</v>
      </c>
      <c r="C813" s="369">
        <v>0</v>
      </c>
      <c r="D813" s="369">
        <v>0</v>
      </c>
      <c r="E813">
        <f>VLOOKUP(A813,Ucto_HK_summ!$A$2:$D$963,4,FALSE)</f>
        <v>0</v>
      </c>
    </row>
    <row r="814" spans="1:5">
      <c r="E814" t="e">
        <f>VLOOKUP(A814,Ucto_HK_summ!$A$2:$D$963,4,FALSE)</f>
        <v>#N/A</v>
      </c>
    </row>
    <row r="815" spans="1:5">
      <c r="A815" s="577" t="s">
        <v>1158</v>
      </c>
      <c r="C815" s="369">
        <v>0</v>
      </c>
      <c r="D815" s="369">
        <v>0</v>
      </c>
      <c r="E815">
        <f>VLOOKUP(A815,Ucto_HK_summ!$A$2:$D$963,4,FALSE)</f>
        <v>0</v>
      </c>
    </row>
    <row r="816" spans="1:5">
      <c r="E816" t="e">
        <f>VLOOKUP(A816,Ucto_HK_summ!$A$2:$D$963,4,FALSE)</f>
        <v>#N/A</v>
      </c>
    </row>
    <row r="817" spans="5:5">
      <c r="E817" t="e">
        <f>VLOOKUP(A817,Ucto_HK_summ!$A$2:$D$963,4,FALSE)</f>
        <v>#N/A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A74C5-BE13-4773-9842-50603B95917D}">
  <sheetPr>
    <tabColor theme="0"/>
  </sheetPr>
  <dimension ref="A1:D876"/>
  <sheetViews>
    <sheetView workbookViewId="0"/>
  </sheetViews>
  <sheetFormatPr baseColWidth="10" defaultColWidth="8.83203125" defaultRowHeight="15"/>
  <cols>
    <col min="1" max="1" width="20.6640625" bestFit="1" customWidth="1"/>
    <col min="2" max="2" width="31.5" bestFit="1" customWidth="1"/>
    <col min="3" max="3" width="20.5" bestFit="1" customWidth="1"/>
    <col min="4" max="4" width="22.33203125" bestFit="1" customWidth="1"/>
  </cols>
  <sheetData>
    <row r="1" spans="1:4">
      <c r="A1" s="577" t="s">
        <v>1206</v>
      </c>
      <c r="B1" s="577" t="s">
        <v>1207</v>
      </c>
      <c r="C1" s="577" t="s">
        <v>1208</v>
      </c>
      <c r="D1" s="577" t="s">
        <v>1209</v>
      </c>
    </row>
    <row r="2" spans="1:4">
      <c r="A2" s="578" t="s">
        <v>1210</v>
      </c>
      <c r="B2" s="578" t="s">
        <v>1211</v>
      </c>
      <c r="C2" s="513">
        <v>916508.92</v>
      </c>
      <c r="D2" s="513">
        <v>920788.6</v>
      </c>
    </row>
    <row r="3" spans="1:4">
      <c r="A3" s="578" t="s">
        <v>1212</v>
      </c>
      <c r="C3" s="513">
        <v>916508.92</v>
      </c>
      <c r="D3" s="513">
        <v>920788.6</v>
      </c>
    </row>
    <row r="4" spans="1:4">
      <c r="A4" s="577" t="s">
        <v>1213</v>
      </c>
      <c r="C4" s="579">
        <v>916508.92</v>
      </c>
      <c r="D4" s="579">
        <v>920788.6</v>
      </c>
    </row>
    <row r="6" spans="1:4">
      <c r="A6" s="578" t="s">
        <v>1214</v>
      </c>
      <c r="B6" s="578" t="s">
        <v>1215</v>
      </c>
      <c r="C6" s="513">
        <v>33041619.109999999</v>
      </c>
      <c r="D6" s="513">
        <v>33010936.690000001</v>
      </c>
    </row>
    <row r="7" spans="1:4">
      <c r="A7" s="578" t="s">
        <v>1216</v>
      </c>
      <c r="B7" s="578" t="s">
        <v>1217</v>
      </c>
      <c r="C7" s="513">
        <v>31943289.579999998</v>
      </c>
      <c r="D7" s="513">
        <v>32984692.449999999</v>
      </c>
    </row>
    <row r="8" spans="1:4">
      <c r="A8" s="578" t="s">
        <v>1218</v>
      </c>
      <c r="C8" s="513">
        <v>64984908.689999998</v>
      </c>
      <c r="D8" s="513">
        <v>65995629.140000001</v>
      </c>
    </row>
    <row r="9" spans="1:4">
      <c r="A9" s="578" t="s">
        <v>1219</v>
      </c>
      <c r="B9" s="578" t="s">
        <v>1220</v>
      </c>
      <c r="C9" s="513">
        <v>72753875.400000006</v>
      </c>
      <c r="D9" s="513">
        <v>74674288.409999996</v>
      </c>
    </row>
    <row r="10" spans="1:4">
      <c r="A10" s="578" t="s">
        <v>1221</v>
      </c>
      <c r="C10" s="513">
        <v>72753875.400000006</v>
      </c>
      <c r="D10" s="513">
        <v>74674288.409999996</v>
      </c>
    </row>
    <row r="11" spans="1:4">
      <c r="A11" s="578" t="s">
        <v>1222</v>
      </c>
      <c r="B11" s="578" t="s">
        <v>1223</v>
      </c>
      <c r="C11" s="513">
        <v>624614.56000000006</v>
      </c>
      <c r="D11" s="513">
        <v>639596.89</v>
      </c>
    </row>
    <row r="12" spans="1:4">
      <c r="A12" s="578" t="s">
        <v>1224</v>
      </c>
      <c r="C12" s="513">
        <v>624614.56000000006</v>
      </c>
      <c r="D12" s="513">
        <v>639596.89</v>
      </c>
    </row>
    <row r="13" spans="1:4">
      <c r="A13" s="578" t="s">
        <v>1225</v>
      </c>
      <c r="B13" s="578" t="s">
        <v>1226</v>
      </c>
      <c r="C13" s="513">
        <v>287464.31</v>
      </c>
      <c r="D13" s="513">
        <v>288686.67</v>
      </c>
    </row>
    <row r="14" spans="1:4">
      <c r="A14" s="578" t="s">
        <v>1227</v>
      </c>
      <c r="B14" s="578" t="s">
        <v>1228</v>
      </c>
      <c r="C14" s="513">
        <v>8634287.2899999991</v>
      </c>
      <c r="D14" s="513">
        <v>8634287.2899999991</v>
      </c>
    </row>
    <row r="15" spans="1:4">
      <c r="A15" s="578" t="s">
        <v>1229</v>
      </c>
      <c r="B15" s="578" t="s">
        <v>1230</v>
      </c>
      <c r="C15" s="513">
        <v>297460.92</v>
      </c>
      <c r="D15" s="513">
        <v>297460.92</v>
      </c>
    </row>
    <row r="16" spans="1:4">
      <c r="A16" s="578" t="s">
        <v>1231</v>
      </c>
      <c r="C16" s="513">
        <v>9219212.5199999996</v>
      </c>
      <c r="D16" s="513">
        <v>9220434.8800000008</v>
      </c>
    </row>
    <row r="17" spans="1:4">
      <c r="A17" s="577" t="s">
        <v>1232</v>
      </c>
      <c r="C17" s="579">
        <v>147582611.16999999</v>
      </c>
      <c r="D17" s="579">
        <v>150529949.31999999</v>
      </c>
    </row>
    <row r="19" spans="1:4">
      <c r="A19" s="578" t="s">
        <v>1233</v>
      </c>
      <c r="B19" s="578" t="s">
        <v>1234</v>
      </c>
      <c r="C19" s="513">
        <v>7954115.5899999999</v>
      </c>
      <c r="D19" s="513">
        <v>7950047.3399999999</v>
      </c>
    </row>
    <row r="20" spans="1:4">
      <c r="A20" s="578" t="s">
        <v>1235</v>
      </c>
      <c r="B20" s="578" t="s">
        <v>1236</v>
      </c>
      <c r="C20" s="513">
        <v>3639731.69</v>
      </c>
      <c r="D20" s="513">
        <v>3587652.16</v>
      </c>
    </row>
    <row r="21" spans="1:4">
      <c r="A21" s="578" t="s">
        <v>1237</v>
      </c>
      <c r="C21" s="513">
        <v>11593847.279999999</v>
      </c>
      <c r="D21" s="513">
        <v>11537699.5</v>
      </c>
    </row>
    <row r="22" spans="1:4">
      <c r="A22" s="578" t="s">
        <v>1238</v>
      </c>
      <c r="B22" s="578" t="s">
        <v>1239</v>
      </c>
      <c r="C22" s="513">
        <v>43644.53</v>
      </c>
      <c r="D22" s="513">
        <v>43644.53</v>
      </c>
    </row>
    <row r="23" spans="1:4">
      <c r="A23" s="578" t="s">
        <v>1240</v>
      </c>
      <c r="C23" s="513">
        <v>43644.53</v>
      </c>
      <c r="D23" s="513">
        <v>43644.53</v>
      </c>
    </row>
    <row r="24" spans="1:4">
      <c r="A24" s="577" t="s">
        <v>1241</v>
      </c>
      <c r="C24" s="579">
        <v>11637491.810000001</v>
      </c>
      <c r="D24" s="579">
        <v>11581344.029999999</v>
      </c>
    </row>
    <row r="26" spans="1:4">
      <c r="A26" s="578" t="s">
        <v>1242</v>
      </c>
      <c r="B26" s="578" t="s">
        <v>1243</v>
      </c>
      <c r="C26" s="513">
        <v>9956.4</v>
      </c>
      <c r="D26">
        <v>0</v>
      </c>
    </row>
    <row r="27" spans="1:4">
      <c r="A27" s="578" t="s">
        <v>1244</v>
      </c>
      <c r="C27" s="513">
        <v>9956.4</v>
      </c>
      <c r="D27">
        <v>0</v>
      </c>
    </row>
    <row r="28" spans="1:4">
      <c r="A28" s="578" t="s">
        <v>1245</v>
      </c>
      <c r="B28" s="578" t="s">
        <v>1246</v>
      </c>
      <c r="C28">
        <v>0</v>
      </c>
      <c r="D28" s="513">
        <v>205737.68</v>
      </c>
    </row>
    <row r="29" spans="1:4">
      <c r="A29" s="578" t="s">
        <v>1247</v>
      </c>
      <c r="B29" s="578" t="s">
        <v>1248</v>
      </c>
      <c r="C29" s="513">
        <v>669279.19999999995</v>
      </c>
      <c r="D29" s="513">
        <v>3538742.39</v>
      </c>
    </row>
    <row r="30" spans="1:4">
      <c r="A30" s="578" t="s">
        <v>1249</v>
      </c>
      <c r="B30" s="578" t="s">
        <v>1250</v>
      </c>
      <c r="C30" s="550">
        <v>65454</v>
      </c>
      <c r="D30" s="513">
        <v>293594.8</v>
      </c>
    </row>
    <row r="31" spans="1:4">
      <c r="A31" s="578" t="s">
        <v>2642</v>
      </c>
      <c r="B31" s="578" t="s">
        <v>2643</v>
      </c>
      <c r="C31">
        <v>0</v>
      </c>
      <c r="D31">
        <v>0</v>
      </c>
    </row>
    <row r="32" spans="1:4">
      <c r="A32" s="578" t="s">
        <v>1251</v>
      </c>
      <c r="C32" s="513">
        <v>734733.2</v>
      </c>
      <c r="D32" s="513">
        <v>4038074.87</v>
      </c>
    </row>
    <row r="33" spans="1:4">
      <c r="A33" s="577" t="s">
        <v>1252</v>
      </c>
      <c r="C33" s="579">
        <v>744689.6</v>
      </c>
      <c r="D33" s="579">
        <v>4038074.87</v>
      </c>
    </row>
    <row r="35" spans="1:4">
      <c r="A35" s="578" t="s">
        <v>1253</v>
      </c>
      <c r="B35" s="578" t="s">
        <v>1254</v>
      </c>
      <c r="C35">
        <v>0</v>
      </c>
      <c r="D35" s="513">
        <v>13359.6</v>
      </c>
    </row>
    <row r="36" spans="1:4">
      <c r="A36" s="578" t="s">
        <v>1255</v>
      </c>
      <c r="C36">
        <v>0</v>
      </c>
      <c r="D36" s="513">
        <v>13359.6</v>
      </c>
    </row>
    <row r="37" spans="1:4">
      <c r="A37" s="577" t="s">
        <v>1256</v>
      </c>
      <c r="C37" s="369">
        <v>0</v>
      </c>
      <c r="D37" s="579">
        <v>13359.6</v>
      </c>
    </row>
    <row r="39" spans="1:4">
      <c r="A39" s="578" t="s">
        <v>1257</v>
      </c>
      <c r="B39" s="578" t="s">
        <v>1258</v>
      </c>
      <c r="C39" s="513">
        <v>-847896.65</v>
      </c>
      <c r="D39" s="513">
        <v>-877769.74</v>
      </c>
    </row>
    <row r="40" spans="1:4">
      <c r="A40" s="578" t="s">
        <v>1259</v>
      </c>
      <c r="C40" s="513">
        <v>-847896.65</v>
      </c>
      <c r="D40" s="513">
        <v>-877769.74</v>
      </c>
    </row>
    <row r="41" spans="1:4">
      <c r="A41" s="577" t="s">
        <v>1260</v>
      </c>
      <c r="C41" s="579">
        <v>-847896.65</v>
      </c>
      <c r="D41" s="579">
        <v>-877769.74</v>
      </c>
    </row>
    <row r="43" spans="1:4">
      <c r="A43" s="578" t="s">
        <v>1261</v>
      </c>
      <c r="B43" s="578" t="s">
        <v>1262</v>
      </c>
      <c r="C43" s="513">
        <v>-37828339.119999997</v>
      </c>
      <c r="D43" s="513">
        <v>-39219639.920000002</v>
      </c>
    </row>
    <row r="44" spans="1:4">
      <c r="A44" s="578" t="s">
        <v>1263</v>
      </c>
      <c r="C44" s="513">
        <v>-37828339.119999997</v>
      </c>
      <c r="D44" s="513">
        <v>-39219639.920000002</v>
      </c>
    </row>
    <row r="45" spans="1:4">
      <c r="A45" s="578" t="s">
        <v>1264</v>
      </c>
      <c r="B45" s="578" t="s">
        <v>1265</v>
      </c>
      <c r="C45" s="513">
        <v>-60494798.640000001</v>
      </c>
      <c r="D45" s="513">
        <v>-59388836.590000004</v>
      </c>
    </row>
    <row r="46" spans="1:4">
      <c r="A46" s="578" t="s">
        <v>1266</v>
      </c>
      <c r="C46" s="513">
        <v>-60494798.640000001</v>
      </c>
      <c r="D46" s="513">
        <v>-59388836.590000004</v>
      </c>
    </row>
    <row r="47" spans="1:4">
      <c r="A47" s="578" t="s">
        <v>1267</v>
      </c>
      <c r="B47" s="578" t="s">
        <v>1268</v>
      </c>
      <c r="C47" s="513">
        <v>-584609.64</v>
      </c>
      <c r="D47" s="513">
        <v>-566669.97</v>
      </c>
    </row>
    <row r="48" spans="1:4">
      <c r="A48" s="578" t="s">
        <v>1269</v>
      </c>
      <c r="C48" s="513">
        <v>-584609.64</v>
      </c>
      <c r="D48" s="513">
        <v>-566669.97</v>
      </c>
    </row>
    <row r="49" spans="1:4">
      <c r="A49" s="578" t="s">
        <v>1270</v>
      </c>
      <c r="B49" s="578" t="s">
        <v>1271</v>
      </c>
      <c r="C49" s="513">
        <v>-2348199.21</v>
      </c>
      <c r="D49" s="513">
        <v>-2352006.25</v>
      </c>
    </row>
    <row r="50" spans="1:4">
      <c r="A50" s="578" t="s">
        <v>1272</v>
      </c>
      <c r="B50" s="578" t="s">
        <v>1273</v>
      </c>
      <c r="C50" s="513">
        <v>-5055867.8899999997</v>
      </c>
      <c r="D50" s="513">
        <v>-5179367.8899999997</v>
      </c>
    </row>
    <row r="51" spans="1:4">
      <c r="A51" s="578" t="s">
        <v>1274</v>
      </c>
      <c r="B51" s="578" t="s">
        <v>1275</v>
      </c>
      <c r="C51" s="550">
        <v>-6474</v>
      </c>
      <c r="D51" s="550">
        <v>-13926</v>
      </c>
    </row>
    <row r="52" spans="1:4">
      <c r="A52" s="578" t="s">
        <v>1276</v>
      </c>
      <c r="C52" s="513">
        <v>-7410541.0999999996</v>
      </c>
      <c r="D52" s="513">
        <v>-7545300.1399999997</v>
      </c>
    </row>
    <row r="53" spans="1:4">
      <c r="A53" s="577" t="s">
        <v>1277</v>
      </c>
      <c r="C53" s="579">
        <v>-106318288.5</v>
      </c>
      <c r="D53" s="579">
        <v>-106720446.62</v>
      </c>
    </row>
    <row r="55" spans="1:4">
      <c r="A55" s="577" t="s">
        <v>1278</v>
      </c>
      <c r="C55" s="579">
        <v>53715116.350000001</v>
      </c>
      <c r="D55" s="579">
        <v>59485300.060000002</v>
      </c>
    </row>
    <row r="58" spans="1:4">
      <c r="A58" s="578" t="s">
        <v>1279</v>
      </c>
      <c r="B58" s="578" t="s">
        <v>1280</v>
      </c>
      <c r="C58">
        <v>0</v>
      </c>
      <c r="D58">
        <v>0</v>
      </c>
    </row>
    <row r="59" spans="1:4">
      <c r="A59" s="578" t="s">
        <v>1281</v>
      </c>
      <c r="B59" s="578" t="s">
        <v>1282</v>
      </c>
      <c r="C59">
        <v>0</v>
      </c>
      <c r="D59">
        <v>0</v>
      </c>
    </row>
    <row r="60" spans="1:4">
      <c r="A60" s="578" t="s">
        <v>1283</v>
      </c>
      <c r="B60" s="578" t="s">
        <v>1284</v>
      </c>
      <c r="C60">
        <v>0</v>
      </c>
      <c r="D60">
        <v>0</v>
      </c>
    </row>
    <row r="61" spans="1:4">
      <c r="A61" s="578" t="s">
        <v>1285</v>
      </c>
      <c r="B61" s="578" t="s">
        <v>1286</v>
      </c>
      <c r="C61">
        <v>0</v>
      </c>
      <c r="D61">
        <v>0</v>
      </c>
    </row>
    <row r="62" spans="1:4">
      <c r="A62" s="578" t="s">
        <v>793</v>
      </c>
      <c r="C62">
        <v>0</v>
      </c>
      <c r="D62">
        <v>0</v>
      </c>
    </row>
    <row r="63" spans="1:4">
      <c r="A63" s="578" t="s">
        <v>1287</v>
      </c>
      <c r="B63" s="578" t="s">
        <v>1288</v>
      </c>
      <c r="C63">
        <v>0</v>
      </c>
      <c r="D63">
        <v>0</v>
      </c>
    </row>
    <row r="64" spans="1:4">
      <c r="A64" s="578" t="s">
        <v>1291</v>
      </c>
      <c r="B64" s="578" t="s">
        <v>1292</v>
      </c>
      <c r="C64" s="513">
        <v>39125.269999999997</v>
      </c>
      <c r="D64" s="513">
        <v>52898.75</v>
      </c>
    </row>
    <row r="65" spans="1:4">
      <c r="A65" s="578" t="s">
        <v>2644</v>
      </c>
      <c r="B65" s="578" t="s">
        <v>2645</v>
      </c>
      <c r="C65">
        <v>0</v>
      </c>
      <c r="D65">
        <v>0</v>
      </c>
    </row>
    <row r="66" spans="1:4">
      <c r="A66" s="578" t="s">
        <v>1293</v>
      </c>
      <c r="B66" s="578" t="s">
        <v>1294</v>
      </c>
      <c r="C66">
        <v>122.04</v>
      </c>
      <c r="D66">
        <v>122.04</v>
      </c>
    </row>
    <row r="67" spans="1:4">
      <c r="A67" s="578" t="s">
        <v>1295</v>
      </c>
      <c r="B67" s="578" t="s">
        <v>1296</v>
      </c>
      <c r="C67">
        <v>651.04</v>
      </c>
      <c r="D67">
        <v>651.04</v>
      </c>
    </row>
    <row r="68" spans="1:4">
      <c r="A68" s="578" t="s">
        <v>1297</v>
      </c>
      <c r="B68" s="578" t="s">
        <v>1298</v>
      </c>
      <c r="C68">
        <v>661.93</v>
      </c>
      <c r="D68">
        <v>661.93</v>
      </c>
    </row>
    <row r="69" spans="1:4">
      <c r="A69" s="578" t="s">
        <v>2646</v>
      </c>
      <c r="B69" s="578" t="s">
        <v>2647</v>
      </c>
      <c r="C69">
        <v>0</v>
      </c>
      <c r="D69">
        <v>0</v>
      </c>
    </row>
    <row r="70" spans="1:4">
      <c r="A70" s="578" t="s">
        <v>1299</v>
      </c>
      <c r="B70" s="578" t="s">
        <v>1300</v>
      </c>
      <c r="C70" s="513">
        <v>18553.09</v>
      </c>
      <c r="D70" s="513">
        <v>25011.15</v>
      </c>
    </row>
    <row r="71" spans="1:4">
      <c r="A71" s="578" t="s">
        <v>1301</v>
      </c>
      <c r="B71" s="578" t="s">
        <v>1302</v>
      </c>
      <c r="C71" s="513">
        <v>1277.26</v>
      </c>
      <c r="D71" s="513">
        <v>1941.47</v>
      </c>
    </row>
    <row r="72" spans="1:4">
      <c r="A72" s="578" t="s">
        <v>1303</v>
      </c>
      <c r="B72" s="578" t="s">
        <v>1304</v>
      </c>
      <c r="C72">
        <v>0</v>
      </c>
      <c r="D72">
        <v>0</v>
      </c>
    </row>
    <row r="73" spans="1:4">
      <c r="A73" s="578" t="s">
        <v>1305</v>
      </c>
      <c r="B73" s="578" t="s">
        <v>1306</v>
      </c>
      <c r="C73">
        <v>0</v>
      </c>
      <c r="D73">
        <v>0</v>
      </c>
    </row>
    <row r="74" spans="1:4">
      <c r="A74" s="578" t="s">
        <v>1307</v>
      </c>
      <c r="B74" s="578" t="s">
        <v>1308</v>
      </c>
      <c r="C74">
        <v>0</v>
      </c>
      <c r="D74">
        <v>0</v>
      </c>
    </row>
    <row r="75" spans="1:4">
      <c r="A75" s="578" t="s">
        <v>1309</v>
      </c>
      <c r="B75" s="578" t="s">
        <v>1310</v>
      </c>
      <c r="C75" s="513">
        <v>23742.39</v>
      </c>
      <c r="D75" s="513">
        <v>24702.240000000002</v>
      </c>
    </row>
    <row r="76" spans="1:4">
      <c r="A76" s="578" t="s">
        <v>1311</v>
      </c>
      <c r="B76" s="578" t="s">
        <v>1312</v>
      </c>
      <c r="C76" s="513">
        <v>1711.14</v>
      </c>
      <c r="D76" s="513">
        <v>1927.99</v>
      </c>
    </row>
    <row r="77" spans="1:4">
      <c r="A77" s="578" t="s">
        <v>1313</v>
      </c>
      <c r="B77" s="578" t="s">
        <v>1314</v>
      </c>
      <c r="C77" s="513">
        <v>20299.37</v>
      </c>
      <c r="D77" s="513">
        <v>31455.15</v>
      </c>
    </row>
    <row r="78" spans="1:4">
      <c r="A78" s="578" t="s">
        <v>1315</v>
      </c>
      <c r="B78" s="578" t="s">
        <v>1316</v>
      </c>
      <c r="C78" s="513">
        <v>61507.71</v>
      </c>
      <c r="D78" s="513">
        <v>116464.84</v>
      </c>
    </row>
    <row r="79" spans="1:4">
      <c r="A79" s="578" t="s">
        <v>1317</v>
      </c>
      <c r="B79" s="578" t="s">
        <v>1318</v>
      </c>
      <c r="C79" s="513">
        <v>14820.17</v>
      </c>
      <c r="D79" s="513">
        <v>16398.900000000001</v>
      </c>
    </row>
    <row r="80" spans="1:4">
      <c r="A80" s="578" t="s">
        <v>1319</v>
      </c>
      <c r="B80" s="578" t="s">
        <v>1320</v>
      </c>
      <c r="C80" s="513">
        <v>11266.91</v>
      </c>
      <c r="D80" s="513">
        <v>17324.36</v>
      </c>
    </row>
    <row r="81" spans="1:4">
      <c r="A81" s="578" t="s">
        <v>1321</v>
      </c>
      <c r="B81" s="578" t="s">
        <v>1322</v>
      </c>
      <c r="C81" s="513">
        <v>11954.09</v>
      </c>
      <c r="D81" s="513">
        <v>22299.61</v>
      </c>
    </row>
    <row r="82" spans="1:4">
      <c r="A82" s="578" t="s">
        <v>1323</v>
      </c>
      <c r="B82" s="578" t="s">
        <v>1324</v>
      </c>
      <c r="C82" s="513">
        <v>5751.37</v>
      </c>
      <c r="D82" s="513">
        <v>6528.22</v>
      </c>
    </row>
    <row r="83" spans="1:4">
      <c r="A83" s="578" t="s">
        <v>1325</v>
      </c>
      <c r="B83" s="578" t="s">
        <v>1326</v>
      </c>
      <c r="C83" s="513">
        <v>54086.63</v>
      </c>
      <c r="D83" s="513">
        <v>114969.31</v>
      </c>
    </row>
    <row r="84" spans="1:4">
      <c r="A84" s="578" t="s">
        <v>1327</v>
      </c>
      <c r="B84" s="578" t="s">
        <v>1328</v>
      </c>
      <c r="C84" s="513">
        <v>25378.33</v>
      </c>
      <c r="D84" s="513">
        <v>54131.839999999997</v>
      </c>
    </row>
    <row r="85" spans="1:4">
      <c r="A85" s="578" t="s">
        <v>1329</v>
      </c>
      <c r="B85" s="578" t="s">
        <v>1330</v>
      </c>
      <c r="C85">
        <v>609.75</v>
      </c>
      <c r="D85" s="513">
        <v>3400.73</v>
      </c>
    </row>
    <row r="86" spans="1:4">
      <c r="A86" s="578" t="s">
        <v>1331</v>
      </c>
      <c r="B86" s="578" t="s">
        <v>1332</v>
      </c>
      <c r="C86" s="513">
        <v>3526.93</v>
      </c>
      <c r="D86" s="513">
        <v>9061.35</v>
      </c>
    </row>
    <row r="87" spans="1:4">
      <c r="A87" s="578" t="s">
        <v>1333</v>
      </c>
      <c r="B87" s="578" t="s">
        <v>1334</v>
      </c>
      <c r="C87" s="513">
        <v>108872.06</v>
      </c>
      <c r="D87" s="513">
        <v>75629.960000000006</v>
      </c>
    </row>
    <row r="88" spans="1:4">
      <c r="A88" s="578" t="s">
        <v>1335</v>
      </c>
      <c r="B88" s="578" t="s">
        <v>1336</v>
      </c>
      <c r="C88" s="513">
        <v>2979.65</v>
      </c>
      <c r="D88">
        <v>833.52</v>
      </c>
    </row>
    <row r="89" spans="1:4">
      <c r="A89" s="578" t="s">
        <v>1337</v>
      </c>
      <c r="B89" s="578" t="s">
        <v>1338</v>
      </c>
      <c r="C89" s="513">
        <v>32895.96</v>
      </c>
      <c r="D89" s="513">
        <v>35610.68</v>
      </c>
    </row>
    <row r="90" spans="1:4">
      <c r="A90" s="578" t="s">
        <v>1339</v>
      </c>
      <c r="B90" s="578" t="s">
        <v>1340</v>
      </c>
      <c r="C90" s="513">
        <v>1137.47</v>
      </c>
      <c r="D90">
        <v>967.5</v>
      </c>
    </row>
    <row r="91" spans="1:4">
      <c r="A91" s="578" t="s">
        <v>1341</v>
      </c>
      <c r="B91" s="578" t="s">
        <v>1342</v>
      </c>
      <c r="C91" s="513">
        <v>2049.38</v>
      </c>
      <c r="D91" s="513">
        <v>4686.13</v>
      </c>
    </row>
    <row r="92" spans="1:4">
      <c r="A92" s="578" t="s">
        <v>1343</v>
      </c>
      <c r="B92" s="578" t="s">
        <v>1344</v>
      </c>
      <c r="C92" s="513">
        <v>211046.53</v>
      </c>
      <c r="D92" s="513">
        <v>269150.01</v>
      </c>
    </row>
    <row r="93" spans="1:4">
      <c r="A93" s="578" t="s">
        <v>1345</v>
      </c>
      <c r="B93" s="578" t="s">
        <v>1346</v>
      </c>
      <c r="C93" s="513">
        <v>135411.01</v>
      </c>
      <c r="D93" s="513">
        <v>138939.79999999999</v>
      </c>
    </row>
    <row r="94" spans="1:4">
      <c r="A94" s="578" t="s">
        <v>1347</v>
      </c>
      <c r="B94" s="578" t="s">
        <v>1348</v>
      </c>
      <c r="C94">
        <v>0</v>
      </c>
      <c r="D94">
        <v>96.01</v>
      </c>
    </row>
    <row r="95" spans="1:4">
      <c r="A95" s="578" t="s">
        <v>1349</v>
      </c>
      <c r="B95" s="578" t="s">
        <v>1350</v>
      </c>
      <c r="C95" s="513">
        <v>178182.43</v>
      </c>
      <c r="D95" s="513">
        <v>243406.72</v>
      </c>
    </row>
    <row r="96" spans="1:4">
      <c r="A96" s="578" t="s">
        <v>1351</v>
      </c>
      <c r="B96" s="578" t="s">
        <v>1352</v>
      </c>
      <c r="C96" s="513">
        <v>479938.01</v>
      </c>
      <c r="D96" s="513">
        <v>701211.15</v>
      </c>
    </row>
    <row r="97" spans="1:4">
      <c r="A97" s="578" t="s">
        <v>795</v>
      </c>
      <c r="C97" s="513">
        <v>1447557.92</v>
      </c>
      <c r="D97" s="513">
        <v>1970482.4</v>
      </c>
    </row>
    <row r="98" spans="1:4">
      <c r="A98" s="578" t="s">
        <v>1353</v>
      </c>
      <c r="B98" s="578" t="s">
        <v>1354</v>
      </c>
      <c r="C98" s="513">
        <v>5636.46</v>
      </c>
      <c r="D98" s="513">
        <v>30878.75</v>
      </c>
    </row>
    <row r="99" spans="1:4">
      <c r="A99" s="578" t="s">
        <v>1355</v>
      </c>
      <c r="B99" s="578" t="s">
        <v>1356</v>
      </c>
      <c r="C99">
        <v>0</v>
      </c>
      <c r="D99">
        <v>664.2</v>
      </c>
    </row>
    <row r="100" spans="1:4">
      <c r="A100" s="578" t="s">
        <v>1357</v>
      </c>
      <c r="B100" s="578" t="s">
        <v>1358</v>
      </c>
      <c r="C100" s="513">
        <v>5810.39</v>
      </c>
      <c r="D100">
        <v>64.86</v>
      </c>
    </row>
    <row r="101" spans="1:4">
      <c r="A101" s="578" t="s">
        <v>446</v>
      </c>
      <c r="C101" s="513">
        <v>11446.85</v>
      </c>
      <c r="D101" s="513">
        <v>31607.81</v>
      </c>
    </row>
    <row r="102" spans="1:4">
      <c r="A102" s="577" t="s">
        <v>1359</v>
      </c>
      <c r="C102" s="579">
        <v>1459004.77</v>
      </c>
      <c r="D102" s="579">
        <v>2002090.21</v>
      </c>
    </row>
    <row r="104" spans="1:4">
      <c r="A104" s="578" t="s">
        <v>1360</v>
      </c>
      <c r="B104" s="578" t="s">
        <v>1361</v>
      </c>
      <c r="C104">
        <v>0</v>
      </c>
      <c r="D104" s="513">
        <v>108699.02</v>
      </c>
    </row>
    <row r="105" spans="1:4">
      <c r="A105" s="578" t="s">
        <v>480</v>
      </c>
      <c r="C105">
        <v>0</v>
      </c>
      <c r="D105" s="513">
        <v>108699.02</v>
      </c>
    </row>
    <row r="106" spans="1:4">
      <c r="A106" s="577" t="s">
        <v>1362</v>
      </c>
      <c r="C106" s="369">
        <v>0</v>
      </c>
      <c r="D106" s="579">
        <v>108699.02</v>
      </c>
    </row>
    <row r="108" spans="1:4">
      <c r="A108" s="577" t="s">
        <v>1363</v>
      </c>
      <c r="C108" s="579">
        <v>1459004.77</v>
      </c>
      <c r="D108" s="579">
        <v>2110789.23</v>
      </c>
    </row>
    <row r="111" spans="1:4">
      <c r="A111" s="578" t="s">
        <v>1364</v>
      </c>
      <c r="B111" s="578" t="s">
        <v>1365</v>
      </c>
      <c r="C111">
        <v>0</v>
      </c>
      <c r="D111">
        <v>0</v>
      </c>
    </row>
    <row r="112" spans="1:4">
      <c r="A112" s="578" t="s">
        <v>1366</v>
      </c>
      <c r="B112" s="578" t="s">
        <v>1367</v>
      </c>
      <c r="C112">
        <v>0</v>
      </c>
      <c r="D112">
        <v>0</v>
      </c>
    </row>
    <row r="113" spans="1:4">
      <c r="A113" s="578" t="s">
        <v>1368</v>
      </c>
      <c r="B113" s="578" t="s">
        <v>1369</v>
      </c>
      <c r="C113">
        <v>0</v>
      </c>
      <c r="D113">
        <v>0</v>
      </c>
    </row>
    <row r="114" spans="1:4">
      <c r="A114" s="578" t="s">
        <v>1370</v>
      </c>
      <c r="B114" s="578" t="s">
        <v>1371</v>
      </c>
      <c r="C114">
        <v>359.9</v>
      </c>
      <c r="D114">
        <v>0</v>
      </c>
    </row>
    <row r="115" spans="1:4">
      <c r="A115" s="578" t="s">
        <v>1372</v>
      </c>
      <c r="B115" s="578" t="s">
        <v>1373</v>
      </c>
      <c r="C115">
        <v>0</v>
      </c>
      <c r="D115">
        <v>0</v>
      </c>
    </row>
    <row r="116" spans="1:4">
      <c r="A116" s="578" t="s">
        <v>1374</v>
      </c>
      <c r="B116" s="578" t="s">
        <v>1375</v>
      </c>
      <c r="C116">
        <v>0</v>
      </c>
      <c r="D116">
        <v>150</v>
      </c>
    </row>
    <row r="117" spans="1:4">
      <c r="A117" s="578" t="s">
        <v>1376</v>
      </c>
      <c r="B117" s="578" t="s">
        <v>1377</v>
      </c>
      <c r="C117">
        <v>0</v>
      </c>
      <c r="D117">
        <v>150</v>
      </c>
    </row>
    <row r="118" spans="1:4">
      <c r="A118" s="578" t="s">
        <v>1378</v>
      </c>
      <c r="B118" s="578" t="s">
        <v>1379</v>
      </c>
      <c r="C118">
        <v>0</v>
      </c>
      <c r="D118">
        <v>150</v>
      </c>
    </row>
    <row r="119" spans="1:4">
      <c r="A119" s="578" t="s">
        <v>1380</v>
      </c>
      <c r="B119" s="578" t="s">
        <v>1381</v>
      </c>
      <c r="C119">
        <v>0</v>
      </c>
      <c r="D119" s="550">
        <v>2000</v>
      </c>
    </row>
    <row r="120" spans="1:4">
      <c r="A120" s="578" t="s">
        <v>1382</v>
      </c>
      <c r="C120">
        <v>359.9</v>
      </c>
      <c r="D120" s="550">
        <v>2450</v>
      </c>
    </row>
    <row r="121" spans="1:4">
      <c r="A121" s="577" t="s">
        <v>1386</v>
      </c>
      <c r="C121" s="369">
        <v>359.9</v>
      </c>
      <c r="D121" s="580">
        <v>2450</v>
      </c>
    </row>
    <row r="123" spans="1:4">
      <c r="A123" s="578" t="s">
        <v>1387</v>
      </c>
      <c r="B123" s="578" t="s">
        <v>1388</v>
      </c>
      <c r="C123" s="513">
        <v>1065367.79</v>
      </c>
      <c r="D123" s="513">
        <v>2611693.7000000002</v>
      </c>
    </row>
    <row r="124" spans="1:4">
      <c r="A124" s="578" t="s">
        <v>1389</v>
      </c>
      <c r="B124" s="578" t="s">
        <v>1390</v>
      </c>
      <c r="C124">
        <v>0</v>
      </c>
      <c r="D124">
        <v>0</v>
      </c>
    </row>
    <row r="125" spans="1:4">
      <c r="A125" s="578" t="s">
        <v>1391</v>
      </c>
      <c r="B125" s="578" t="s">
        <v>1392</v>
      </c>
      <c r="C125" s="513">
        <v>335264.15999999997</v>
      </c>
      <c r="D125" s="513">
        <v>1514510.84</v>
      </c>
    </row>
    <row r="126" spans="1:4">
      <c r="A126" s="578" t="s">
        <v>1393</v>
      </c>
      <c r="B126" s="578" t="s">
        <v>1394</v>
      </c>
      <c r="C126" s="513">
        <v>55185.74</v>
      </c>
      <c r="D126" s="513">
        <v>110223.3</v>
      </c>
    </row>
    <row r="127" spans="1:4">
      <c r="A127" s="578" t="s">
        <v>1395</v>
      </c>
      <c r="B127" s="578" t="s">
        <v>1396</v>
      </c>
      <c r="C127">
        <v>0</v>
      </c>
      <c r="D127">
        <v>0</v>
      </c>
    </row>
    <row r="128" spans="1:4">
      <c r="A128" s="578" t="s">
        <v>1397</v>
      </c>
      <c r="B128" s="578" t="s">
        <v>1398</v>
      </c>
      <c r="C128" s="550">
        <v>1166820</v>
      </c>
      <c r="D128" s="513">
        <v>5907513.5899999999</v>
      </c>
    </row>
    <row r="129" spans="1:4">
      <c r="A129" s="578" t="s">
        <v>1399</v>
      </c>
      <c r="B129" s="578" t="s">
        <v>1400</v>
      </c>
      <c r="C129" s="513">
        <v>18897.759999999998</v>
      </c>
      <c r="D129" s="513">
        <v>24752.87</v>
      </c>
    </row>
    <row r="130" spans="1:4">
      <c r="A130" s="578" t="s">
        <v>1401</v>
      </c>
      <c r="B130" s="578" t="s">
        <v>1402</v>
      </c>
      <c r="C130" s="513">
        <v>1687.53</v>
      </c>
      <c r="D130" s="513">
        <v>1885.65</v>
      </c>
    </row>
    <row r="131" spans="1:4">
      <c r="A131" s="578" t="s">
        <v>1403</v>
      </c>
      <c r="C131" s="513">
        <v>2643222.98</v>
      </c>
      <c r="D131" s="513">
        <v>10170579.949999999</v>
      </c>
    </row>
    <row r="132" spans="1:4">
      <c r="A132" s="577" t="s">
        <v>1404</v>
      </c>
      <c r="C132" s="579">
        <v>2643222.98</v>
      </c>
      <c r="D132" s="579">
        <v>10170579.949999999</v>
      </c>
    </row>
    <row r="134" spans="1:4">
      <c r="A134" s="578" t="s">
        <v>1405</v>
      </c>
      <c r="B134" s="578" t="s">
        <v>1406</v>
      </c>
      <c r="C134" s="513">
        <v>5654.6</v>
      </c>
      <c r="D134" s="513">
        <v>6519.44</v>
      </c>
    </row>
    <row r="135" spans="1:4">
      <c r="A135" s="578" t="s">
        <v>1407</v>
      </c>
      <c r="B135" s="578" t="s">
        <v>1408</v>
      </c>
      <c r="C135" s="550">
        <v>-1153</v>
      </c>
      <c r="D135">
        <v>-760.53</v>
      </c>
    </row>
    <row r="136" spans="1:4">
      <c r="A136" s="578" t="s">
        <v>1409</v>
      </c>
      <c r="B136" s="578" t="s">
        <v>1410</v>
      </c>
      <c r="C136">
        <v>0</v>
      </c>
      <c r="D136">
        <v>0</v>
      </c>
    </row>
    <row r="137" spans="1:4">
      <c r="A137" s="578" t="s">
        <v>1411</v>
      </c>
      <c r="B137" s="578" t="s">
        <v>1412</v>
      </c>
      <c r="C137">
        <v>0</v>
      </c>
      <c r="D137">
        <v>0</v>
      </c>
    </row>
    <row r="138" spans="1:4">
      <c r="A138" s="578" t="s">
        <v>1413</v>
      </c>
      <c r="B138" s="578" t="s">
        <v>1414</v>
      </c>
      <c r="C138">
        <v>0</v>
      </c>
      <c r="D138">
        <v>177.17</v>
      </c>
    </row>
    <row r="139" spans="1:4">
      <c r="A139" s="578" t="s">
        <v>1415</v>
      </c>
      <c r="B139" s="578" t="s">
        <v>1416</v>
      </c>
      <c r="C139">
        <v>0</v>
      </c>
      <c r="D139">
        <v>286.67</v>
      </c>
    </row>
    <row r="140" spans="1:4">
      <c r="A140" s="578" t="s">
        <v>1417</v>
      </c>
      <c r="B140" s="578" t="s">
        <v>1418</v>
      </c>
      <c r="C140">
        <v>0</v>
      </c>
      <c r="D140">
        <v>238.65</v>
      </c>
    </row>
    <row r="141" spans="1:4">
      <c r="A141" s="578" t="s">
        <v>1419</v>
      </c>
      <c r="C141" s="513">
        <v>4501.6000000000004</v>
      </c>
      <c r="D141" s="513">
        <v>6461.4</v>
      </c>
    </row>
    <row r="142" spans="1:4">
      <c r="A142" s="577" t="s">
        <v>1420</v>
      </c>
      <c r="C142" s="579">
        <v>4501.6000000000004</v>
      </c>
      <c r="D142" s="579">
        <v>6461.4</v>
      </c>
    </row>
    <row r="144" spans="1:4">
      <c r="A144" s="578" t="s">
        <v>1421</v>
      </c>
      <c r="B144" s="578" t="s">
        <v>1422</v>
      </c>
      <c r="C144" s="513">
        <v>-608873.73</v>
      </c>
      <c r="D144" s="513">
        <v>-608873.73</v>
      </c>
    </row>
    <row r="145" spans="1:4">
      <c r="A145" s="578" t="s">
        <v>1423</v>
      </c>
      <c r="C145" s="513">
        <v>-608873.73</v>
      </c>
      <c r="D145" s="513">
        <v>-608873.73</v>
      </c>
    </row>
    <row r="146" spans="1:4">
      <c r="A146" s="577" t="s">
        <v>1424</v>
      </c>
      <c r="C146" s="579">
        <v>-608873.73</v>
      </c>
      <c r="D146" s="579">
        <v>-608873.73</v>
      </c>
    </row>
    <row r="148" spans="1:4">
      <c r="A148" s="577" t="s">
        <v>1425</v>
      </c>
      <c r="C148" s="579">
        <v>2039210.75</v>
      </c>
      <c r="D148" s="579">
        <v>9570617.6199999992</v>
      </c>
    </row>
    <row r="151" spans="1:4">
      <c r="A151" s="578" t="s">
        <v>1426</v>
      </c>
      <c r="B151" s="578" t="s">
        <v>1427</v>
      </c>
      <c r="C151" s="513">
        <v>9540795.8000000007</v>
      </c>
      <c r="D151" s="513">
        <v>10289487.699999999</v>
      </c>
    </row>
    <row r="152" spans="1:4">
      <c r="A152" s="578" t="s">
        <v>1428</v>
      </c>
      <c r="B152" s="578" t="s">
        <v>1429</v>
      </c>
      <c r="C152" s="513">
        <v>4621894.0999999996</v>
      </c>
      <c r="D152" s="513">
        <v>2206373.9300000002</v>
      </c>
    </row>
    <row r="153" spans="1:4">
      <c r="A153" s="578" t="s">
        <v>1430</v>
      </c>
      <c r="B153" s="578" t="s">
        <v>1431</v>
      </c>
      <c r="C153" s="513">
        <v>657589.01</v>
      </c>
      <c r="D153" s="513">
        <v>1354822.43</v>
      </c>
    </row>
    <row r="154" spans="1:4">
      <c r="A154" s="578" t="s">
        <v>1432</v>
      </c>
      <c r="B154" s="578" t="s">
        <v>1433</v>
      </c>
      <c r="C154">
        <v>476.95</v>
      </c>
      <c r="D154">
        <v>392.93</v>
      </c>
    </row>
    <row r="155" spans="1:4">
      <c r="A155" s="578" t="s">
        <v>1434</v>
      </c>
      <c r="B155" s="578" t="s">
        <v>1435</v>
      </c>
      <c r="C155" s="513">
        <v>81021.25</v>
      </c>
      <c r="D155" s="513">
        <v>32906.550000000003</v>
      </c>
    </row>
    <row r="156" spans="1:4">
      <c r="A156" s="578" t="s">
        <v>1436</v>
      </c>
      <c r="B156" s="578" t="s">
        <v>1437</v>
      </c>
      <c r="C156" s="513">
        <v>200022.25</v>
      </c>
      <c r="D156" s="513">
        <v>166393.29</v>
      </c>
    </row>
    <row r="157" spans="1:4">
      <c r="A157" s="578" t="s">
        <v>1438</v>
      </c>
      <c r="B157" s="578" t="s">
        <v>1439</v>
      </c>
      <c r="C157" s="513">
        <v>1283.3800000000001</v>
      </c>
      <c r="D157">
        <v>550.02</v>
      </c>
    </row>
    <row r="158" spans="1:4">
      <c r="A158" s="578" t="s">
        <v>1440</v>
      </c>
      <c r="B158" s="578" t="s">
        <v>1441</v>
      </c>
      <c r="C158" s="513">
        <v>1168635.1399999999</v>
      </c>
      <c r="D158" s="513">
        <v>1071225.8400000001</v>
      </c>
    </row>
    <row r="159" spans="1:4">
      <c r="A159" s="578" t="s">
        <v>1442</v>
      </c>
      <c r="B159" s="578" t="s">
        <v>1443</v>
      </c>
      <c r="C159" s="513">
        <v>102347.44</v>
      </c>
      <c r="D159" s="513">
        <v>78639.210000000006</v>
      </c>
    </row>
    <row r="160" spans="1:4">
      <c r="A160" s="578" t="s">
        <v>1444</v>
      </c>
      <c r="B160" s="578" t="s">
        <v>1445</v>
      </c>
      <c r="C160" s="513">
        <v>16791.7</v>
      </c>
      <c r="D160" s="513">
        <v>20511.3</v>
      </c>
    </row>
    <row r="161" spans="1:4">
      <c r="A161" s="578" t="s">
        <v>1446</v>
      </c>
      <c r="B161" s="578" t="s">
        <v>1447</v>
      </c>
      <c r="C161">
        <v>833.81</v>
      </c>
      <c r="D161">
        <v>842.39</v>
      </c>
    </row>
    <row r="162" spans="1:4">
      <c r="A162" s="578" t="s">
        <v>1448</v>
      </c>
      <c r="B162" s="578" t="s">
        <v>1449</v>
      </c>
      <c r="C162">
        <v>0</v>
      </c>
      <c r="D162" s="513">
        <v>62819.27</v>
      </c>
    </row>
    <row r="163" spans="1:4">
      <c r="A163" s="578" t="s">
        <v>1450</v>
      </c>
      <c r="B163" s="578" t="s">
        <v>1451</v>
      </c>
      <c r="C163">
        <v>0</v>
      </c>
      <c r="D163" s="513">
        <v>28612.63</v>
      </c>
    </row>
    <row r="164" spans="1:4">
      <c r="A164" s="578" t="s">
        <v>1452</v>
      </c>
      <c r="B164" s="578" t="s">
        <v>1453</v>
      </c>
      <c r="C164">
        <v>0</v>
      </c>
      <c r="D164" s="513">
        <v>7440.76</v>
      </c>
    </row>
    <row r="165" spans="1:4">
      <c r="A165" s="578" t="s">
        <v>1454</v>
      </c>
      <c r="C165" s="513">
        <v>16391690.83</v>
      </c>
      <c r="D165" s="513">
        <v>15321018.25</v>
      </c>
    </row>
    <row r="166" spans="1:4">
      <c r="A166" s="578" t="s">
        <v>1455</v>
      </c>
      <c r="B166" s="578" t="s">
        <v>1456</v>
      </c>
      <c r="C166" s="513">
        <v>12983.62</v>
      </c>
      <c r="D166" s="513">
        <v>6264.06</v>
      </c>
    </row>
    <row r="167" spans="1:4">
      <c r="A167" s="578" t="s">
        <v>1457</v>
      </c>
      <c r="C167" s="513">
        <v>12983.62</v>
      </c>
      <c r="D167" s="513">
        <v>6264.06</v>
      </c>
    </row>
    <row r="168" spans="1:4">
      <c r="A168" s="578" t="s">
        <v>1458</v>
      </c>
      <c r="B168" s="578" t="s">
        <v>222</v>
      </c>
      <c r="C168" s="513">
        <v>127440.7</v>
      </c>
      <c r="D168" s="513">
        <v>130698.84</v>
      </c>
    </row>
    <row r="169" spans="1:4">
      <c r="A169" s="578" t="s">
        <v>1461</v>
      </c>
      <c r="C169" s="513">
        <v>127440.7</v>
      </c>
      <c r="D169" s="513">
        <v>130698.84</v>
      </c>
    </row>
    <row r="170" spans="1:4">
      <c r="A170" s="577" t="s">
        <v>1462</v>
      </c>
      <c r="C170" s="579">
        <v>16532115.15</v>
      </c>
      <c r="D170" s="579">
        <v>15457981.15</v>
      </c>
    </row>
    <row r="172" spans="1:4">
      <c r="A172" s="578" t="s">
        <v>1463</v>
      </c>
      <c r="B172" s="578" t="s">
        <v>1464</v>
      </c>
      <c r="C172" s="513">
        <v>-13356922.75</v>
      </c>
      <c r="D172" s="513">
        <v>-9197147.0199999996</v>
      </c>
    </row>
    <row r="173" spans="1:4">
      <c r="A173" s="578" t="s">
        <v>1465</v>
      </c>
      <c r="B173" s="578" t="s">
        <v>1466</v>
      </c>
      <c r="C173" s="513">
        <v>-3826300.9</v>
      </c>
      <c r="D173" s="513">
        <v>-2392930.88</v>
      </c>
    </row>
    <row r="174" spans="1:4">
      <c r="A174" s="578" t="s">
        <v>1467</v>
      </c>
      <c r="B174" s="578" t="s">
        <v>1468</v>
      </c>
      <c r="C174" s="513">
        <v>-31442171.129999999</v>
      </c>
      <c r="D174" s="513">
        <v>-15387114.17</v>
      </c>
    </row>
    <row r="175" spans="1:4">
      <c r="A175" s="578" t="s">
        <v>1469</v>
      </c>
      <c r="B175" s="578" t="s">
        <v>1470</v>
      </c>
      <c r="C175" s="513">
        <v>-5575608.7599999998</v>
      </c>
      <c r="D175" s="513">
        <v>-5250954.08</v>
      </c>
    </row>
    <row r="176" spans="1:4">
      <c r="A176" s="578" t="s">
        <v>1471</v>
      </c>
      <c r="B176" s="578" t="s">
        <v>1472</v>
      </c>
      <c r="C176" s="513">
        <v>-423209.03</v>
      </c>
      <c r="D176" s="513">
        <v>-369735.02</v>
      </c>
    </row>
    <row r="177" spans="1:4">
      <c r="A177" s="578" t="s">
        <v>1473</v>
      </c>
      <c r="B177" s="578" t="s">
        <v>1474</v>
      </c>
      <c r="C177" s="513">
        <v>-8544081.25</v>
      </c>
      <c r="D177" s="513">
        <v>-6122806.4100000001</v>
      </c>
    </row>
    <row r="178" spans="1:4">
      <c r="A178" s="578" t="s">
        <v>1475</v>
      </c>
      <c r="B178" s="578" t="s">
        <v>1476</v>
      </c>
      <c r="C178" s="513">
        <v>-2202280.44</v>
      </c>
      <c r="D178" s="513">
        <v>-2046535.59</v>
      </c>
    </row>
    <row r="179" spans="1:4">
      <c r="A179" s="578" t="s">
        <v>1477</v>
      </c>
      <c r="B179" s="578" t="s">
        <v>1478</v>
      </c>
      <c r="C179" s="513">
        <v>-4439699.24</v>
      </c>
      <c r="D179" s="513">
        <v>-3036710.61</v>
      </c>
    </row>
    <row r="180" spans="1:4">
      <c r="A180" s="578" t="s">
        <v>1479</v>
      </c>
      <c r="B180" s="578" t="s">
        <v>1480</v>
      </c>
      <c r="C180" s="513">
        <v>-4395780.76</v>
      </c>
      <c r="D180" s="513">
        <v>-1116679.27</v>
      </c>
    </row>
    <row r="181" spans="1:4">
      <c r="A181" s="578" t="s">
        <v>1481</v>
      </c>
      <c r="B181" s="578" t="s">
        <v>1482</v>
      </c>
      <c r="C181">
        <v>0</v>
      </c>
      <c r="D181" s="513">
        <v>-1929.25</v>
      </c>
    </row>
    <row r="182" spans="1:4">
      <c r="A182" s="578" t="s">
        <v>2648</v>
      </c>
      <c r="B182" s="578" t="s">
        <v>2649</v>
      </c>
      <c r="C182">
        <v>0</v>
      </c>
      <c r="D182">
        <v>0</v>
      </c>
    </row>
    <row r="183" spans="1:4">
      <c r="A183" s="578" t="s">
        <v>2650</v>
      </c>
      <c r="B183" s="578" t="s">
        <v>2651</v>
      </c>
      <c r="C183">
        <v>0</v>
      </c>
      <c r="D183">
        <v>0</v>
      </c>
    </row>
    <row r="184" spans="1:4">
      <c r="A184" s="578" t="s">
        <v>1483</v>
      </c>
      <c r="B184" s="578" t="s">
        <v>1484</v>
      </c>
      <c r="C184">
        <v>0</v>
      </c>
      <c r="D184" s="513">
        <v>-220803.18</v>
      </c>
    </row>
    <row r="185" spans="1:4">
      <c r="A185" s="578" t="s">
        <v>1485</v>
      </c>
      <c r="B185" s="578" t="s">
        <v>1486</v>
      </c>
      <c r="C185" s="513">
        <v>-63188.91</v>
      </c>
      <c r="D185" s="513">
        <v>-70851.7</v>
      </c>
    </row>
    <row r="186" spans="1:4">
      <c r="A186" s="578" t="s">
        <v>1487</v>
      </c>
      <c r="B186" s="578" t="s">
        <v>1488</v>
      </c>
      <c r="C186" s="513">
        <v>-19072.68</v>
      </c>
      <c r="D186" s="513">
        <v>-29906.47</v>
      </c>
    </row>
    <row r="187" spans="1:4">
      <c r="A187" s="578" t="s">
        <v>1489</v>
      </c>
      <c r="B187" s="578" t="s">
        <v>1490</v>
      </c>
      <c r="C187" s="513">
        <v>-3227.19</v>
      </c>
      <c r="D187" s="513">
        <v>-36547.279999999999</v>
      </c>
    </row>
    <row r="188" spans="1:4">
      <c r="A188" s="578" t="s">
        <v>1491</v>
      </c>
      <c r="C188" s="513">
        <v>-74291543.040000007</v>
      </c>
      <c r="D188" s="513">
        <v>-45280650.93</v>
      </c>
    </row>
    <row r="189" spans="1:4">
      <c r="A189" s="578" t="s">
        <v>1492</v>
      </c>
      <c r="B189" s="578" t="s">
        <v>1493</v>
      </c>
      <c r="C189" s="550">
        <v>-323600</v>
      </c>
      <c r="D189" s="513">
        <v>-648286.97</v>
      </c>
    </row>
    <row r="190" spans="1:4">
      <c r="A190" s="578" t="s">
        <v>1494</v>
      </c>
      <c r="B190" s="578" t="s">
        <v>1495</v>
      </c>
      <c r="C190" s="550">
        <v>-2442100</v>
      </c>
      <c r="D190" s="550">
        <v>-2524000</v>
      </c>
    </row>
    <row r="191" spans="1:4">
      <c r="A191" s="578" t="s">
        <v>1498</v>
      </c>
      <c r="B191" s="578" t="s">
        <v>1499</v>
      </c>
      <c r="C191" s="513">
        <v>-15286.4</v>
      </c>
      <c r="D191" s="513">
        <v>-19077.52</v>
      </c>
    </row>
    <row r="192" spans="1:4">
      <c r="A192" s="578" t="s">
        <v>1500</v>
      </c>
      <c r="B192" s="578" t="s">
        <v>1501</v>
      </c>
      <c r="C192" s="513">
        <v>-5345.2</v>
      </c>
      <c r="D192" s="513">
        <v>-6667.74</v>
      </c>
    </row>
    <row r="193" spans="1:4">
      <c r="A193" s="578" t="s">
        <v>1502</v>
      </c>
      <c r="C193" s="513">
        <v>-2786331.6</v>
      </c>
      <c r="D193" s="513">
        <v>-3198032.23</v>
      </c>
    </row>
    <row r="194" spans="1:4">
      <c r="A194" s="578" t="s">
        <v>1506</v>
      </c>
      <c r="B194" s="578" t="s">
        <v>1507</v>
      </c>
      <c r="C194" s="513">
        <v>-5566.12</v>
      </c>
      <c r="D194" s="513">
        <v>-1660.8</v>
      </c>
    </row>
    <row r="195" spans="1:4">
      <c r="A195" s="578" t="s">
        <v>1508</v>
      </c>
      <c r="C195" s="513">
        <v>-5566.12</v>
      </c>
      <c r="D195" s="513">
        <v>-1660.8</v>
      </c>
    </row>
    <row r="196" spans="1:4">
      <c r="A196" s="578" t="s">
        <v>1509</v>
      </c>
      <c r="B196" s="578" t="s">
        <v>223</v>
      </c>
      <c r="C196">
        <v>0</v>
      </c>
      <c r="D196" s="513">
        <v>-1606.41</v>
      </c>
    </row>
    <row r="197" spans="1:4">
      <c r="A197" s="578" t="s">
        <v>1510</v>
      </c>
      <c r="C197">
        <v>0</v>
      </c>
      <c r="D197" s="513">
        <v>-1606.41</v>
      </c>
    </row>
    <row r="198" spans="1:4">
      <c r="A198" s="577" t="s">
        <v>1511</v>
      </c>
      <c r="C198" s="579">
        <v>-77083440.760000005</v>
      </c>
      <c r="D198" s="579">
        <v>-48481950.369999997</v>
      </c>
    </row>
    <row r="200" spans="1:4">
      <c r="A200" s="578" t="s">
        <v>1512</v>
      </c>
      <c r="B200" s="578" t="s">
        <v>1513</v>
      </c>
      <c r="C200" s="513">
        <v>-3178720.52</v>
      </c>
      <c r="D200" s="513">
        <v>-3507305.38</v>
      </c>
    </row>
    <row r="201" spans="1:4">
      <c r="A201" s="578" t="s">
        <v>1514</v>
      </c>
      <c r="C201" s="513">
        <v>-3178720.52</v>
      </c>
      <c r="D201" s="513">
        <v>-3507305.38</v>
      </c>
    </row>
    <row r="202" spans="1:4">
      <c r="A202" s="578" t="s">
        <v>1515</v>
      </c>
      <c r="B202" s="578" t="s">
        <v>1516</v>
      </c>
      <c r="C202" s="513">
        <v>-18897.759999999998</v>
      </c>
      <c r="D202" s="513">
        <v>-24752.87</v>
      </c>
    </row>
    <row r="203" spans="1:4">
      <c r="A203" s="578" t="s">
        <v>1517</v>
      </c>
      <c r="B203" s="578" t="s">
        <v>1518</v>
      </c>
      <c r="C203">
        <v>-448.2</v>
      </c>
      <c r="D203">
        <v>-448.2</v>
      </c>
    </row>
    <row r="204" spans="1:4">
      <c r="A204" s="578" t="s">
        <v>1519</v>
      </c>
      <c r="B204" s="578" t="s">
        <v>1520</v>
      </c>
      <c r="C204">
        <v>0</v>
      </c>
      <c r="D204" s="513">
        <v>-17228.71</v>
      </c>
    </row>
    <row r="205" spans="1:4">
      <c r="A205" s="578" t="s">
        <v>1521</v>
      </c>
      <c r="C205" s="513">
        <v>-19345.96</v>
      </c>
      <c r="D205" s="513">
        <v>-42429.78</v>
      </c>
    </row>
    <row r="206" spans="1:4">
      <c r="A206" s="578" t="s">
        <v>1522</v>
      </c>
      <c r="B206" s="578" t="s">
        <v>1523</v>
      </c>
      <c r="C206">
        <v>0</v>
      </c>
      <c r="D206">
        <v>0</v>
      </c>
    </row>
    <row r="207" spans="1:4">
      <c r="A207" s="578" t="s">
        <v>1524</v>
      </c>
      <c r="B207" s="578" t="s">
        <v>1525</v>
      </c>
      <c r="C207" s="513">
        <v>2692.8</v>
      </c>
      <c r="D207" s="513">
        <v>2197.5300000000002</v>
      </c>
    </row>
    <row r="208" spans="1:4">
      <c r="A208" s="578" t="s">
        <v>1526</v>
      </c>
      <c r="B208" s="578" t="s">
        <v>1527</v>
      </c>
      <c r="C208" s="513">
        <v>54565.08</v>
      </c>
      <c r="D208" s="513">
        <v>41495.43</v>
      </c>
    </row>
    <row r="209" spans="1:4">
      <c r="A209" s="578" t="s">
        <v>1528</v>
      </c>
      <c r="B209" s="578" t="s">
        <v>1529</v>
      </c>
      <c r="C209">
        <v>3.6</v>
      </c>
      <c r="D209">
        <v>0</v>
      </c>
    </row>
    <row r="210" spans="1:4">
      <c r="A210" s="578" t="s">
        <v>1530</v>
      </c>
      <c r="C210" s="513">
        <v>57261.48</v>
      </c>
      <c r="D210" s="513">
        <v>43692.959999999999</v>
      </c>
    </row>
    <row r="211" spans="1:4">
      <c r="A211" s="578" t="s">
        <v>1531</v>
      </c>
      <c r="B211" s="578" t="s">
        <v>1532</v>
      </c>
      <c r="C211" s="513">
        <v>-303168.65999999997</v>
      </c>
      <c r="D211" s="513">
        <v>-328435.15999999997</v>
      </c>
    </row>
    <row r="212" spans="1:4">
      <c r="A212" s="578" t="s">
        <v>1533</v>
      </c>
      <c r="B212" s="578" t="s">
        <v>1534</v>
      </c>
      <c r="C212" s="513">
        <v>-121221.99</v>
      </c>
      <c r="D212" s="513">
        <v>-131360.54</v>
      </c>
    </row>
    <row r="213" spans="1:4">
      <c r="A213" s="578" t="s">
        <v>1537</v>
      </c>
      <c r="B213" s="578" t="s">
        <v>1538</v>
      </c>
      <c r="C213" s="513">
        <v>-86862.56</v>
      </c>
      <c r="D213" s="513">
        <v>-98204.38</v>
      </c>
    </row>
    <row r="214" spans="1:4">
      <c r="A214" s="578" t="s">
        <v>1539</v>
      </c>
      <c r="B214" s="578" t="s">
        <v>1540</v>
      </c>
      <c r="C214" s="513">
        <v>-34742.76</v>
      </c>
      <c r="D214" s="513">
        <v>-39279.46</v>
      </c>
    </row>
    <row r="215" spans="1:4">
      <c r="A215" s="578" t="s">
        <v>1543</v>
      </c>
      <c r="B215" s="578" t="s">
        <v>1544</v>
      </c>
      <c r="C215" s="513">
        <v>-37366.589999999997</v>
      </c>
      <c r="D215" s="513">
        <v>-45056.34</v>
      </c>
    </row>
    <row r="216" spans="1:4">
      <c r="A216" s="578" t="s">
        <v>1545</v>
      </c>
      <c r="B216" s="578" t="s">
        <v>1546</v>
      </c>
      <c r="C216" s="513">
        <v>-14932.23</v>
      </c>
      <c r="D216" s="513">
        <v>-18021.490000000002</v>
      </c>
    </row>
    <row r="217" spans="1:4">
      <c r="A217" s="578" t="s">
        <v>1547</v>
      </c>
      <c r="B217" s="578" t="s">
        <v>1548</v>
      </c>
      <c r="C217">
        <v>0</v>
      </c>
      <c r="D217">
        <v>43.38</v>
      </c>
    </row>
    <row r="218" spans="1:4">
      <c r="A218" s="578" t="s">
        <v>1549</v>
      </c>
      <c r="B218" s="578" t="s">
        <v>1550</v>
      </c>
      <c r="C218" s="513">
        <v>-26346969.300000001</v>
      </c>
      <c r="D218" s="513">
        <v>-39857748.219999999</v>
      </c>
    </row>
    <row r="219" spans="1:4">
      <c r="A219" s="578" t="s">
        <v>1551</v>
      </c>
      <c r="B219" s="578" t="s">
        <v>1552</v>
      </c>
      <c r="C219" s="513">
        <v>-392036.69</v>
      </c>
      <c r="D219" s="513">
        <v>-429283.02</v>
      </c>
    </row>
    <row r="220" spans="1:4">
      <c r="A220" s="578" t="s">
        <v>1553</v>
      </c>
      <c r="B220" s="578" t="s">
        <v>1554</v>
      </c>
      <c r="C220">
        <v>-60.3</v>
      </c>
      <c r="D220">
        <v>-60.08</v>
      </c>
    </row>
    <row r="221" spans="1:4">
      <c r="A221" s="578" t="s">
        <v>1555</v>
      </c>
      <c r="B221" s="578" t="s">
        <v>1556</v>
      </c>
      <c r="C221">
        <v>-12.37</v>
      </c>
      <c r="D221">
        <v>-12.6</v>
      </c>
    </row>
    <row r="222" spans="1:4">
      <c r="A222" s="578" t="s">
        <v>1557</v>
      </c>
      <c r="B222" s="578" t="s">
        <v>1558</v>
      </c>
      <c r="C222" s="513">
        <v>-10259.27</v>
      </c>
      <c r="D222" s="513">
        <v>-11298.15</v>
      </c>
    </row>
    <row r="223" spans="1:4">
      <c r="A223" s="578" t="s">
        <v>1559</v>
      </c>
      <c r="B223" s="578" t="s">
        <v>1560</v>
      </c>
      <c r="C223" s="513">
        <v>-9393.11</v>
      </c>
      <c r="D223" s="513">
        <v>-9683.98</v>
      </c>
    </row>
    <row r="224" spans="1:4">
      <c r="A224" s="578" t="s">
        <v>1561</v>
      </c>
      <c r="B224" s="578" t="s">
        <v>1562</v>
      </c>
      <c r="C224" s="513">
        <v>-10312.6</v>
      </c>
      <c r="D224" s="513">
        <v>-11782.79</v>
      </c>
    </row>
    <row r="225" spans="1:4">
      <c r="A225" s="578" t="s">
        <v>1563</v>
      </c>
      <c r="B225" s="578" t="s">
        <v>1564</v>
      </c>
      <c r="C225" s="513">
        <v>-5601.51</v>
      </c>
      <c r="D225" s="513">
        <v>-6330.57</v>
      </c>
    </row>
    <row r="226" spans="1:4">
      <c r="A226" s="578" t="s">
        <v>1565</v>
      </c>
      <c r="B226" s="578" t="s">
        <v>1558</v>
      </c>
      <c r="C226" s="513">
        <v>-6484.42</v>
      </c>
      <c r="D226" s="513">
        <v>-6702.74</v>
      </c>
    </row>
    <row r="227" spans="1:4">
      <c r="A227" s="578" t="s">
        <v>1566</v>
      </c>
      <c r="B227" s="578" t="s">
        <v>1560</v>
      </c>
      <c r="C227" s="513">
        <v>-6169.26</v>
      </c>
      <c r="D227" s="513">
        <v>-6037.93</v>
      </c>
    </row>
    <row r="228" spans="1:4">
      <c r="A228" s="578" t="s">
        <v>1567</v>
      </c>
      <c r="B228" s="578" t="s">
        <v>1562</v>
      </c>
      <c r="C228" s="513">
        <v>-6879.42</v>
      </c>
      <c r="D228" s="513">
        <v>-7550.99</v>
      </c>
    </row>
    <row r="229" spans="1:4">
      <c r="A229" s="578" t="s">
        <v>1568</v>
      </c>
      <c r="B229" s="578" t="s">
        <v>1564</v>
      </c>
      <c r="C229" s="513">
        <v>-3630.27</v>
      </c>
      <c r="D229" s="513">
        <v>-4090.98</v>
      </c>
    </row>
    <row r="230" spans="1:4">
      <c r="A230" s="578" t="s">
        <v>1569</v>
      </c>
      <c r="B230" s="578" t="s">
        <v>1570</v>
      </c>
      <c r="C230">
        <v>-86</v>
      </c>
      <c r="D230">
        <v>-86</v>
      </c>
    </row>
    <row r="231" spans="1:4">
      <c r="A231" s="578" t="s">
        <v>1571</v>
      </c>
      <c r="B231" s="578" t="s">
        <v>1572</v>
      </c>
      <c r="C231">
        <v>-31.07</v>
      </c>
      <c r="D231">
        <v>-17.739999999999998</v>
      </c>
    </row>
    <row r="232" spans="1:4">
      <c r="A232" s="578" t="s">
        <v>1575</v>
      </c>
      <c r="C232" s="513">
        <v>-27396220.379999999</v>
      </c>
      <c r="D232" s="513">
        <v>-41010999.780000001</v>
      </c>
    </row>
    <row r="233" spans="1:4">
      <c r="A233" s="577" t="s">
        <v>1576</v>
      </c>
      <c r="C233" s="579">
        <v>-30537025.379999999</v>
      </c>
      <c r="D233" s="579">
        <v>-44517041.979999997</v>
      </c>
    </row>
    <row r="235" spans="1:4">
      <c r="A235" s="578" t="s">
        <v>1577</v>
      </c>
      <c r="B235" s="578" t="s">
        <v>224</v>
      </c>
      <c r="C235" s="513">
        <v>62188.08</v>
      </c>
      <c r="D235" s="513">
        <v>-38040.14</v>
      </c>
    </row>
    <row r="236" spans="1:4">
      <c r="A236" s="578" t="s">
        <v>1580</v>
      </c>
      <c r="B236" s="578" t="s">
        <v>1581</v>
      </c>
      <c r="C236">
        <v>0</v>
      </c>
      <c r="D236">
        <v>0</v>
      </c>
    </row>
    <row r="237" spans="1:4">
      <c r="A237" s="578" t="s">
        <v>1582</v>
      </c>
      <c r="C237" s="513">
        <v>62188.08</v>
      </c>
      <c r="D237" s="513">
        <v>-38040.14</v>
      </c>
    </row>
    <row r="238" spans="1:4">
      <c r="A238" s="578" t="s">
        <v>1583</v>
      </c>
      <c r="B238" s="578" t="s">
        <v>1584</v>
      </c>
      <c r="C238" s="513">
        <v>-537925.68999999994</v>
      </c>
      <c r="D238" s="513">
        <v>-608746.07999999996</v>
      </c>
    </row>
    <row r="239" spans="1:4">
      <c r="A239" s="578" t="s">
        <v>1585</v>
      </c>
      <c r="C239" s="513">
        <v>-537925.68999999994</v>
      </c>
      <c r="D239" s="513">
        <v>-608746.07999999996</v>
      </c>
    </row>
    <row r="240" spans="1:4">
      <c r="A240" s="578" t="s">
        <v>1586</v>
      </c>
      <c r="B240" s="578" t="s">
        <v>1587</v>
      </c>
      <c r="C240">
        <v>0</v>
      </c>
      <c r="D240">
        <v>0</v>
      </c>
    </row>
    <row r="241" spans="1:4">
      <c r="A241" s="578" t="s">
        <v>1588</v>
      </c>
      <c r="B241" s="578" t="s">
        <v>1589</v>
      </c>
      <c r="C241">
        <v>0</v>
      </c>
      <c r="D241">
        <v>0</v>
      </c>
    </row>
    <row r="242" spans="1:4">
      <c r="A242" s="578" t="s">
        <v>1590</v>
      </c>
      <c r="B242" s="578" t="s">
        <v>1591</v>
      </c>
      <c r="C242">
        <v>0</v>
      </c>
      <c r="D242">
        <v>0</v>
      </c>
    </row>
    <row r="243" spans="1:4">
      <c r="A243" s="578" t="s">
        <v>1592</v>
      </c>
      <c r="B243" s="578" t="s">
        <v>1593</v>
      </c>
      <c r="C243">
        <v>0</v>
      </c>
      <c r="D243">
        <v>0</v>
      </c>
    </row>
    <row r="244" spans="1:4">
      <c r="A244" s="578" t="s">
        <v>1594</v>
      </c>
      <c r="B244" s="578" t="s">
        <v>1595</v>
      </c>
      <c r="C244">
        <v>0</v>
      </c>
      <c r="D244">
        <v>0</v>
      </c>
    </row>
    <row r="245" spans="1:4">
      <c r="A245" s="578" t="s">
        <v>1596</v>
      </c>
      <c r="B245" s="578" t="s">
        <v>1597</v>
      </c>
      <c r="C245">
        <v>0</v>
      </c>
      <c r="D245">
        <v>0</v>
      </c>
    </row>
    <row r="246" spans="1:4">
      <c r="A246" s="578" t="s">
        <v>1598</v>
      </c>
      <c r="B246" s="578" t="s">
        <v>1599</v>
      </c>
      <c r="C246">
        <v>0</v>
      </c>
      <c r="D246">
        <v>0</v>
      </c>
    </row>
    <row r="247" spans="1:4">
      <c r="A247" s="578" t="s">
        <v>1600</v>
      </c>
      <c r="B247" s="578" t="s">
        <v>1601</v>
      </c>
      <c r="C247">
        <v>0</v>
      </c>
      <c r="D247">
        <v>0</v>
      </c>
    </row>
    <row r="248" spans="1:4">
      <c r="A248" s="578" t="s">
        <v>1602</v>
      </c>
      <c r="B248" s="578" t="s">
        <v>1603</v>
      </c>
      <c r="C248">
        <v>0</v>
      </c>
      <c r="D248">
        <v>0</v>
      </c>
    </row>
    <row r="249" spans="1:4">
      <c r="A249" s="578" t="s">
        <v>1604</v>
      </c>
      <c r="B249" s="578" t="s">
        <v>1605</v>
      </c>
      <c r="C249">
        <v>0</v>
      </c>
      <c r="D249">
        <v>0</v>
      </c>
    </row>
    <row r="250" spans="1:4">
      <c r="A250" s="578" t="s">
        <v>1606</v>
      </c>
      <c r="B250" s="578" t="s">
        <v>1607</v>
      </c>
      <c r="C250">
        <v>0</v>
      </c>
      <c r="D250">
        <v>0</v>
      </c>
    </row>
    <row r="251" spans="1:4">
      <c r="A251" s="578" t="s">
        <v>1608</v>
      </c>
      <c r="B251" s="578" t="s">
        <v>1609</v>
      </c>
      <c r="C251" s="513">
        <v>-49296.63</v>
      </c>
      <c r="D251" s="513">
        <v>-55777.7</v>
      </c>
    </row>
    <row r="252" spans="1:4">
      <c r="A252" s="578" t="s">
        <v>1610</v>
      </c>
      <c r="C252" s="513">
        <v>-49296.63</v>
      </c>
      <c r="D252" s="513">
        <v>-55777.7</v>
      </c>
    </row>
    <row r="253" spans="1:4">
      <c r="A253" s="578" t="s">
        <v>1611</v>
      </c>
      <c r="B253" s="578" t="s">
        <v>1612</v>
      </c>
      <c r="C253">
        <v>0</v>
      </c>
      <c r="D253">
        <v>0</v>
      </c>
    </row>
    <row r="254" spans="1:4">
      <c r="A254" s="578" t="s">
        <v>1613</v>
      </c>
      <c r="B254" s="578" t="s">
        <v>235</v>
      </c>
      <c r="C254">
        <v>0</v>
      </c>
      <c r="D254">
        <v>0</v>
      </c>
    </row>
    <row r="255" spans="1:4">
      <c r="A255" s="578" t="s">
        <v>1614</v>
      </c>
      <c r="B255" s="578" t="s">
        <v>1615</v>
      </c>
      <c r="C255">
        <v>0</v>
      </c>
      <c r="D255">
        <v>0</v>
      </c>
    </row>
    <row r="256" spans="1:4">
      <c r="A256" s="578" t="s">
        <v>1616</v>
      </c>
      <c r="C256">
        <v>0</v>
      </c>
      <c r="D256">
        <v>0</v>
      </c>
    </row>
    <row r="257" spans="1:4">
      <c r="A257" s="577" t="s">
        <v>1617</v>
      </c>
      <c r="C257" s="579">
        <v>-525034.23999999999</v>
      </c>
      <c r="D257" s="579">
        <v>-702563.92</v>
      </c>
    </row>
    <row r="259" spans="1:4">
      <c r="A259" s="578" t="s">
        <v>1618</v>
      </c>
      <c r="B259" s="578" t="s">
        <v>1619</v>
      </c>
      <c r="C259">
        <v>0</v>
      </c>
      <c r="D259">
        <v>0</v>
      </c>
    </row>
    <row r="260" spans="1:4">
      <c r="A260" s="578" t="s">
        <v>1620</v>
      </c>
      <c r="B260" s="578" t="s">
        <v>1621</v>
      </c>
      <c r="C260">
        <v>0</v>
      </c>
      <c r="D260">
        <v>0</v>
      </c>
    </row>
    <row r="261" spans="1:4">
      <c r="A261" s="578" t="s">
        <v>1622</v>
      </c>
      <c r="C261">
        <v>0</v>
      </c>
      <c r="D261">
        <v>0</v>
      </c>
    </row>
    <row r="262" spans="1:4">
      <c r="A262" s="578" t="s">
        <v>1623</v>
      </c>
      <c r="B262" s="578" t="s">
        <v>1624</v>
      </c>
      <c r="C262" s="513">
        <v>-8100562.2300000004</v>
      </c>
      <c r="D262" s="513">
        <v>-13409322.869999999</v>
      </c>
    </row>
    <row r="263" spans="1:4">
      <c r="A263" s="578" t="s">
        <v>1625</v>
      </c>
      <c r="B263" s="578" t="s">
        <v>1626</v>
      </c>
      <c r="C263" s="513">
        <v>-901836.33</v>
      </c>
      <c r="D263" s="513">
        <v>-840342.74</v>
      </c>
    </row>
    <row r="264" spans="1:4">
      <c r="A264" s="578" t="s">
        <v>1627</v>
      </c>
      <c r="B264" s="578" t="s">
        <v>1628</v>
      </c>
      <c r="C264" s="513">
        <v>-20111751.460000001</v>
      </c>
      <c r="D264" s="513">
        <v>-19225776.73</v>
      </c>
    </row>
    <row r="265" spans="1:4">
      <c r="A265" s="578" t="s">
        <v>1629</v>
      </c>
      <c r="B265" s="578" t="s">
        <v>1630</v>
      </c>
      <c r="C265" s="550">
        <v>-1166820</v>
      </c>
      <c r="D265" s="513">
        <v>-5907513.5899999999</v>
      </c>
    </row>
    <row r="266" spans="1:4">
      <c r="A266" s="578" t="s">
        <v>1631</v>
      </c>
      <c r="B266" s="578" t="s">
        <v>1632</v>
      </c>
      <c r="C266">
        <v>-793.2</v>
      </c>
      <c r="D266" s="513">
        <v>-5963.17</v>
      </c>
    </row>
    <row r="267" spans="1:4">
      <c r="A267" s="578" t="s">
        <v>1633</v>
      </c>
      <c r="C267" s="513">
        <v>-30281763.219999999</v>
      </c>
      <c r="D267" s="513">
        <v>-39388919.100000001</v>
      </c>
    </row>
    <row r="268" spans="1:4">
      <c r="A268" s="577" t="s">
        <v>1637</v>
      </c>
      <c r="C268" s="579">
        <v>-30281763.219999999</v>
      </c>
      <c r="D268" s="579">
        <v>-39388919.100000001</v>
      </c>
    </row>
    <row r="270" spans="1:4">
      <c r="A270" s="578" t="s">
        <v>1638</v>
      </c>
      <c r="B270" s="578" t="s">
        <v>1639</v>
      </c>
      <c r="C270" s="513">
        <v>-22960.799999999999</v>
      </c>
      <c r="D270" s="513">
        <v>-22960.799999999999</v>
      </c>
    </row>
    <row r="271" spans="1:4">
      <c r="A271" s="578" t="s">
        <v>1640</v>
      </c>
      <c r="B271" s="578" t="s">
        <v>1641</v>
      </c>
      <c r="C271" s="513">
        <v>-178442.45</v>
      </c>
      <c r="D271" s="513">
        <v>-262071.83</v>
      </c>
    </row>
    <row r="272" spans="1:4">
      <c r="A272" s="578" t="s">
        <v>2652</v>
      </c>
      <c r="B272" s="578" t="s">
        <v>2653</v>
      </c>
      <c r="C272">
        <v>0</v>
      </c>
      <c r="D272">
        <v>0</v>
      </c>
    </row>
    <row r="273" spans="1:4">
      <c r="A273" s="578" t="s">
        <v>1642</v>
      </c>
      <c r="C273" s="513">
        <v>-201403.25</v>
      </c>
      <c r="D273" s="513">
        <v>-285032.63</v>
      </c>
    </row>
    <row r="274" spans="1:4">
      <c r="A274" s="578" t="s">
        <v>1643</v>
      </c>
      <c r="B274" s="578" t="s">
        <v>1644</v>
      </c>
      <c r="C274" s="513">
        <v>11742.35</v>
      </c>
      <c r="D274" s="513">
        <v>11742.35</v>
      </c>
    </row>
    <row r="275" spans="1:4">
      <c r="A275" s="578" t="s">
        <v>1645</v>
      </c>
      <c r="B275" s="578" t="s">
        <v>1646</v>
      </c>
      <c r="C275">
        <v>50</v>
      </c>
      <c r="D275">
        <v>50</v>
      </c>
    </row>
    <row r="276" spans="1:4">
      <c r="A276" s="578" t="s">
        <v>1647</v>
      </c>
      <c r="B276" s="578" t="s">
        <v>1648</v>
      </c>
      <c r="C276">
        <v>0</v>
      </c>
      <c r="D276">
        <v>0</v>
      </c>
    </row>
    <row r="277" spans="1:4">
      <c r="A277" s="578" t="s">
        <v>1649</v>
      </c>
      <c r="B277" s="578" t="s">
        <v>1650</v>
      </c>
      <c r="C277" s="513">
        <v>69297.34</v>
      </c>
      <c r="D277" s="513">
        <v>76250.509999999995</v>
      </c>
    </row>
    <row r="278" spans="1:4">
      <c r="A278" s="578" t="s">
        <v>1651</v>
      </c>
      <c r="B278" s="578" t="s">
        <v>1652</v>
      </c>
      <c r="C278" s="550">
        <v>3280</v>
      </c>
      <c r="D278">
        <v>-370.63</v>
      </c>
    </row>
    <row r="279" spans="1:4">
      <c r="A279" s="578" t="s">
        <v>1653</v>
      </c>
      <c r="B279" s="578" t="s">
        <v>1654</v>
      </c>
      <c r="C279">
        <v>853.67</v>
      </c>
      <c r="D279" s="513">
        <v>2086.09</v>
      </c>
    </row>
    <row r="280" spans="1:4">
      <c r="A280" s="578" t="s">
        <v>1655</v>
      </c>
      <c r="C280" s="513">
        <v>85223.360000000001</v>
      </c>
      <c r="D280" s="513">
        <v>89758.32</v>
      </c>
    </row>
    <row r="281" spans="1:4">
      <c r="A281" s="578" t="s">
        <v>1656</v>
      </c>
      <c r="B281" s="578" t="s">
        <v>1657</v>
      </c>
      <c r="C281" s="550">
        <v>-60000</v>
      </c>
      <c r="D281" s="550">
        <v>-96300</v>
      </c>
    </row>
    <row r="282" spans="1:4">
      <c r="A282" s="578" t="s">
        <v>1658</v>
      </c>
      <c r="B282" s="578" t="s">
        <v>1659</v>
      </c>
      <c r="C282">
        <v>-240</v>
      </c>
      <c r="D282">
        <v>0</v>
      </c>
    </row>
    <row r="283" spans="1:4">
      <c r="A283" s="578" t="s">
        <v>1660</v>
      </c>
      <c r="B283" s="578" t="s">
        <v>1661</v>
      </c>
      <c r="C283" s="513">
        <v>-3957.65</v>
      </c>
      <c r="D283">
        <v>0</v>
      </c>
    </row>
    <row r="284" spans="1:4">
      <c r="A284" s="578" t="s">
        <v>1662</v>
      </c>
      <c r="B284" s="578" t="s">
        <v>1663</v>
      </c>
      <c r="C284" s="513">
        <v>-21168.46</v>
      </c>
      <c r="D284" s="513">
        <v>-23734.720000000001</v>
      </c>
    </row>
    <row r="285" spans="1:4">
      <c r="A285" s="578" t="s">
        <v>1664</v>
      </c>
      <c r="B285" s="578" t="s">
        <v>1665</v>
      </c>
      <c r="C285">
        <v>0</v>
      </c>
      <c r="D285" s="550">
        <v>-1200</v>
      </c>
    </row>
    <row r="286" spans="1:4">
      <c r="A286" s="578" t="s">
        <v>1666</v>
      </c>
      <c r="B286" s="578" t="s">
        <v>1667</v>
      </c>
      <c r="C286">
        <v>-24.4</v>
      </c>
      <c r="D286" s="513">
        <v>-35138.42</v>
      </c>
    </row>
    <row r="287" spans="1:4">
      <c r="A287" s="578" t="s">
        <v>1668</v>
      </c>
      <c r="B287" s="578" t="s">
        <v>1669</v>
      </c>
      <c r="C287" s="513">
        <v>-3541797.59</v>
      </c>
      <c r="D287" s="513">
        <v>-20908427.620000001</v>
      </c>
    </row>
    <row r="288" spans="1:4">
      <c r="A288" s="578" t="s">
        <v>1670</v>
      </c>
      <c r="B288" s="578" t="s">
        <v>1671</v>
      </c>
      <c r="C288">
        <v>0</v>
      </c>
      <c r="D288" s="513">
        <v>-521876.59</v>
      </c>
    </row>
    <row r="289" spans="1:4">
      <c r="A289" s="578" t="s">
        <v>1674</v>
      </c>
      <c r="C289" s="513">
        <v>-3627188.1</v>
      </c>
      <c r="D289" s="513">
        <v>-21586677.350000001</v>
      </c>
    </row>
    <row r="290" spans="1:4">
      <c r="A290" s="577" t="s">
        <v>1675</v>
      </c>
      <c r="C290" s="579">
        <v>-3743367.99</v>
      </c>
      <c r="D290" s="579">
        <v>-21781951.66</v>
      </c>
    </row>
    <row r="292" spans="1:4">
      <c r="A292" s="578" t="s">
        <v>1676</v>
      </c>
      <c r="B292" s="578" t="s">
        <v>1677</v>
      </c>
      <c r="C292" s="513">
        <v>7847.3</v>
      </c>
      <c r="D292" s="513">
        <v>31993.05</v>
      </c>
    </row>
    <row r="293" spans="1:4">
      <c r="A293" s="578" t="s">
        <v>1678</v>
      </c>
      <c r="C293" s="513">
        <v>7847.3</v>
      </c>
      <c r="D293" s="513">
        <v>31993.05</v>
      </c>
    </row>
    <row r="294" spans="1:4">
      <c r="A294" s="578" t="s">
        <v>2654</v>
      </c>
      <c r="B294" s="578" t="s">
        <v>2655</v>
      </c>
      <c r="C294">
        <v>-35.35</v>
      </c>
      <c r="D294">
        <v>0</v>
      </c>
    </row>
    <row r="295" spans="1:4">
      <c r="A295" s="578" t="s">
        <v>2656</v>
      </c>
      <c r="C295">
        <v>-35.35</v>
      </c>
      <c r="D295">
        <v>0</v>
      </c>
    </row>
    <row r="296" spans="1:4">
      <c r="A296" s="578" t="s">
        <v>1679</v>
      </c>
      <c r="B296" s="578" t="s">
        <v>1680</v>
      </c>
      <c r="C296" s="513">
        <v>-216379.13</v>
      </c>
      <c r="D296" s="513">
        <v>-213980.42</v>
      </c>
    </row>
    <row r="297" spans="1:4">
      <c r="A297" s="578" t="s">
        <v>1681</v>
      </c>
      <c r="B297" s="578" t="s">
        <v>1682</v>
      </c>
      <c r="C297" s="513">
        <v>-6841.29</v>
      </c>
      <c r="D297" s="513">
        <v>-10439.58</v>
      </c>
    </row>
    <row r="298" spans="1:4">
      <c r="A298" s="578" t="s">
        <v>1683</v>
      </c>
      <c r="C298" s="513">
        <v>-223220.42</v>
      </c>
      <c r="D298" s="550">
        <v>-224420</v>
      </c>
    </row>
    <row r="299" spans="1:4">
      <c r="A299" s="578" t="s">
        <v>1684</v>
      </c>
      <c r="B299" s="578" t="s">
        <v>1685</v>
      </c>
      <c r="C299" s="513">
        <v>2034.79</v>
      </c>
      <c r="D299">
        <v>0</v>
      </c>
    </row>
    <row r="300" spans="1:4">
      <c r="A300" s="578" t="s">
        <v>1686</v>
      </c>
      <c r="C300" s="513">
        <v>2034.79</v>
      </c>
      <c r="D300">
        <v>0</v>
      </c>
    </row>
    <row r="301" spans="1:4">
      <c r="A301" s="577" t="s">
        <v>1687</v>
      </c>
      <c r="C301" s="579">
        <v>-213373.68</v>
      </c>
      <c r="D301" s="579">
        <v>-192426.95</v>
      </c>
    </row>
    <row r="303" spans="1:4">
      <c r="A303" s="578" t="s">
        <v>1688</v>
      </c>
      <c r="B303" s="578" t="s">
        <v>1689</v>
      </c>
      <c r="C303" s="513">
        <v>-111185.32</v>
      </c>
      <c r="D303" s="513">
        <v>-190569.32</v>
      </c>
    </row>
    <row r="304" spans="1:4">
      <c r="A304" s="578" t="s">
        <v>1690</v>
      </c>
      <c r="B304" s="578" t="s">
        <v>1691</v>
      </c>
      <c r="C304" s="513">
        <v>-195985.6</v>
      </c>
      <c r="D304" s="513">
        <v>-198588.74</v>
      </c>
    </row>
    <row r="305" spans="1:4">
      <c r="A305" s="578" t="s">
        <v>1692</v>
      </c>
      <c r="B305" s="578" t="s">
        <v>1693</v>
      </c>
      <c r="C305" s="513">
        <v>-12320.92</v>
      </c>
      <c r="D305" s="513">
        <v>-12320.92</v>
      </c>
    </row>
    <row r="306" spans="1:4">
      <c r="A306" s="578" t="s">
        <v>1694</v>
      </c>
      <c r="C306" s="513">
        <v>-319491.84000000003</v>
      </c>
      <c r="D306" s="513">
        <v>-401478.98</v>
      </c>
    </row>
    <row r="307" spans="1:4">
      <c r="A307" s="578" t="s">
        <v>1695</v>
      </c>
      <c r="B307" s="578" t="s">
        <v>1696</v>
      </c>
      <c r="C307">
        <v>0</v>
      </c>
      <c r="D307">
        <v>0</v>
      </c>
    </row>
    <row r="308" spans="1:4">
      <c r="A308" s="578" t="s">
        <v>1697</v>
      </c>
      <c r="B308" s="578" t="s">
        <v>1698</v>
      </c>
      <c r="C308">
        <v>0</v>
      </c>
      <c r="D308">
        <v>0</v>
      </c>
    </row>
    <row r="309" spans="1:4">
      <c r="A309" s="578" t="s">
        <v>1699</v>
      </c>
      <c r="B309" s="578" t="s">
        <v>1700</v>
      </c>
      <c r="C309">
        <v>0</v>
      </c>
      <c r="D309">
        <v>0</v>
      </c>
    </row>
    <row r="310" spans="1:4">
      <c r="A310" s="578" t="s">
        <v>1705</v>
      </c>
      <c r="B310" s="578" t="s">
        <v>1706</v>
      </c>
      <c r="C310">
        <v>0</v>
      </c>
      <c r="D310">
        <v>0</v>
      </c>
    </row>
    <row r="311" spans="1:4">
      <c r="A311" s="578" t="s">
        <v>1707</v>
      </c>
      <c r="C311">
        <v>0</v>
      </c>
      <c r="D311">
        <v>0</v>
      </c>
    </row>
    <row r="312" spans="1:4">
      <c r="A312" s="577" t="s">
        <v>1708</v>
      </c>
      <c r="C312" s="579">
        <v>-319491.84000000003</v>
      </c>
      <c r="D312" s="579">
        <v>-401478.98</v>
      </c>
    </row>
    <row r="314" spans="1:4">
      <c r="A314" s="577" t="s">
        <v>1709</v>
      </c>
      <c r="C314" s="579">
        <v>-126171381.95999999</v>
      </c>
      <c r="D314" s="579">
        <v>-140008351.81</v>
      </c>
    </row>
    <row r="317" spans="1:4">
      <c r="A317" s="578" t="s">
        <v>1710</v>
      </c>
      <c r="B317" s="578" t="s">
        <v>1711</v>
      </c>
      <c r="C317" s="513">
        <v>71384596.780000001</v>
      </c>
      <c r="D317" s="513">
        <v>68802116.540000007</v>
      </c>
    </row>
    <row r="318" spans="1:4">
      <c r="A318" s="578" t="s">
        <v>1712</v>
      </c>
      <c r="C318" s="513">
        <v>71384596.780000001</v>
      </c>
      <c r="D318" s="513">
        <v>68802116.540000007</v>
      </c>
    </row>
    <row r="319" spans="1:4">
      <c r="A319" s="577" t="s">
        <v>1713</v>
      </c>
      <c r="C319" s="579">
        <v>71384596.780000001</v>
      </c>
      <c r="D319" s="579">
        <v>68802116.540000007</v>
      </c>
    </row>
    <row r="321" spans="1:4">
      <c r="A321" s="578" t="s">
        <v>1714</v>
      </c>
      <c r="B321" s="578" t="s">
        <v>1715</v>
      </c>
      <c r="C321" s="513">
        <v>-2378137.6800000002</v>
      </c>
      <c r="D321">
        <v>0</v>
      </c>
    </row>
    <row r="322" spans="1:4">
      <c r="A322" s="578" t="s">
        <v>1716</v>
      </c>
      <c r="C322" s="513">
        <v>-2378137.6800000002</v>
      </c>
      <c r="D322">
        <v>0</v>
      </c>
    </row>
    <row r="323" spans="1:4">
      <c r="A323" s="577" t="s">
        <v>1717</v>
      </c>
      <c r="C323" s="579">
        <v>-2378137.6800000002</v>
      </c>
      <c r="D323" s="369">
        <v>0</v>
      </c>
    </row>
    <row r="325" spans="1:4">
      <c r="A325" s="578" t="s">
        <v>1718</v>
      </c>
      <c r="B325" s="578" t="s">
        <v>1719</v>
      </c>
      <c r="C325" s="513">
        <v>-48409.01</v>
      </c>
      <c r="D325" s="513">
        <v>-48409.01</v>
      </c>
    </row>
    <row r="326" spans="1:4">
      <c r="A326" s="578" t="s">
        <v>1720</v>
      </c>
      <c r="B326" s="578" t="s">
        <v>1721</v>
      </c>
      <c r="C326">
        <v>0</v>
      </c>
      <c r="D326" s="513">
        <v>-676319.53</v>
      </c>
    </row>
    <row r="327" spans="1:4">
      <c r="A327" s="578" t="s">
        <v>1722</v>
      </c>
      <c r="B327" s="578" t="s">
        <v>1723</v>
      </c>
      <c r="C327">
        <v>0</v>
      </c>
      <c r="D327" s="513">
        <v>2200.81</v>
      </c>
    </row>
    <row r="328" spans="1:4">
      <c r="A328" s="578" t="s">
        <v>1724</v>
      </c>
      <c r="B328" s="578" t="s">
        <v>1725</v>
      </c>
      <c r="C328">
        <v>0</v>
      </c>
      <c r="D328" s="513">
        <v>21372.98</v>
      </c>
    </row>
    <row r="329" spans="1:4">
      <c r="A329" s="578" t="s">
        <v>1726</v>
      </c>
      <c r="B329" s="578" t="s">
        <v>1727</v>
      </c>
      <c r="C329">
        <v>0</v>
      </c>
      <c r="D329" s="513">
        <v>549770.07999999996</v>
      </c>
    </row>
    <row r="330" spans="1:4">
      <c r="A330" s="578" t="s">
        <v>1728</v>
      </c>
      <c r="B330" s="578" t="s">
        <v>1729</v>
      </c>
      <c r="C330">
        <v>0</v>
      </c>
      <c r="D330" s="513">
        <v>43730.400000000001</v>
      </c>
    </row>
    <row r="331" spans="1:4">
      <c r="A331" s="578" t="s">
        <v>1730</v>
      </c>
      <c r="C331" s="513">
        <v>-48409.01</v>
      </c>
      <c r="D331" s="513">
        <v>-107654.27</v>
      </c>
    </row>
    <row r="332" spans="1:4">
      <c r="A332" s="578" t="s">
        <v>1731</v>
      </c>
      <c r="B332" s="578" t="s">
        <v>1732</v>
      </c>
      <c r="C332">
        <v>0</v>
      </c>
      <c r="D332" s="513">
        <v>-194480.68</v>
      </c>
    </row>
    <row r="333" spans="1:4">
      <c r="A333" s="578" t="s">
        <v>1733</v>
      </c>
      <c r="C333">
        <v>0</v>
      </c>
      <c r="D333" s="513">
        <v>-194480.68</v>
      </c>
    </row>
    <row r="334" spans="1:4">
      <c r="A334" s="577" t="s">
        <v>1734</v>
      </c>
      <c r="C334" s="579">
        <v>-48409.01</v>
      </c>
      <c r="D334" s="579">
        <v>-302134.95</v>
      </c>
    </row>
    <row r="336" spans="1:4">
      <c r="A336" s="577" t="s">
        <v>1735</v>
      </c>
      <c r="C336" s="579">
        <v>68958050.090000004</v>
      </c>
      <c r="D336" s="579">
        <v>68499981.590000004</v>
      </c>
    </row>
    <row r="339" spans="1:4">
      <c r="A339" s="578" t="s">
        <v>1736</v>
      </c>
      <c r="B339" s="578" t="s">
        <v>1737</v>
      </c>
      <c r="C339">
        <v>0</v>
      </c>
      <c r="D339" s="513">
        <v>345954.85</v>
      </c>
    </row>
    <row r="340" spans="1:4">
      <c r="A340" s="578" t="s">
        <v>1738</v>
      </c>
      <c r="B340" s="578" t="s">
        <v>1739</v>
      </c>
      <c r="C340">
        <v>0</v>
      </c>
      <c r="D340" s="513">
        <v>1674471.41</v>
      </c>
    </row>
    <row r="341" spans="1:4">
      <c r="A341" s="578" t="s">
        <v>1740</v>
      </c>
      <c r="B341" s="578" t="s">
        <v>1741</v>
      </c>
      <c r="C341">
        <v>0</v>
      </c>
      <c r="D341" s="513">
        <v>155178.34</v>
      </c>
    </row>
    <row r="342" spans="1:4">
      <c r="A342" s="578" t="s">
        <v>1742</v>
      </c>
      <c r="B342" s="578" t="s">
        <v>1743</v>
      </c>
      <c r="C342">
        <v>0</v>
      </c>
      <c r="D342" s="513">
        <v>10492.06</v>
      </c>
    </row>
    <row r="343" spans="1:4">
      <c r="A343" s="578" t="s">
        <v>1744</v>
      </c>
      <c r="B343" s="578" t="s">
        <v>1745</v>
      </c>
      <c r="C343">
        <v>0</v>
      </c>
      <c r="D343" s="513">
        <v>12473.96</v>
      </c>
    </row>
    <row r="344" spans="1:4">
      <c r="A344" s="578" t="s">
        <v>1746</v>
      </c>
      <c r="B344" s="578" t="s">
        <v>1747</v>
      </c>
      <c r="C344">
        <v>0</v>
      </c>
      <c r="D344" s="513">
        <v>196862.81</v>
      </c>
    </row>
    <row r="345" spans="1:4">
      <c r="A345" s="578" t="s">
        <v>1748</v>
      </c>
      <c r="B345" s="578" t="s">
        <v>1749</v>
      </c>
      <c r="C345">
        <v>0</v>
      </c>
      <c r="D345" s="513">
        <v>1604683.29</v>
      </c>
    </row>
    <row r="346" spans="1:4">
      <c r="A346" s="578" t="s">
        <v>1750</v>
      </c>
      <c r="B346" s="578" t="s">
        <v>1751</v>
      </c>
      <c r="C346">
        <v>0</v>
      </c>
      <c r="D346" s="513">
        <v>4062686.62</v>
      </c>
    </row>
    <row r="347" spans="1:4">
      <c r="A347" s="578" t="s">
        <v>1752</v>
      </c>
      <c r="B347" s="578" t="s">
        <v>1753</v>
      </c>
      <c r="C347">
        <v>0</v>
      </c>
      <c r="D347" s="513">
        <v>244640.45</v>
      </c>
    </row>
    <row r="348" spans="1:4">
      <c r="A348" s="578" t="s">
        <v>1754</v>
      </c>
      <c r="B348" s="578" t="s">
        <v>1755</v>
      </c>
      <c r="C348">
        <v>0</v>
      </c>
      <c r="D348" s="513">
        <v>583927.54</v>
      </c>
    </row>
    <row r="349" spans="1:4">
      <c r="A349" s="578" t="s">
        <v>1756</v>
      </c>
      <c r="B349" s="578" t="s">
        <v>1757</v>
      </c>
      <c r="C349">
        <v>0</v>
      </c>
      <c r="D349" s="513">
        <v>3730.14</v>
      </c>
    </row>
    <row r="350" spans="1:4">
      <c r="A350" s="578" t="s">
        <v>1758</v>
      </c>
      <c r="B350" s="578" t="s">
        <v>1759</v>
      </c>
      <c r="C350">
        <v>0</v>
      </c>
      <c r="D350" s="513">
        <v>63824.39</v>
      </c>
    </row>
    <row r="351" spans="1:4">
      <c r="A351" s="578" t="s">
        <v>1760</v>
      </c>
      <c r="B351" s="578" t="s">
        <v>1761</v>
      </c>
      <c r="C351">
        <v>0</v>
      </c>
      <c r="D351" s="513">
        <v>2336879.0499999998</v>
      </c>
    </row>
    <row r="352" spans="1:4">
      <c r="A352" s="578" t="s">
        <v>1762</v>
      </c>
      <c r="B352" s="578" t="s">
        <v>1763</v>
      </c>
      <c r="C352">
        <v>0</v>
      </c>
      <c r="D352" s="513">
        <v>3374198.93</v>
      </c>
    </row>
    <row r="353" spans="1:4">
      <c r="A353" s="578" t="s">
        <v>1764</v>
      </c>
      <c r="B353" s="578" t="s">
        <v>1765</v>
      </c>
      <c r="C353">
        <v>0</v>
      </c>
      <c r="D353" s="513">
        <v>112003.62</v>
      </c>
    </row>
    <row r="354" spans="1:4">
      <c r="A354" s="578" t="s">
        <v>1766</v>
      </c>
      <c r="B354" s="578" t="s">
        <v>1767</v>
      </c>
      <c r="C354">
        <v>0</v>
      </c>
      <c r="D354" s="513">
        <v>217116.56</v>
      </c>
    </row>
    <row r="355" spans="1:4">
      <c r="A355" s="578" t="s">
        <v>1768</v>
      </c>
      <c r="B355" s="578" t="s">
        <v>1769</v>
      </c>
      <c r="C355">
        <v>0</v>
      </c>
      <c r="D355" s="513">
        <v>148846.37</v>
      </c>
    </row>
    <row r="356" spans="1:4">
      <c r="A356" s="578" t="s">
        <v>1770</v>
      </c>
      <c r="B356" s="578" t="s">
        <v>1771</v>
      </c>
      <c r="C356">
        <v>0</v>
      </c>
      <c r="D356" s="513">
        <v>1471.72</v>
      </c>
    </row>
    <row r="357" spans="1:4">
      <c r="A357" s="578" t="s">
        <v>2657</v>
      </c>
      <c r="B357" s="578" t="s">
        <v>2658</v>
      </c>
      <c r="C357">
        <v>0</v>
      </c>
      <c r="D357">
        <v>83.52</v>
      </c>
    </row>
    <row r="358" spans="1:4">
      <c r="A358" s="578" t="s">
        <v>1772</v>
      </c>
      <c r="B358" s="578" t="s">
        <v>1773</v>
      </c>
      <c r="C358">
        <v>0</v>
      </c>
      <c r="D358" s="513">
        <v>41259.279999999999</v>
      </c>
    </row>
    <row r="359" spans="1:4">
      <c r="A359" s="578" t="s">
        <v>1774</v>
      </c>
      <c r="B359" s="578" t="s">
        <v>1775</v>
      </c>
      <c r="C359">
        <v>0</v>
      </c>
      <c r="D359" s="513">
        <v>729005.58</v>
      </c>
    </row>
    <row r="360" spans="1:4">
      <c r="A360" s="578" t="s">
        <v>1776</v>
      </c>
      <c r="B360" s="578" t="s">
        <v>1292</v>
      </c>
      <c r="C360">
        <v>0</v>
      </c>
      <c r="D360" s="513">
        <v>2334448.7999999998</v>
      </c>
    </row>
    <row r="361" spans="1:4">
      <c r="A361" s="578" t="s">
        <v>1777</v>
      </c>
      <c r="B361" s="578" t="s">
        <v>1778</v>
      </c>
      <c r="C361">
        <v>0</v>
      </c>
      <c r="D361" s="513">
        <v>5132662.49</v>
      </c>
    </row>
    <row r="362" spans="1:4">
      <c r="A362" s="578" t="s">
        <v>1779</v>
      </c>
      <c r="B362" s="578" t="s">
        <v>1780</v>
      </c>
      <c r="C362">
        <v>0</v>
      </c>
      <c r="D362" s="513">
        <v>5406581.8899999997</v>
      </c>
    </row>
    <row r="363" spans="1:4">
      <c r="A363" s="578" t="s">
        <v>1781</v>
      </c>
      <c r="B363" s="578" t="s">
        <v>1782</v>
      </c>
      <c r="C363">
        <v>0</v>
      </c>
      <c r="D363" s="513">
        <v>3297.11</v>
      </c>
    </row>
    <row r="364" spans="1:4">
      <c r="A364" s="578" t="s">
        <v>1783</v>
      </c>
      <c r="B364" s="578" t="s">
        <v>1784</v>
      </c>
      <c r="C364">
        <v>0</v>
      </c>
      <c r="D364" s="550">
        <v>40667</v>
      </c>
    </row>
    <row r="365" spans="1:4">
      <c r="A365" s="578" t="s">
        <v>1785</v>
      </c>
      <c r="B365" s="578" t="s">
        <v>1786</v>
      </c>
      <c r="C365">
        <v>0</v>
      </c>
      <c r="D365" s="513">
        <v>1938586.2</v>
      </c>
    </row>
    <row r="366" spans="1:4">
      <c r="A366" s="578" t="s">
        <v>1787</v>
      </c>
      <c r="B366" s="578" t="s">
        <v>1788</v>
      </c>
      <c r="C366">
        <v>0</v>
      </c>
      <c r="D366" s="513">
        <v>773001.21</v>
      </c>
    </row>
    <row r="367" spans="1:4">
      <c r="A367" s="578" t="s">
        <v>1789</v>
      </c>
      <c r="B367" s="578" t="s">
        <v>1790</v>
      </c>
      <c r="C367">
        <v>0</v>
      </c>
      <c r="D367" s="513">
        <v>429855.89</v>
      </c>
    </row>
    <row r="368" spans="1:4">
      <c r="A368" s="578" t="s">
        <v>1791</v>
      </c>
      <c r="B368" s="578" t="s">
        <v>1778</v>
      </c>
      <c r="C368">
        <v>0</v>
      </c>
      <c r="D368" s="513">
        <v>100714.25</v>
      </c>
    </row>
    <row r="369" spans="1:4">
      <c r="A369" s="578" t="s">
        <v>1792</v>
      </c>
      <c r="B369" s="578" t="s">
        <v>1780</v>
      </c>
      <c r="C369">
        <v>0</v>
      </c>
      <c r="D369" s="513">
        <v>140742.20000000001</v>
      </c>
    </row>
    <row r="370" spans="1:4">
      <c r="A370" s="578" t="s">
        <v>1793</v>
      </c>
      <c r="B370" s="578" t="s">
        <v>1794</v>
      </c>
      <c r="C370">
        <v>0</v>
      </c>
      <c r="D370" s="513">
        <v>210158.39</v>
      </c>
    </row>
    <row r="371" spans="1:4">
      <c r="A371" s="578" t="s">
        <v>1795</v>
      </c>
      <c r="B371" s="578" t="s">
        <v>1782</v>
      </c>
      <c r="C371">
        <v>0</v>
      </c>
      <c r="D371" s="513">
        <v>120394.89</v>
      </c>
    </row>
    <row r="372" spans="1:4">
      <c r="A372" s="578" t="s">
        <v>1796</v>
      </c>
      <c r="B372" s="578" t="s">
        <v>1784</v>
      </c>
      <c r="C372">
        <v>0</v>
      </c>
      <c r="D372" s="513">
        <v>214703.7</v>
      </c>
    </row>
    <row r="373" spans="1:4">
      <c r="A373" s="578" t="s">
        <v>1797</v>
      </c>
      <c r="B373" s="578" t="s">
        <v>1798</v>
      </c>
      <c r="C373">
        <v>0</v>
      </c>
      <c r="D373">
        <v>529.55999999999995</v>
      </c>
    </row>
    <row r="374" spans="1:4">
      <c r="A374" s="578" t="s">
        <v>1799</v>
      </c>
      <c r="B374" s="578" t="s">
        <v>1800</v>
      </c>
      <c r="C374">
        <v>0</v>
      </c>
      <c r="D374" s="513">
        <v>4283857.4400000004</v>
      </c>
    </row>
    <row r="375" spans="1:4">
      <c r="A375" s="578" t="s">
        <v>1801</v>
      </c>
      <c r="B375" s="578" t="s">
        <v>1802</v>
      </c>
      <c r="C375">
        <v>0</v>
      </c>
      <c r="D375" s="513">
        <v>570233.86</v>
      </c>
    </row>
    <row r="376" spans="1:4">
      <c r="A376" s="578" t="s">
        <v>1803</v>
      </c>
      <c r="B376" s="578" t="s">
        <v>1804</v>
      </c>
      <c r="C376">
        <v>0</v>
      </c>
      <c r="D376" s="513">
        <v>4802.12</v>
      </c>
    </row>
    <row r="377" spans="1:4">
      <c r="A377" s="578" t="s">
        <v>1805</v>
      </c>
      <c r="B377" s="578" t="s">
        <v>1806</v>
      </c>
      <c r="C377">
        <v>0</v>
      </c>
      <c r="D377" s="513">
        <v>42819.19</v>
      </c>
    </row>
    <row r="378" spans="1:4">
      <c r="A378" s="578" t="s">
        <v>1807</v>
      </c>
      <c r="B378" s="578" t="s">
        <v>1808</v>
      </c>
      <c r="C378">
        <v>0</v>
      </c>
      <c r="D378" s="513">
        <v>166220.84</v>
      </c>
    </row>
    <row r="379" spans="1:4">
      <c r="A379" s="578" t="s">
        <v>1809</v>
      </c>
      <c r="B379" s="578" t="s">
        <v>1810</v>
      </c>
      <c r="C379">
        <v>0</v>
      </c>
      <c r="D379" s="513">
        <v>327166.34999999998</v>
      </c>
    </row>
    <row r="380" spans="1:4">
      <c r="A380" s="578" t="s">
        <v>1811</v>
      </c>
      <c r="B380" s="578" t="s">
        <v>1812</v>
      </c>
      <c r="C380">
        <v>0</v>
      </c>
      <c r="D380" s="513">
        <v>352013.98</v>
      </c>
    </row>
    <row r="381" spans="1:4">
      <c r="A381" s="578" t="s">
        <v>1813</v>
      </c>
      <c r="B381" s="578" t="s">
        <v>1814</v>
      </c>
      <c r="C381">
        <v>0</v>
      </c>
      <c r="D381" s="513">
        <v>108886.56</v>
      </c>
    </row>
    <row r="382" spans="1:4">
      <c r="A382" s="578" t="s">
        <v>1815</v>
      </c>
      <c r="B382" s="578" t="s">
        <v>1816</v>
      </c>
      <c r="C382">
        <v>0</v>
      </c>
      <c r="D382" s="513">
        <v>129412.32</v>
      </c>
    </row>
    <row r="383" spans="1:4">
      <c r="A383" s="578" t="s">
        <v>1821</v>
      </c>
      <c r="B383" s="578" t="s">
        <v>1822</v>
      </c>
      <c r="C383">
        <v>0</v>
      </c>
      <c r="D383">
        <v>62.78</v>
      </c>
    </row>
    <row r="384" spans="1:4">
      <c r="A384" s="578" t="s">
        <v>1823</v>
      </c>
      <c r="B384" s="578" t="s">
        <v>1824</v>
      </c>
      <c r="C384">
        <v>0</v>
      </c>
      <c r="D384" s="513">
        <v>119090.06</v>
      </c>
    </row>
    <row r="385" spans="1:4">
      <c r="A385" s="578" t="s">
        <v>1825</v>
      </c>
      <c r="B385" s="578" t="s">
        <v>1826</v>
      </c>
      <c r="C385">
        <v>0</v>
      </c>
      <c r="D385" s="513">
        <v>317140.49</v>
      </c>
    </row>
    <row r="386" spans="1:4">
      <c r="A386" s="578" t="s">
        <v>1827</v>
      </c>
      <c r="B386" s="578" t="s">
        <v>226</v>
      </c>
      <c r="C386">
        <v>0</v>
      </c>
      <c r="D386" s="513">
        <v>81185.64</v>
      </c>
    </row>
    <row r="387" spans="1:4">
      <c r="A387" s="578" t="s">
        <v>1828</v>
      </c>
      <c r="B387" s="578" t="s">
        <v>1829</v>
      </c>
      <c r="C387">
        <v>0</v>
      </c>
      <c r="D387" s="513">
        <v>54383.53</v>
      </c>
    </row>
    <row r="388" spans="1:4">
      <c r="A388" s="578" t="s">
        <v>1830</v>
      </c>
      <c r="B388" s="578" t="s">
        <v>1831</v>
      </c>
      <c r="C388">
        <v>0</v>
      </c>
      <c r="D388">
        <v>62.57</v>
      </c>
    </row>
    <row r="389" spans="1:4">
      <c r="A389" s="578" t="s">
        <v>1832</v>
      </c>
      <c r="B389" s="578" t="s">
        <v>1833</v>
      </c>
      <c r="C389">
        <v>0</v>
      </c>
      <c r="D389">
        <v>750.34</v>
      </c>
    </row>
    <row r="390" spans="1:4">
      <c r="A390" s="578" t="s">
        <v>1836</v>
      </c>
      <c r="B390" s="578" t="s">
        <v>1837</v>
      </c>
      <c r="C390">
        <v>0</v>
      </c>
      <c r="D390" s="513">
        <v>3449.42</v>
      </c>
    </row>
    <row r="391" spans="1:4">
      <c r="A391" s="578" t="s">
        <v>1838</v>
      </c>
      <c r="B391" s="578" t="s">
        <v>1839</v>
      </c>
      <c r="C391">
        <v>0</v>
      </c>
      <c r="D391" s="513">
        <v>10126.790000000001</v>
      </c>
    </row>
    <row r="392" spans="1:4">
      <c r="A392" s="578" t="s">
        <v>1840</v>
      </c>
      <c r="B392" s="578" t="s">
        <v>1841</v>
      </c>
      <c r="C392">
        <v>0</v>
      </c>
      <c r="D392" s="513">
        <v>8217.98</v>
      </c>
    </row>
    <row r="393" spans="1:4">
      <c r="A393" s="578" t="s">
        <v>1842</v>
      </c>
      <c r="B393" s="578" t="s">
        <v>1843</v>
      </c>
      <c r="C393">
        <v>0</v>
      </c>
      <c r="D393" s="513">
        <v>1040084.94</v>
      </c>
    </row>
    <row r="394" spans="1:4">
      <c r="A394" s="578" t="s">
        <v>1844</v>
      </c>
      <c r="B394" s="578" t="s">
        <v>1845</v>
      </c>
      <c r="C394">
        <v>0</v>
      </c>
      <c r="D394" s="513">
        <v>28487.599999999999</v>
      </c>
    </row>
    <row r="395" spans="1:4">
      <c r="A395" s="578" t="s">
        <v>1846</v>
      </c>
      <c r="B395" s="578" t="s">
        <v>1847</v>
      </c>
      <c r="C395">
        <v>0</v>
      </c>
      <c r="D395" s="513">
        <v>662946.22</v>
      </c>
    </row>
    <row r="396" spans="1:4">
      <c r="A396" s="578" t="s">
        <v>1848</v>
      </c>
      <c r="B396" s="578" t="s">
        <v>1849</v>
      </c>
      <c r="C396">
        <v>0</v>
      </c>
      <c r="D396" s="513">
        <v>395048.01</v>
      </c>
    </row>
    <row r="397" spans="1:4">
      <c r="A397" s="578" t="s">
        <v>1850</v>
      </c>
      <c r="B397" s="578" t="s">
        <v>1851</v>
      </c>
      <c r="C397">
        <v>0</v>
      </c>
      <c r="D397" s="513">
        <v>30785.48</v>
      </c>
    </row>
    <row r="398" spans="1:4">
      <c r="A398" s="578" t="s">
        <v>1852</v>
      </c>
      <c r="B398" s="578" t="s">
        <v>1853</v>
      </c>
      <c r="C398">
        <v>0</v>
      </c>
      <c r="D398" s="513">
        <v>57126.17</v>
      </c>
    </row>
    <row r="399" spans="1:4">
      <c r="A399" s="578" t="s">
        <v>1854</v>
      </c>
      <c r="B399" s="578" t="s">
        <v>1855</v>
      </c>
      <c r="C399">
        <v>0</v>
      </c>
      <c r="D399" s="513">
        <v>154822.66</v>
      </c>
    </row>
    <row r="400" spans="1:4">
      <c r="A400" s="578" t="s">
        <v>1856</v>
      </c>
      <c r="B400" s="578" t="s">
        <v>1857</v>
      </c>
      <c r="C400">
        <v>0</v>
      </c>
      <c r="D400" s="550">
        <v>3390</v>
      </c>
    </row>
    <row r="401" spans="1:4">
      <c r="A401" s="578" t="s">
        <v>1858</v>
      </c>
      <c r="B401" s="578" t="s">
        <v>1859</v>
      </c>
      <c r="C401">
        <v>0</v>
      </c>
      <c r="D401" s="513">
        <v>3723.52</v>
      </c>
    </row>
    <row r="402" spans="1:4">
      <c r="A402" s="578" t="s">
        <v>1860</v>
      </c>
      <c r="B402" s="578" t="s">
        <v>1861</v>
      </c>
      <c r="C402">
        <v>0</v>
      </c>
      <c r="D402" s="513">
        <v>18401.240000000002</v>
      </c>
    </row>
    <row r="403" spans="1:4">
      <c r="A403" s="578" t="s">
        <v>1862</v>
      </c>
      <c r="B403" s="578" t="s">
        <v>1863</v>
      </c>
      <c r="C403">
        <v>0</v>
      </c>
      <c r="D403" s="513">
        <v>1372.39</v>
      </c>
    </row>
    <row r="404" spans="1:4">
      <c r="A404" s="578" t="s">
        <v>1864</v>
      </c>
      <c r="B404" s="578" t="s">
        <v>1865</v>
      </c>
      <c r="C404">
        <v>0</v>
      </c>
      <c r="D404" s="513">
        <v>448901.66</v>
      </c>
    </row>
    <row r="405" spans="1:4">
      <c r="A405" s="578" t="s">
        <v>1866</v>
      </c>
      <c r="B405" s="578" t="s">
        <v>1867</v>
      </c>
      <c r="C405">
        <v>0</v>
      </c>
      <c r="D405">
        <v>32.6</v>
      </c>
    </row>
    <row r="406" spans="1:4">
      <c r="A406" s="578" t="s">
        <v>1868</v>
      </c>
      <c r="B406" s="578" t="s">
        <v>1869</v>
      </c>
      <c r="C406">
        <v>0</v>
      </c>
      <c r="D406" s="513">
        <v>10388.120000000001</v>
      </c>
    </row>
    <row r="407" spans="1:4">
      <c r="A407" s="578" t="s">
        <v>1870</v>
      </c>
      <c r="B407" s="578" t="s">
        <v>1871</v>
      </c>
      <c r="C407">
        <v>0</v>
      </c>
      <c r="D407" s="513">
        <v>17398.73</v>
      </c>
    </row>
    <row r="408" spans="1:4">
      <c r="A408" s="578" t="s">
        <v>1872</v>
      </c>
      <c r="B408" s="578" t="s">
        <v>1873</v>
      </c>
      <c r="C408">
        <v>0</v>
      </c>
      <c r="D408" s="513">
        <v>1163.6300000000001</v>
      </c>
    </row>
    <row r="409" spans="1:4">
      <c r="A409" s="578" t="s">
        <v>1874</v>
      </c>
      <c r="B409" s="578" t="s">
        <v>1875</v>
      </c>
      <c r="C409">
        <v>0</v>
      </c>
      <c r="D409">
        <v>104.65</v>
      </c>
    </row>
    <row r="410" spans="1:4">
      <c r="A410" s="578" t="s">
        <v>1878</v>
      </c>
      <c r="B410" s="578" t="s">
        <v>1879</v>
      </c>
      <c r="C410">
        <v>0</v>
      </c>
      <c r="D410">
        <v>469.98</v>
      </c>
    </row>
    <row r="411" spans="1:4">
      <c r="A411" s="578" t="s">
        <v>1880</v>
      </c>
      <c r="B411" s="578" t="s">
        <v>1881</v>
      </c>
      <c r="C411">
        <v>0</v>
      </c>
      <c r="D411" s="513">
        <v>208059.5</v>
      </c>
    </row>
    <row r="412" spans="1:4">
      <c r="A412" s="578" t="s">
        <v>1882</v>
      </c>
      <c r="B412" s="578" t="s">
        <v>1883</v>
      </c>
      <c r="C412">
        <v>0</v>
      </c>
      <c r="D412" s="513">
        <v>3321.73</v>
      </c>
    </row>
    <row r="413" spans="1:4">
      <c r="A413" s="578" t="s">
        <v>1884</v>
      </c>
      <c r="B413" s="578" t="s">
        <v>1885</v>
      </c>
      <c r="C413">
        <v>0</v>
      </c>
      <c r="D413" s="513">
        <v>1829.8</v>
      </c>
    </row>
    <row r="414" spans="1:4">
      <c r="A414" s="578" t="s">
        <v>1886</v>
      </c>
      <c r="B414" s="578" t="s">
        <v>1887</v>
      </c>
      <c r="C414">
        <v>0</v>
      </c>
      <c r="D414" s="513">
        <v>15117.33</v>
      </c>
    </row>
    <row r="415" spans="1:4">
      <c r="A415" s="578" t="s">
        <v>2659</v>
      </c>
      <c r="B415" s="578" t="s">
        <v>2660</v>
      </c>
      <c r="C415">
        <v>0</v>
      </c>
      <c r="D415" s="513">
        <v>1445.84</v>
      </c>
    </row>
    <row r="416" spans="1:4">
      <c r="A416" s="578" t="s">
        <v>803</v>
      </c>
      <c r="C416">
        <v>0</v>
      </c>
      <c r="D416" s="513">
        <v>42450438.130000003</v>
      </c>
    </row>
    <row r="417" spans="1:4">
      <c r="A417" s="578" t="s">
        <v>1888</v>
      </c>
      <c r="B417" s="578" t="s">
        <v>1889</v>
      </c>
      <c r="C417">
        <v>0</v>
      </c>
      <c r="D417" s="513">
        <v>1464428.82</v>
      </c>
    </row>
    <row r="418" spans="1:4">
      <c r="A418" s="578" t="s">
        <v>1890</v>
      </c>
      <c r="B418" s="578" t="s">
        <v>1891</v>
      </c>
      <c r="C418">
        <v>0</v>
      </c>
      <c r="D418" s="513">
        <v>1355497.51</v>
      </c>
    </row>
    <row r="419" spans="1:4">
      <c r="A419" s="578" t="s">
        <v>1892</v>
      </c>
      <c r="B419" s="578" t="s">
        <v>1893</v>
      </c>
      <c r="C419">
        <v>0</v>
      </c>
      <c r="D419" s="513">
        <v>360086.99</v>
      </c>
    </row>
    <row r="420" spans="1:4">
      <c r="A420" s="578" t="s">
        <v>1894</v>
      </c>
      <c r="B420" s="578" t="s">
        <v>1895</v>
      </c>
      <c r="C420">
        <v>0</v>
      </c>
      <c r="D420" s="513">
        <v>1394381.36</v>
      </c>
    </row>
    <row r="421" spans="1:4">
      <c r="A421" s="578" t="s">
        <v>1896</v>
      </c>
      <c r="B421" s="578" t="s">
        <v>1897</v>
      </c>
      <c r="C421">
        <v>0</v>
      </c>
      <c r="D421" s="513">
        <v>25873.59</v>
      </c>
    </row>
    <row r="422" spans="1:4">
      <c r="A422" s="578" t="s">
        <v>1898</v>
      </c>
      <c r="B422" s="578" t="s">
        <v>1899</v>
      </c>
      <c r="C422">
        <v>0</v>
      </c>
      <c r="D422" s="513">
        <v>29709.71</v>
      </c>
    </row>
    <row r="423" spans="1:4">
      <c r="A423" s="578" t="s">
        <v>1900</v>
      </c>
      <c r="B423" s="578" t="s">
        <v>1901</v>
      </c>
      <c r="C423">
        <v>0</v>
      </c>
      <c r="D423" s="513">
        <v>12989.82</v>
      </c>
    </row>
    <row r="424" spans="1:4">
      <c r="A424" s="578" t="s">
        <v>1902</v>
      </c>
      <c r="B424" s="578" t="s">
        <v>1903</v>
      </c>
      <c r="C424">
        <v>0</v>
      </c>
      <c r="D424" s="513">
        <v>17887.84</v>
      </c>
    </row>
    <row r="425" spans="1:4">
      <c r="A425" s="578" t="s">
        <v>804</v>
      </c>
      <c r="C425">
        <v>0</v>
      </c>
      <c r="D425" s="513">
        <v>4660855.6399999997</v>
      </c>
    </row>
    <row r="426" spans="1:4">
      <c r="A426" s="578" t="s">
        <v>2661</v>
      </c>
      <c r="B426" s="578" t="s">
        <v>2662</v>
      </c>
      <c r="C426">
        <v>0</v>
      </c>
      <c r="D426" s="513">
        <v>162991.97</v>
      </c>
    </row>
    <row r="427" spans="1:4">
      <c r="A427" s="578" t="s">
        <v>1910</v>
      </c>
      <c r="C427">
        <v>0</v>
      </c>
      <c r="D427" s="513">
        <v>162991.97</v>
      </c>
    </row>
    <row r="428" spans="1:4">
      <c r="A428" s="577" t="s">
        <v>1911</v>
      </c>
      <c r="C428" s="369">
        <v>0</v>
      </c>
      <c r="D428" s="579">
        <v>47274285.740000002</v>
      </c>
    </row>
    <row r="430" spans="1:4">
      <c r="A430" s="578" t="s">
        <v>1912</v>
      </c>
      <c r="B430" s="578" t="s">
        <v>1913</v>
      </c>
      <c r="C430">
        <v>0</v>
      </c>
      <c r="D430" s="513">
        <v>1186640.3999999999</v>
      </c>
    </row>
    <row r="431" spans="1:4">
      <c r="A431" s="578" t="s">
        <v>1914</v>
      </c>
      <c r="B431" s="578" t="s">
        <v>1915</v>
      </c>
      <c r="C431">
        <v>0</v>
      </c>
      <c r="D431" s="513">
        <v>266124.12</v>
      </c>
    </row>
    <row r="432" spans="1:4">
      <c r="A432" s="578" t="s">
        <v>1916</v>
      </c>
      <c r="B432" s="578" t="s">
        <v>1917</v>
      </c>
      <c r="C432">
        <v>0</v>
      </c>
      <c r="D432" s="513">
        <v>399710.13</v>
      </c>
    </row>
    <row r="433" spans="1:4">
      <c r="A433" s="578" t="s">
        <v>1918</v>
      </c>
      <c r="B433" s="578" t="s">
        <v>1919</v>
      </c>
      <c r="C433">
        <v>0</v>
      </c>
      <c r="D433" s="513">
        <v>125474.37</v>
      </c>
    </row>
    <row r="434" spans="1:4">
      <c r="A434" s="578" t="s">
        <v>1920</v>
      </c>
      <c r="B434" s="578" t="s">
        <v>1921</v>
      </c>
      <c r="C434">
        <v>0</v>
      </c>
      <c r="D434" s="513">
        <v>24337.439999999999</v>
      </c>
    </row>
    <row r="435" spans="1:4">
      <c r="A435" s="578" t="s">
        <v>1922</v>
      </c>
      <c r="B435" s="578" t="s">
        <v>1923</v>
      </c>
      <c r="C435">
        <v>0</v>
      </c>
      <c r="D435" s="513">
        <v>42235.03</v>
      </c>
    </row>
    <row r="436" spans="1:4">
      <c r="A436" s="578" t="s">
        <v>1924</v>
      </c>
      <c r="B436" s="578" t="s">
        <v>1925</v>
      </c>
      <c r="C436">
        <v>0</v>
      </c>
      <c r="D436" s="550">
        <v>3179</v>
      </c>
    </row>
    <row r="437" spans="1:4">
      <c r="A437" s="578" t="s">
        <v>1926</v>
      </c>
      <c r="B437" s="578" t="s">
        <v>1927</v>
      </c>
      <c r="C437">
        <v>0</v>
      </c>
      <c r="D437" s="513">
        <v>21874.5</v>
      </c>
    </row>
    <row r="438" spans="1:4">
      <c r="A438" s="578" t="s">
        <v>2663</v>
      </c>
      <c r="B438" s="578" t="s">
        <v>2664</v>
      </c>
      <c r="C438">
        <v>0</v>
      </c>
      <c r="D438" s="513">
        <v>2611.94</v>
      </c>
    </row>
    <row r="439" spans="1:4">
      <c r="A439" s="578" t="s">
        <v>1928</v>
      </c>
      <c r="B439" s="578" t="s">
        <v>1929</v>
      </c>
      <c r="C439">
        <v>0</v>
      </c>
      <c r="D439">
        <v>197.81</v>
      </c>
    </row>
    <row r="440" spans="1:4">
      <c r="A440" s="578" t="s">
        <v>2665</v>
      </c>
      <c r="B440" s="578" t="s">
        <v>2666</v>
      </c>
      <c r="C440">
        <v>0</v>
      </c>
      <c r="D440" s="513">
        <v>1386.2</v>
      </c>
    </row>
    <row r="441" spans="1:4">
      <c r="A441" s="578" t="s">
        <v>811</v>
      </c>
      <c r="C441">
        <v>0</v>
      </c>
      <c r="D441" s="513">
        <v>2073770.94</v>
      </c>
    </row>
    <row r="442" spans="1:4">
      <c r="A442" s="578" t="s">
        <v>1930</v>
      </c>
      <c r="B442" s="578" t="s">
        <v>1931</v>
      </c>
      <c r="C442">
        <v>0</v>
      </c>
      <c r="D442" s="513">
        <v>1155.8399999999999</v>
      </c>
    </row>
    <row r="443" spans="1:4">
      <c r="A443" s="578" t="s">
        <v>1932</v>
      </c>
      <c r="B443" s="578" t="s">
        <v>1933</v>
      </c>
      <c r="C443">
        <v>0</v>
      </c>
      <c r="D443" s="513">
        <v>1995.07</v>
      </c>
    </row>
    <row r="444" spans="1:4">
      <c r="A444" s="578" t="s">
        <v>1934</v>
      </c>
      <c r="B444" s="578" t="s">
        <v>1935</v>
      </c>
      <c r="C444">
        <v>0</v>
      </c>
      <c r="D444" s="513">
        <v>1509.13</v>
      </c>
    </row>
    <row r="445" spans="1:4">
      <c r="A445" s="578" t="s">
        <v>2667</v>
      </c>
      <c r="B445" s="578" t="s">
        <v>1931</v>
      </c>
      <c r="C445">
        <v>0</v>
      </c>
      <c r="D445" s="513">
        <v>7767.51</v>
      </c>
    </row>
    <row r="446" spans="1:4">
      <c r="A446" s="578" t="s">
        <v>2668</v>
      </c>
      <c r="B446" s="578" t="s">
        <v>1933</v>
      </c>
      <c r="C446">
        <v>0</v>
      </c>
      <c r="D446" s="513">
        <v>4534.63</v>
      </c>
    </row>
    <row r="447" spans="1:4">
      <c r="A447" s="578" t="s">
        <v>812</v>
      </c>
      <c r="C447">
        <v>0</v>
      </c>
      <c r="D447" s="513">
        <v>16962.18</v>
      </c>
    </row>
    <row r="448" spans="1:4">
      <c r="A448" s="578" t="s">
        <v>1936</v>
      </c>
      <c r="B448" s="578" t="s">
        <v>814</v>
      </c>
      <c r="C448">
        <v>0</v>
      </c>
      <c r="D448" s="513">
        <v>1430.18</v>
      </c>
    </row>
    <row r="449" spans="1:4">
      <c r="A449" s="578" t="s">
        <v>813</v>
      </c>
      <c r="C449">
        <v>0</v>
      </c>
      <c r="D449" s="513">
        <v>1430.18</v>
      </c>
    </row>
    <row r="450" spans="1:4">
      <c r="A450" s="578" t="s">
        <v>1937</v>
      </c>
      <c r="B450" s="578" t="s">
        <v>1938</v>
      </c>
      <c r="C450">
        <v>0</v>
      </c>
      <c r="D450" s="513">
        <v>1928.7</v>
      </c>
    </row>
    <row r="451" spans="1:4">
      <c r="A451" s="578" t="s">
        <v>1939</v>
      </c>
      <c r="B451" s="578" t="s">
        <v>1940</v>
      </c>
      <c r="C451">
        <v>0</v>
      </c>
      <c r="D451" s="513">
        <v>2316.5500000000002</v>
      </c>
    </row>
    <row r="452" spans="1:4">
      <c r="A452" s="578" t="s">
        <v>2669</v>
      </c>
      <c r="B452" s="578" t="s">
        <v>2670</v>
      </c>
      <c r="C452">
        <v>0</v>
      </c>
      <c r="D452" s="513">
        <v>55673.279999999999</v>
      </c>
    </row>
    <row r="453" spans="1:4">
      <c r="A453" s="578" t="s">
        <v>1941</v>
      </c>
      <c r="B453" s="578" t="s">
        <v>1942</v>
      </c>
      <c r="C453">
        <v>0</v>
      </c>
      <c r="D453" s="513">
        <v>44609.39</v>
      </c>
    </row>
    <row r="454" spans="1:4">
      <c r="A454" s="578" t="s">
        <v>1943</v>
      </c>
      <c r="B454" s="578" t="s">
        <v>1944</v>
      </c>
      <c r="C454">
        <v>0</v>
      </c>
      <c r="D454" s="513">
        <v>1662794.15</v>
      </c>
    </row>
    <row r="455" spans="1:4">
      <c r="A455" s="578" t="s">
        <v>1945</v>
      </c>
      <c r="B455" s="578" t="s">
        <v>1946</v>
      </c>
      <c r="C455">
        <v>0</v>
      </c>
      <c r="D455" s="513">
        <v>275044.71999999997</v>
      </c>
    </row>
    <row r="456" spans="1:4">
      <c r="A456" s="578" t="s">
        <v>1947</v>
      </c>
      <c r="B456" s="578" t="s">
        <v>1948</v>
      </c>
      <c r="C456">
        <v>0</v>
      </c>
      <c r="D456" s="513">
        <v>2857.99</v>
      </c>
    </row>
    <row r="457" spans="1:4">
      <c r="A457" s="578" t="s">
        <v>1949</v>
      </c>
      <c r="B457" s="578" t="s">
        <v>1950</v>
      </c>
      <c r="C457">
        <v>0</v>
      </c>
      <c r="D457" s="513">
        <v>32569.96</v>
      </c>
    </row>
    <row r="458" spans="1:4">
      <c r="A458" s="578" t="s">
        <v>1951</v>
      </c>
      <c r="B458" s="578" t="s">
        <v>1952</v>
      </c>
      <c r="C458">
        <v>0</v>
      </c>
      <c r="D458" s="550">
        <v>424316</v>
      </c>
    </row>
    <row r="459" spans="1:4">
      <c r="A459" s="578" t="s">
        <v>1953</v>
      </c>
      <c r="B459" s="578" t="s">
        <v>1954</v>
      </c>
      <c r="C459">
        <v>0</v>
      </c>
      <c r="D459" s="513">
        <v>152266.79</v>
      </c>
    </row>
    <row r="460" spans="1:4">
      <c r="A460" s="578" t="s">
        <v>1955</v>
      </c>
      <c r="B460" s="578" t="s">
        <v>1956</v>
      </c>
      <c r="C460">
        <v>0</v>
      </c>
      <c r="D460" s="513">
        <v>2052.96</v>
      </c>
    </row>
    <row r="461" spans="1:4">
      <c r="A461" s="578" t="s">
        <v>1957</v>
      </c>
      <c r="B461" s="578" t="s">
        <v>1958</v>
      </c>
      <c r="C461">
        <v>0</v>
      </c>
      <c r="D461" s="513">
        <v>40967.22</v>
      </c>
    </row>
    <row r="462" spans="1:4">
      <c r="A462" s="578" t="s">
        <v>1959</v>
      </c>
      <c r="B462" s="578" t="s">
        <v>1960</v>
      </c>
      <c r="C462">
        <v>0</v>
      </c>
      <c r="D462" s="513">
        <v>12684.3</v>
      </c>
    </row>
    <row r="463" spans="1:4">
      <c r="A463" s="578" t="s">
        <v>2671</v>
      </c>
      <c r="B463" s="578" t="s">
        <v>2672</v>
      </c>
      <c r="C463">
        <v>0</v>
      </c>
      <c r="D463" s="550">
        <v>4800</v>
      </c>
    </row>
    <row r="464" spans="1:4">
      <c r="A464" s="578" t="s">
        <v>1961</v>
      </c>
      <c r="B464" s="578" t="s">
        <v>1962</v>
      </c>
      <c r="C464">
        <v>0</v>
      </c>
      <c r="D464" s="550">
        <v>2200</v>
      </c>
    </row>
    <row r="465" spans="1:4">
      <c r="A465" s="578" t="s">
        <v>1967</v>
      </c>
      <c r="B465" s="578" t="s">
        <v>1968</v>
      </c>
      <c r="C465">
        <v>0</v>
      </c>
      <c r="D465" s="513">
        <v>101089.79</v>
      </c>
    </row>
    <row r="466" spans="1:4">
      <c r="A466" s="578" t="s">
        <v>1969</v>
      </c>
      <c r="B466" s="578" t="s">
        <v>1970</v>
      </c>
      <c r="C466">
        <v>0</v>
      </c>
      <c r="D466" s="513">
        <v>12875.08</v>
      </c>
    </row>
    <row r="467" spans="1:4">
      <c r="A467" s="578" t="s">
        <v>1971</v>
      </c>
      <c r="B467" s="578" t="s">
        <v>1972</v>
      </c>
      <c r="C467">
        <v>0</v>
      </c>
      <c r="D467" s="513">
        <v>288745.2</v>
      </c>
    </row>
    <row r="468" spans="1:4">
      <c r="A468" s="578" t="s">
        <v>1973</v>
      </c>
      <c r="B468" s="578" t="s">
        <v>229</v>
      </c>
      <c r="C468">
        <v>0</v>
      </c>
      <c r="D468" s="513">
        <v>37266.51</v>
      </c>
    </row>
    <row r="469" spans="1:4">
      <c r="A469" s="578" t="s">
        <v>1974</v>
      </c>
      <c r="B469" s="578" t="s">
        <v>230</v>
      </c>
      <c r="C469">
        <v>0</v>
      </c>
      <c r="D469" s="513">
        <v>57984.19</v>
      </c>
    </row>
    <row r="470" spans="1:4">
      <c r="A470" s="578" t="s">
        <v>1975</v>
      </c>
      <c r="B470" s="578" t="s">
        <v>1976</v>
      </c>
      <c r="C470">
        <v>0</v>
      </c>
      <c r="D470" s="513">
        <v>1859.31</v>
      </c>
    </row>
    <row r="471" spans="1:4">
      <c r="A471" s="578" t="s">
        <v>1977</v>
      </c>
      <c r="B471" s="578" t="s">
        <v>1978</v>
      </c>
      <c r="C471">
        <v>0</v>
      </c>
      <c r="D471" s="513">
        <v>3419.16</v>
      </c>
    </row>
    <row r="472" spans="1:4">
      <c r="A472" s="578" t="s">
        <v>1979</v>
      </c>
      <c r="B472" s="578" t="s">
        <v>1980</v>
      </c>
      <c r="C472">
        <v>0</v>
      </c>
      <c r="D472" s="513">
        <v>63318.93</v>
      </c>
    </row>
    <row r="473" spans="1:4">
      <c r="A473" s="578" t="s">
        <v>1981</v>
      </c>
      <c r="B473" s="578" t="s">
        <v>1982</v>
      </c>
      <c r="C473">
        <v>0</v>
      </c>
      <c r="D473" s="550">
        <v>5797</v>
      </c>
    </row>
    <row r="474" spans="1:4">
      <c r="A474" s="578" t="s">
        <v>1983</v>
      </c>
      <c r="B474" s="578" t="s">
        <v>1984</v>
      </c>
      <c r="C474">
        <v>0</v>
      </c>
      <c r="D474" s="513">
        <v>13118.4</v>
      </c>
    </row>
    <row r="475" spans="1:4">
      <c r="A475" s="578" t="s">
        <v>1985</v>
      </c>
      <c r="B475" s="578" t="s">
        <v>1986</v>
      </c>
      <c r="C475">
        <v>0</v>
      </c>
      <c r="D475" s="513">
        <v>32113.85</v>
      </c>
    </row>
    <row r="476" spans="1:4">
      <c r="A476" s="578" t="s">
        <v>1987</v>
      </c>
      <c r="B476" s="578" t="s">
        <v>1988</v>
      </c>
      <c r="C476">
        <v>0</v>
      </c>
      <c r="D476" s="513">
        <v>12262.81</v>
      </c>
    </row>
    <row r="477" spans="1:4">
      <c r="A477" s="578" t="s">
        <v>2673</v>
      </c>
      <c r="B477" s="578" t="s">
        <v>2674</v>
      </c>
      <c r="C477">
        <v>0</v>
      </c>
      <c r="D477">
        <v>26.03</v>
      </c>
    </row>
    <row r="478" spans="1:4">
      <c r="A478" s="578" t="s">
        <v>1989</v>
      </c>
      <c r="B478" s="578" t="s">
        <v>1990</v>
      </c>
      <c r="C478">
        <v>0</v>
      </c>
      <c r="D478" s="513">
        <v>16657.34</v>
      </c>
    </row>
    <row r="479" spans="1:4">
      <c r="A479" s="578" t="s">
        <v>1991</v>
      </c>
      <c r="B479" s="578" t="s">
        <v>1992</v>
      </c>
      <c r="C479">
        <v>0</v>
      </c>
      <c r="D479" s="513">
        <v>1959.21</v>
      </c>
    </row>
    <row r="480" spans="1:4">
      <c r="A480" s="578" t="s">
        <v>2675</v>
      </c>
      <c r="B480" s="578" t="s">
        <v>2676</v>
      </c>
      <c r="C480">
        <v>0</v>
      </c>
      <c r="D480">
        <v>788.6</v>
      </c>
    </row>
    <row r="481" spans="1:4">
      <c r="A481" s="578" t="s">
        <v>1993</v>
      </c>
      <c r="B481" s="578" t="s">
        <v>1994</v>
      </c>
      <c r="C481">
        <v>0</v>
      </c>
      <c r="D481">
        <v>223.11</v>
      </c>
    </row>
    <row r="482" spans="1:4">
      <c r="A482" s="578" t="s">
        <v>1995</v>
      </c>
      <c r="B482" s="578" t="s">
        <v>1996</v>
      </c>
      <c r="C482">
        <v>0</v>
      </c>
      <c r="D482">
        <v>15.5</v>
      </c>
    </row>
    <row r="483" spans="1:4">
      <c r="A483" s="578" t="s">
        <v>1997</v>
      </c>
      <c r="B483" s="578" t="s">
        <v>1998</v>
      </c>
      <c r="C483">
        <v>0</v>
      </c>
      <c r="D483" s="550">
        <v>2229</v>
      </c>
    </row>
    <row r="484" spans="1:4">
      <c r="A484" s="578" t="s">
        <v>815</v>
      </c>
      <c r="C484">
        <v>0</v>
      </c>
      <c r="D484" s="513">
        <v>3368831.03</v>
      </c>
    </row>
    <row r="485" spans="1:4">
      <c r="A485" s="577" t="s">
        <v>1999</v>
      </c>
      <c r="C485" s="369">
        <v>0</v>
      </c>
      <c r="D485" s="579">
        <v>5460994.3300000001</v>
      </c>
    </row>
    <row r="487" spans="1:4">
      <c r="A487" s="578" t="s">
        <v>2000</v>
      </c>
      <c r="B487" s="578" t="s">
        <v>2001</v>
      </c>
      <c r="C487">
        <v>0</v>
      </c>
      <c r="D487" s="513">
        <v>19487303.41</v>
      </c>
    </row>
    <row r="488" spans="1:4">
      <c r="A488" s="578" t="s">
        <v>2002</v>
      </c>
      <c r="B488" s="578" t="s">
        <v>2003</v>
      </c>
      <c r="C488">
        <v>0</v>
      </c>
      <c r="D488" s="513">
        <v>7571424.8799999999</v>
      </c>
    </row>
    <row r="489" spans="1:4">
      <c r="A489" s="578" t="s">
        <v>2004</v>
      </c>
      <c r="B489" s="578" t="s">
        <v>2005</v>
      </c>
      <c r="C489">
        <v>0</v>
      </c>
      <c r="D489" s="513">
        <v>6668349.5300000003</v>
      </c>
    </row>
    <row r="490" spans="1:4">
      <c r="A490" s="578" t="s">
        <v>2006</v>
      </c>
      <c r="B490" s="578" t="s">
        <v>2007</v>
      </c>
      <c r="C490">
        <v>0</v>
      </c>
      <c r="D490" s="513">
        <v>17355046.530000001</v>
      </c>
    </row>
    <row r="491" spans="1:4">
      <c r="A491" s="578" t="s">
        <v>2008</v>
      </c>
      <c r="B491" s="578" t="s">
        <v>2009</v>
      </c>
      <c r="C491">
        <v>0</v>
      </c>
      <c r="D491" s="513">
        <v>2329510.1</v>
      </c>
    </row>
    <row r="492" spans="1:4">
      <c r="A492" s="578" t="s">
        <v>2010</v>
      </c>
      <c r="B492" s="578" t="s">
        <v>2011</v>
      </c>
      <c r="C492">
        <v>0</v>
      </c>
      <c r="D492" s="513">
        <v>8569.8799999999992</v>
      </c>
    </row>
    <row r="493" spans="1:4">
      <c r="A493" s="578" t="s">
        <v>2012</v>
      </c>
      <c r="B493" s="578" t="s">
        <v>2013</v>
      </c>
      <c r="C493">
        <v>0</v>
      </c>
      <c r="D493" s="513">
        <v>16451.240000000002</v>
      </c>
    </row>
    <row r="494" spans="1:4">
      <c r="A494" s="578" t="s">
        <v>2014</v>
      </c>
      <c r="B494" s="578" t="s">
        <v>2015</v>
      </c>
      <c r="C494">
        <v>0</v>
      </c>
      <c r="D494" s="513">
        <v>174647.64</v>
      </c>
    </row>
    <row r="495" spans="1:4">
      <c r="A495" s="578" t="s">
        <v>2016</v>
      </c>
      <c r="B495" s="578" t="s">
        <v>2017</v>
      </c>
      <c r="C495">
        <v>0</v>
      </c>
      <c r="D495" s="513">
        <v>962786.02</v>
      </c>
    </row>
    <row r="496" spans="1:4">
      <c r="A496" s="578" t="s">
        <v>817</v>
      </c>
      <c r="C496">
        <v>0</v>
      </c>
      <c r="D496" s="513">
        <v>54574089.229999997</v>
      </c>
    </row>
    <row r="497" spans="1:4">
      <c r="A497" s="578" t="s">
        <v>2018</v>
      </c>
      <c r="B497" s="578" t="s">
        <v>2019</v>
      </c>
      <c r="C497">
        <v>0</v>
      </c>
      <c r="D497" s="513">
        <v>1942798.58</v>
      </c>
    </row>
    <row r="498" spans="1:4">
      <c r="A498" s="578" t="s">
        <v>2020</v>
      </c>
      <c r="B498" s="578" t="s">
        <v>2021</v>
      </c>
      <c r="C498">
        <v>0</v>
      </c>
      <c r="D498" s="513">
        <v>761331.47</v>
      </c>
    </row>
    <row r="499" spans="1:4">
      <c r="A499" s="578" t="s">
        <v>2022</v>
      </c>
      <c r="B499" s="578" t="s">
        <v>2023</v>
      </c>
      <c r="C499">
        <v>0</v>
      </c>
      <c r="D499" s="513">
        <v>667413.9</v>
      </c>
    </row>
    <row r="500" spans="1:4">
      <c r="A500" s="578" t="s">
        <v>2024</v>
      </c>
      <c r="B500" s="578" t="s">
        <v>2025</v>
      </c>
      <c r="C500">
        <v>0</v>
      </c>
      <c r="D500" s="513">
        <v>1742517.7</v>
      </c>
    </row>
    <row r="501" spans="1:4">
      <c r="A501" s="578" t="s">
        <v>2026</v>
      </c>
      <c r="B501" s="578" t="s">
        <v>2027</v>
      </c>
      <c r="C501">
        <v>0</v>
      </c>
      <c r="D501" s="513">
        <v>235645.5</v>
      </c>
    </row>
    <row r="502" spans="1:4">
      <c r="A502" s="578" t="s">
        <v>2028</v>
      </c>
      <c r="B502" s="578" t="s">
        <v>2029</v>
      </c>
      <c r="C502">
        <v>0</v>
      </c>
      <c r="D502" s="513">
        <v>274147.8</v>
      </c>
    </row>
    <row r="503" spans="1:4">
      <c r="A503" s="578" t="s">
        <v>2030</v>
      </c>
      <c r="B503" s="578" t="s">
        <v>2031</v>
      </c>
      <c r="C503">
        <v>0</v>
      </c>
      <c r="D503" s="513">
        <v>107532.44</v>
      </c>
    </row>
    <row r="504" spans="1:4">
      <c r="A504" s="578" t="s">
        <v>2032</v>
      </c>
      <c r="B504" s="578" t="s">
        <v>2033</v>
      </c>
      <c r="C504">
        <v>0</v>
      </c>
      <c r="D504" s="513">
        <v>94086.54</v>
      </c>
    </row>
    <row r="505" spans="1:4">
      <c r="A505" s="578" t="s">
        <v>2034</v>
      </c>
      <c r="B505" s="578" t="s">
        <v>2035</v>
      </c>
      <c r="C505">
        <v>0</v>
      </c>
      <c r="D505" s="513">
        <v>245870.02</v>
      </c>
    </row>
    <row r="506" spans="1:4">
      <c r="A506" s="578" t="s">
        <v>2036</v>
      </c>
      <c r="B506" s="578" t="s">
        <v>2037</v>
      </c>
      <c r="C506">
        <v>0</v>
      </c>
      <c r="D506" s="513">
        <v>33072.61</v>
      </c>
    </row>
    <row r="507" spans="1:4">
      <c r="A507" s="578" t="s">
        <v>2038</v>
      </c>
      <c r="B507" s="578" t="s">
        <v>2039</v>
      </c>
      <c r="C507">
        <v>0</v>
      </c>
      <c r="D507" s="513">
        <v>2742492.36</v>
      </c>
    </row>
    <row r="508" spans="1:4">
      <c r="A508" s="578" t="s">
        <v>2040</v>
      </c>
      <c r="B508" s="578" t="s">
        <v>2041</v>
      </c>
      <c r="C508">
        <v>0</v>
      </c>
      <c r="D508" s="513">
        <v>1076009.92</v>
      </c>
    </row>
    <row r="509" spans="1:4">
      <c r="A509" s="578" t="s">
        <v>2042</v>
      </c>
      <c r="B509" s="578" t="s">
        <v>2043</v>
      </c>
      <c r="C509">
        <v>0</v>
      </c>
      <c r="D509" s="513">
        <v>944331.67</v>
      </c>
    </row>
    <row r="510" spans="1:4">
      <c r="A510" s="578" t="s">
        <v>2044</v>
      </c>
      <c r="B510" s="578" t="s">
        <v>2045</v>
      </c>
      <c r="C510">
        <v>0</v>
      </c>
      <c r="D510" s="513">
        <v>2459291.89</v>
      </c>
    </row>
    <row r="511" spans="1:4">
      <c r="A511" s="578" t="s">
        <v>2046</v>
      </c>
      <c r="B511" s="578" t="s">
        <v>2047</v>
      </c>
      <c r="C511">
        <v>0</v>
      </c>
      <c r="D511" s="513">
        <v>330837.62</v>
      </c>
    </row>
    <row r="512" spans="1:4">
      <c r="A512" s="578" t="s">
        <v>2048</v>
      </c>
      <c r="B512" s="578" t="s">
        <v>2049</v>
      </c>
      <c r="C512">
        <v>0</v>
      </c>
      <c r="D512" s="513">
        <v>176190.84</v>
      </c>
    </row>
    <row r="513" spans="1:4">
      <c r="A513" s="578" t="s">
        <v>2050</v>
      </c>
      <c r="B513" s="578" t="s">
        <v>2051</v>
      </c>
      <c r="C513">
        <v>0</v>
      </c>
      <c r="D513" s="513">
        <v>72231.97</v>
      </c>
    </row>
    <row r="514" spans="1:4">
      <c r="A514" s="578" t="s">
        <v>2052</v>
      </c>
      <c r="B514" s="578" t="s">
        <v>2053</v>
      </c>
      <c r="C514">
        <v>0</v>
      </c>
      <c r="D514" s="513">
        <v>58140.01</v>
      </c>
    </row>
    <row r="515" spans="1:4">
      <c r="A515" s="578" t="s">
        <v>2054</v>
      </c>
      <c r="B515" s="578" t="s">
        <v>2055</v>
      </c>
      <c r="C515">
        <v>0</v>
      </c>
      <c r="D515" s="513">
        <v>169499.39</v>
      </c>
    </row>
    <row r="516" spans="1:4">
      <c r="A516" s="578" t="s">
        <v>2056</v>
      </c>
      <c r="B516" s="578" t="s">
        <v>2057</v>
      </c>
      <c r="C516">
        <v>0</v>
      </c>
      <c r="D516" s="513">
        <v>23203.88</v>
      </c>
    </row>
    <row r="517" spans="1:4">
      <c r="A517" s="578" t="s">
        <v>2058</v>
      </c>
      <c r="B517" s="578" t="s">
        <v>2059</v>
      </c>
      <c r="C517">
        <v>0</v>
      </c>
      <c r="D517" s="513">
        <v>531478.65</v>
      </c>
    </row>
    <row r="518" spans="1:4">
      <c r="A518" s="578" t="s">
        <v>2060</v>
      </c>
      <c r="B518" s="578" t="s">
        <v>2061</v>
      </c>
      <c r="C518">
        <v>0</v>
      </c>
      <c r="D518" s="513">
        <v>218047.93</v>
      </c>
    </row>
    <row r="519" spans="1:4">
      <c r="A519" s="578" t="s">
        <v>2062</v>
      </c>
      <c r="B519" s="578" t="s">
        <v>2063</v>
      </c>
      <c r="C519">
        <v>0</v>
      </c>
      <c r="D519" s="513">
        <v>176378.5</v>
      </c>
    </row>
    <row r="520" spans="1:4">
      <c r="A520" s="578" t="s">
        <v>2064</v>
      </c>
      <c r="B520" s="578" t="s">
        <v>2065</v>
      </c>
      <c r="C520">
        <v>0</v>
      </c>
      <c r="D520" s="513">
        <v>510215.65</v>
      </c>
    </row>
    <row r="521" spans="1:4">
      <c r="A521" s="578" t="s">
        <v>2066</v>
      </c>
      <c r="B521" s="578" t="s">
        <v>2067</v>
      </c>
      <c r="C521">
        <v>0</v>
      </c>
      <c r="D521" s="513">
        <v>69630.460000000006</v>
      </c>
    </row>
    <row r="522" spans="1:4">
      <c r="A522" s="578" t="s">
        <v>2068</v>
      </c>
      <c r="B522" s="578" t="s">
        <v>2069</v>
      </c>
      <c r="C522">
        <v>0</v>
      </c>
      <c r="D522" s="513">
        <v>156957.94</v>
      </c>
    </row>
    <row r="523" spans="1:4">
      <c r="A523" s="578" t="s">
        <v>2070</v>
      </c>
      <c r="B523" s="578" t="s">
        <v>2071</v>
      </c>
      <c r="C523">
        <v>0</v>
      </c>
      <c r="D523" s="513">
        <v>61771.21</v>
      </c>
    </row>
    <row r="524" spans="1:4">
      <c r="A524" s="578" t="s">
        <v>2072</v>
      </c>
      <c r="B524" s="578" t="s">
        <v>2073</v>
      </c>
      <c r="C524">
        <v>0</v>
      </c>
      <c r="D524" s="513">
        <v>55810.92</v>
      </c>
    </row>
    <row r="525" spans="1:4">
      <c r="A525" s="578" t="s">
        <v>2074</v>
      </c>
      <c r="B525" s="578" t="s">
        <v>2075</v>
      </c>
      <c r="C525">
        <v>0</v>
      </c>
      <c r="D525" s="513">
        <v>140668.44</v>
      </c>
    </row>
    <row r="526" spans="1:4">
      <c r="A526" s="578" t="s">
        <v>2076</v>
      </c>
      <c r="B526" s="578" t="s">
        <v>2077</v>
      </c>
      <c r="C526">
        <v>0</v>
      </c>
      <c r="D526" s="513">
        <v>18903.02</v>
      </c>
    </row>
    <row r="527" spans="1:4">
      <c r="A527" s="578" t="s">
        <v>2078</v>
      </c>
      <c r="B527" s="578" t="s">
        <v>2079</v>
      </c>
      <c r="C527">
        <v>0</v>
      </c>
      <c r="D527" s="513">
        <v>930389.13</v>
      </c>
    </row>
    <row r="528" spans="1:4">
      <c r="A528" s="578" t="s">
        <v>2080</v>
      </c>
      <c r="B528" s="578" t="s">
        <v>2081</v>
      </c>
      <c r="C528">
        <v>0</v>
      </c>
      <c r="D528" s="513">
        <v>365053.3</v>
      </c>
    </row>
    <row r="529" spans="1:4">
      <c r="A529" s="578" t="s">
        <v>2082</v>
      </c>
      <c r="B529" s="578" t="s">
        <v>2083</v>
      </c>
      <c r="C529">
        <v>0</v>
      </c>
      <c r="D529" s="513">
        <v>320383.26</v>
      </c>
    </row>
    <row r="530" spans="1:4">
      <c r="A530" s="578" t="s">
        <v>2084</v>
      </c>
      <c r="B530" s="578" t="s">
        <v>2085</v>
      </c>
      <c r="C530">
        <v>0</v>
      </c>
      <c r="D530" s="513">
        <v>834359.36</v>
      </c>
    </row>
    <row r="531" spans="1:4">
      <c r="A531" s="578" t="s">
        <v>2086</v>
      </c>
      <c r="B531" s="578" t="s">
        <v>2087</v>
      </c>
      <c r="C531">
        <v>0</v>
      </c>
      <c r="D531" s="513">
        <v>112239.82</v>
      </c>
    </row>
    <row r="532" spans="1:4">
      <c r="A532" s="578" t="s">
        <v>2088</v>
      </c>
      <c r="B532" s="578" t="s">
        <v>2089</v>
      </c>
      <c r="C532">
        <v>0</v>
      </c>
      <c r="D532" s="513">
        <v>96126.67</v>
      </c>
    </row>
    <row r="533" spans="1:4">
      <c r="A533" s="578" t="s">
        <v>2090</v>
      </c>
      <c r="B533" s="578" t="s">
        <v>2091</v>
      </c>
      <c r="C533">
        <v>0</v>
      </c>
      <c r="D533" s="513">
        <v>13616.71</v>
      </c>
    </row>
    <row r="534" spans="1:4">
      <c r="A534" s="578" t="s">
        <v>2092</v>
      </c>
      <c r="B534" s="578" t="s">
        <v>2093</v>
      </c>
      <c r="C534">
        <v>0</v>
      </c>
      <c r="D534" s="513">
        <v>136359.79</v>
      </c>
    </row>
    <row r="535" spans="1:4">
      <c r="A535" s="578" t="s">
        <v>2094</v>
      </c>
      <c r="B535" s="578" t="s">
        <v>2095</v>
      </c>
      <c r="C535">
        <v>0</v>
      </c>
      <c r="D535" s="513">
        <v>8347.0400000000009</v>
      </c>
    </row>
    <row r="536" spans="1:4">
      <c r="A536" s="578" t="s">
        <v>2096</v>
      </c>
      <c r="B536" s="578" t="s">
        <v>2097</v>
      </c>
      <c r="C536">
        <v>0</v>
      </c>
      <c r="D536" s="513">
        <v>25176.45</v>
      </c>
    </row>
    <row r="537" spans="1:4">
      <c r="A537" s="578" t="s">
        <v>2098</v>
      </c>
      <c r="B537" s="578" t="s">
        <v>2099</v>
      </c>
      <c r="C537">
        <v>0</v>
      </c>
      <c r="D537" s="513">
        <v>7836.02</v>
      </c>
    </row>
    <row r="538" spans="1:4">
      <c r="A538" s="578" t="s">
        <v>2100</v>
      </c>
      <c r="B538" s="578" t="s">
        <v>2101</v>
      </c>
      <c r="C538">
        <v>0</v>
      </c>
      <c r="D538" s="513">
        <v>46253.82</v>
      </c>
    </row>
    <row r="539" spans="1:4">
      <c r="A539" s="578" t="s">
        <v>818</v>
      </c>
      <c r="C539">
        <v>0</v>
      </c>
      <c r="D539" s="513">
        <v>18992650.199999999</v>
      </c>
    </row>
    <row r="540" spans="1:4">
      <c r="A540" s="578" t="s">
        <v>2102</v>
      </c>
      <c r="B540" s="578" t="s">
        <v>2103</v>
      </c>
      <c r="C540">
        <v>0</v>
      </c>
      <c r="D540" s="513">
        <v>110554.26</v>
      </c>
    </row>
    <row r="541" spans="1:4">
      <c r="A541" s="578" t="s">
        <v>2104</v>
      </c>
      <c r="B541" s="578" t="s">
        <v>2105</v>
      </c>
      <c r="C541">
        <v>0</v>
      </c>
      <c r="D541" s="513">
        <v>88447.52</v>
      </c>
    </row>
    <row r="542" spans="1:4">
      <c r="A542" s="578" t="s">
        <v>2106</v>
      </c>
      <c r="B542" s="578" t="s">
        <v>2107</v>
      </c>
      <c r="C542">
        <v>0</v>
      </c>
      <c r="D542" s="513">
        <v>68391.710000000006</v>
      </c>
    </row>
    <row r="543" spans="1:4">
      <c r="A543" s="578" t="s">
        <v>2108</v>
      </c>
      <c r="B543" s="578" t="s">
        <v>2109</v>
      </c>
      <c r="C543">
        <v>0</v>
      </c>
      <c r="D543" s="513">
        <v>167875.79</v>
      </c>
    </row>
    <row r="544" spans="1:4">
      <c r="A544" s="578" t="s">
        <v>2110</v>
      </c>
      <c r="B544" s="578" t="s">
        <v>2111</v>
      </c>
      <c r="C544">
        <v>0</v>
      </c>
      <c r="D544" s="513">
        <v>11179.13</v>
      </c>
    </row>
    <row r="545" spans="1:4">
      <c r="A545" s="578" t="s">
        <v>2112</v>
      </c>
      <c r="B545" s="578" t="s">
        <v>2113</v>
      </c>
      <c r="C545">
        <v>0</v>
      </c>
      <c r="D545" s="513">
        <v>9449.3700000000008</v>
      </c>
    </row>
    <row r="546" spans="1:4">
      <c r="A546" s="578" t="s">
        <v>820</v>
      </c>
      <c r="C546">
        <v>0</v>
      </c>
      <c r="D546" s="513">
        <v>455897.78</v>
      </c>
    </row>
    <row r="547" spans="1:4">
      <c r="A547" s="578" t="s">
        <v>2114</v>
      </c>
      <c r="B547" s="578" t="s">
        <v>2115</v>
      </c>
      <c r="C547">
        <v>0</v>
      </c>
      <c r="D547" s="513">
        <v>228115.01</v>
      </c>
    </row>
    <row r="548" spans="1:4">
      <c r="A548" s="578" t="s">
        <v>2116</v>
      </c>
      <c r="B548" s="578" t="s">
        <v>2117</v>
      </c>
      <c r="C548">
        <v>0</v>
      </c>
      <c r="D548" s="513">
        <v>96574.41</v>
      </c>
    </row>
    <row r="549" spans="1:4">
      <c r="A549" s="578" t="s">
        <v>2118</v>
      </c>
      <c r="B549" s="578" t="s">
        <v>2119</v>
      </c>
      <c r="C549">
        <v>0</v>
      </c>
      <c r="D549" s="513">
        <v>96873.44</v>
      </c>
    </row>
    <row r="550" spans="1:4">
      <c r="A550" s="578" t="s">
        <v>2120</v>
      </c>
      <c r="B550" s="578" t="s">
        <v>2121</v>
      </c>
      <c r="C550">
        <v>0</v>
      </c>
      <c r="D550" s="513">
        <v>224324.38</v>
      </c>
    </row>
    <row r="551" spans="1:4">
      <c r="A551" s="578" t="s">
        <v>2122</v>
      </c>
      <c r="B551" s="578" t="s">
        <v>2123</v>
      </c>
      <c r="C551">
        <v>0</v>
      </c>
      <c r="D551" s="513">
        <v>30139.39</v>
      </c>
    </row>
    <row r="552" spans="1:4">
      <c r="A552" s="578" t="s">
        <v>2124</v>
      </c>
      <c r="B552" s="578" t="s">
        <v>2125</v>
      </c>
      <c r="C552">
        <v>0</v>
      </c>
      <c r="D552" s="513">
        <v>77488.5</v>
      </c>
    </row>
    <row r="553" spans="1:4">
      <c r="A553" s="578" t="s">
        <v>2126</v>
      </c>
      <c r="B553" s="578" t="s">
        <v>2127</v>
      </c>
      <c r="C553">
        <v>0</v>
      </c>
      <c r="D553" s="513">
        <v>78174.27</v>
      </c>
    </row>
    <row r="554" spans="1:4">
      <c r="A554" s="578" t="s">
        <v>2128</v>
      </c>
      <c r="B554" s="578" t="s">
        <v>2129</v>
      </c>
      <c r="C554">
        <v>0</v>
      </c>
      <c r="D554" s="513">
        <v>97128.12</v>
      </c>
    </row>
    <row r="555" spans="1:4">
      <c r="A555" s="578" t="s">
        <v>2130</v>
      </c>
      <c r="B555" s="578" t="s">
        <v>2131</v>
      </c>
      <c r="C555">
        <v>0</v>
      </c>
      <c r="D555" s="513">
        <v>119345.03</v>
      </c>
    </row>
    <row r="556" spans="1:4">
      <c r="A556" s="578" t="s">
        <v>2132</v>
      </c>
      <c r="B556" s="578" t="s">
        <v>2133</v>
      </c>
      <c r="C556">
        <v>0</v>
      </c>
      <c r="D556" s="513">
        <v>19537.75</v>
      </c>
    </row>
    <row r="557" spans="1:4">
      <c r="A557" s="578" t="s">
        <v>2134</v>
      </c>
      <c r="B557" s="578" t="s">
        <v>2135</v>
      </c>
      <c r="C557">
        <v>0</v>
      </c>
      <c r="D557" s="513">
        <v>16304.23</v>
      </c>
    </row>
    <row r="558" spans="1:4">
      <c r="A558" s="578" t="s">
        <v>2136</v>
      </c>
      <c r="B558" s="578" t="s">
        <v>2137</v>
      </c>
      <c r="C558">
        <v>0</v>
      </c>
      <c r="D558" s="513">
        <v>5458.09</v>
      </c>
    </row>
    <row r="559" spans="1:4">
      <c r="A559" s="578" t="s">
        <v>2140</v>
      </c>
      <c r="B559" s="578" t="s">
        <v>2141</v>
      </c>
      <c r="C559">
        <v>0</v>
      </c>
      <c r="D559" s="513">
        <v>10194.459999999999</v>
      </c>
    </row>
    <row r="560" spans="1:4">
      <c r="A560" s="578" t="s">
        <v>2142</v>
      </c>
      <c r="B560" s="578" t="s">
        <v>2143</v>
      </c>
      <c r="C560">
        <v>0</v>
      </c>
      <c r="D560" s="513">
        <v>17575.259999999998</v>
      </c>
    </row>
    <row r="561" spans="1:4">
      <c r="A561" s="578" t="s">
        <v>2144</v>
      </c>
      <c r="B561" s="578" t="s">
        <v>2145</v>
      </c>
      <c r="C561">
        <v>0</v>
      </c>
      <c r="D561" s="513">
        <v>40373.4</v>
      </c>
    </row>
    <row r="562" spans="1:4">
      <c r="A562" s="578" t="s">
        <v>2146</v>
      </c>
      <c r="B562" s="578" t="s">
        <v>2147</v>
      </c>
      <c r="C562">
        <v>0</v>
      </c>
      <c r="D562" s="513">
        <v>30554.52</v>
      </c>
    </row>
    <row r="563" spans="1:4">
      <c r="A563" s="578" t="s">
        <v>2677</v>
      </c>
      <c r="B563" s="578" t="s">
        <v>2678</v>
      </c>
      <c r="C563">
        <v>0</v>
      </c>
      <c r="D563" s="513">
        <v>2142.48</v>
      </c>
    </row>
    <row r="564" spans="1:4">
      <c r="A564" s="578" t="s">
        <v>2148</v>
      </c>
      <c r="B564" s="578" t="s">
        <v>2149</v>
      </c>
      <c r="C564">
        <v>0</v>
      </c>
      <c r="D564" s="550">
        <v>38685</v>
      </c>
    </row>
    <row r="565" spans="1:4">
      <c r="A565" s="578" t="s">
        <v>2150</v>
      </c>
      <c r="B565" s="578" t="s">
        <v>2151</v>
      </c>
      <c r="C565">
        <v>0</v>
      </c>
      <c r="D565" s="513">
        <v>43352.35</v>
      </c>
    </row>
    <row r="566" spans="1:4">
      <c r="A566" s="578" t="s">
        <v>2152</v>
      </c>
      <c r="B566" s="578" t="s">
        <v>2153</v>
      </c>
      <c r="C566">
        <v>0</v>
      </c>
      <c r="D566" s="513">
        <v>28375.26</v>
      </c>
    </row>
    <row r="567" spans="1:4">
      <c r="A567" s="578" t="s">
        <v>2154</v>
      </c>
      <c r="B567" s="578" t="s">
        <v>2155</v>
      </c>
      <c r="C567">
        <v>0</v>
      </c>
      <c r="D567" s="513">
        <v>82455.520000000004</v>
      </c>
    </row>
    <row r="568" spans="1:4">
      <c r="A568" s="578" t="s">
        <v>2156</v>
      </c>
      <c r="B568" s="578" t="s">
        <v>2157</v>
      </c>
      <c r="C568">
        <v>0</v>
      </c>
      <c r="D568" s="513">
        <v>13435.88</v>
      </c>
    </row>
    <row r="569" spans="1:4">
      <c r="A569" s="578" t="s">
        <v>2158</v>
      </c>
      <c r="B569" s="578" t="s">
        <v>2159</v>
      </c>
      <c r="C569">
        <v>0</v>
      </c>
      <c r="D569" s="513">
        <v>12983.47</v>
      </c>
    </row>
    <row r="570" spans="1:4">
      <c r="A570" s="578" t="s">
        <v>2160</v>
      </c>
      <c r="B570" s="578" t="s">
        <v>2161</v>
      </c>
      <c r="C570">
        <v>0</v>
      </c>
      <c r="D570" s="513">
        <v>7250.74</v>
      </c>
    </row>
    <row r="571" spans="1:4">
      <c r="A571" s="578" t="s">
        <v>2162</v>
      </c>
      <c r="B571" s="578" t="s">
        <v>2163</v>
      </c>
      <c r="C571">
        <v>0</v>
      </c>
      <c r="D571" s="513">
        <v>10959.63</v>
      </c>
    </row>
    <row r="572" spans="1:4">
      <c r="A572" s="578" t="s">
        <v>2164</v>
      </c>
      <c r="B572" s="578" t="s">
        <v>2165</v>
      </c>
      <c r="C572">
        <v>0</v>
      </c>
      <c r="D572" s="513">
        <v>23994.67</v>
      </c>
    </row>
    <row r="573" spans="1:4">
      <c r="A573" s="578" t="s">
        <v>2166</v>
      </c>
      <c r="B573" s="578" t="s">
        <v>2167</v>
      </c>
      <c r="C573">
        <v>0</v>
      </c>
      <c r="D573" s="550">
        <v>46506</v>
      </c>
    </row>
    <row r="574" spans="1:4">
      <c r="A574" s="578" t="s">
        <v>2168</v>
      </c>
      <c r="B574" s="578" t="s">
        <v>2169</v>
      </c>
      <c r="C574">
        <v>0</v>
      </c>
      <c r="D574" s="513">
        <v>35922.92</v>
      </c>
    </row>
    <row r="575" spans="1:4">
      <c r="A575" s="578" t="s">
        <v>2170</v>
      </c>
      <c r="B575" s="578" t="s">
        <v>2171</v>
      </c>
      <c r="C575">
        <v>0</v>
      </c>
      <c r="D575" s="513">
        <v>32671.51</v>
      </c>
    </row>
    <row r="576" spans="1:4">
      <c r="A576" s="578" t="s">
        <v>2172</v>
      </c>
      <c r="B576" s="578" t="s">
        <v>2173</v>
      </c>
      <c r="C576">
        <v>0</v>
      </c>
      <c r="D576" s="513">
        <v>74699.520000000004</v>
      </c>
    </row>
    <row r="577" spans="1:4">
      <c r="A577" s="578" t="s">
        <v>2174</v>
      </c>
      <c r="B577" s="578" t="s">
        <v>2175</v>
      </c>
      <c r="C577">
        <v>0</v>
      </c>
      <c r="D577" s="513">
        <v>7281.22</v>
      </c>
    </row>
    <row r="578" spans="1:4">
      <c r="A578" s="578" t="s">
        <v>2176</v>
      </c>
      <c r="B578" s="578" t="s">
        <v>2177</v>
      </c>
      <c r="C578">
        <v>0</v>
      </c>
      <c r="D578" s="513">
        <v>18964.3</v>
      </c>
    </row>
    <row r="579" spans="1:4">
      <c r="A579" s="578" t="s">
        <v>2178</v>
      </c>
      <c r="B579" s="578" t="s">
        <v>2179</v>
      </c>
      <c r="C579">
        <v>0</v>
      </c>
      <c r="D579">
        <v>292.89999999999998</v>
      </c>
    </row>
    <row r="580" spans="1:4">
      <c r="A580" s="578" t="s">
        <v>2182</v>
      </c>
      <c r="B580" s="578" t="s">
        <v>2183</v>
      </c>
      <c r="C580">
        <v>0</v>
      </c>
      <c r="D580" s="550">
        <v>5370</v>
      </c>
    </row>
    <row r="581" spans="1:4">
      <c r="A581" s="578" t="s">
        <v>2184</v>
      </c>
      <c r="B581" s="578" t="s">
        <v>2185</v>
      </c>
      <c r="C581">
        <v>0</v>
      </c>
      <c r="D581" s="513">
        <v>4546.1899999999996</v>
      </c>
    </row>
    <row r="582" spans="1:4">
      <c r="A582" s="578" t="s">
        <v>2186</v>
      </c>
      <c r="B582" s="578" t="s">
        <v>2187</v>
      </c>
      <c r="C582">
        <v>0</v>
      </c>
      <c r="D582">
        <v>148.19999999999999</v>
      </c>
    </row>
    <row r="583" spans="1:4">
      <c r="A583" s="578" t="s">
        <v>822</v>
      </c>
      <c r="C583">
        <v>0</v>
      </c>
      <c r="D583" s="513">
        <v>1678198.02</v>
      </c>
    </row>
    <row r="584" spans="1:4">
      <c r="A584" s="577" t="s">
        <v>2188</v>
      </c>
      <c r="C584" s="369">
        <v>0</v>
      </c>
      <c r="D584" s="579">
        <v>75700835.230000004</v>
      </c>
    </row>
    <row r="586" spans="1:4">
      <c r="A586" s="578" t="s">
        <v>2189</v>
      </c>
      <c r="B586" s="578" t="s">
        <v>235</v>
      </c>
      <c r="C586">
        <v>0</v>
      </c>
      <c r="D586" s="513">
        <v>3476.42</v>
      </c>
    </row>
    <row r="587" spans="1:4">
      <c r="A587" s="578" t="s">
        <v>825</v>
      </c>
      <c r="C587">
        <v>0</v>
      </c>
      <c r="D587" s="513">
        <v>3476.42</v>
      </c>
    </row>
    <row r="588" spans="1:4">
      <c r="A588" s="578" t="s">
        <v>2190</v>
      </c>
      <c r="B588" s="578" t="s">
        <v>827</v>
      </c>
      <c r="C588">
        <v>0</v>
      </c>
      <c r="D588" s="513">
        <v>181372.23</v>
      </c>
    </row>
    <row r="589" spans="1:4">
      <c r="A589" s="578" t="s">
        <v>826</v>
      </c>
      <c r="C589">
        <v>0</v>
      </c>
      <c r="D589" s="513">
        <v>181372.23</v>
      </c>
    </row>
    <row r="590" spans="1:4">
      <c r="A590" s="578" t="s">
        <v>2193</v>
      </c>
      <c r="B590" s="578" t="s">
        <v>2194</v>
      </c>
      <c r="C590">
        <v>0</v>
      </c>
      <c r="D590" s="513">
        <v>83874.509999999995</v>
      </c>
    </row>
    <row r="591" spans="1:4">
      <c r="A591" s="578" t="s">
        <v>828</v>
      </c>
      <c r="C591">
        <v>0</v>
      </c>
      <c r="D591" s="513">
        <v>83874.509999999995</v>
      </c>
    </row>
    <row r="592" spans="1:4">
      <c r="A592" s="577" t="s">
        <v>2195</v>
      </c>
      <c r="C592" s="369">
        <v>0</v>
      </c>
      <c r="D592" s="579">
        <v>268723.15999999997</v>
      </c>
    </row>
    <row r="594" spans="1:4">
      <c r="A594" s="578" t="s">
        <v>2196</v>
      </c>
      <c r="B594" s="578" t="s">
        <v>2197</v>
      </c>
      <c r="C594">
        <v>0</v>
      </c>
      <c r="D594" s="513">
        <v>56147.78</v>
      </c>
    </row>
    <row r="595" spans="1:4">
      <c r="A595" s="578" t="s">
        <v>830</v>
      </c>
      <c r="C595">
        <v>0</v>
      </c>
      <c r="D595" s="513">
        <v>56147.78</v>
      </c>
    </row>
    <row r="596" spans="1:4">
      <c r="A596" s="578" t="s">
        <v>2198</v>
      </c>
      <c r="B596" s="578" t="s">
        <v>833</v>
      </c>
      <c r="C596">
        <v>0</v>
      </c>
      <c r="D596" s="513">
        <v>1507.85</v>
      </c>
    </row>
    <row r="597" spans="1:4">
      <c r="A597" s="578" t="s">
        <v>832</v>
      </c>
      <c r="C597">
        <v>0</v>
      </c>
      <c r="D597" s="513">
        <v>1507.85</v>
      </c>
    </row>
    <row r="598" spans="1:4">
      <c r="A598" s="578" t="s">
        <v>2679</v>
      </c>
      <c r="B598" s="578" t="s">
        <v>2478</v>
      </c>
      <c r="C598">
        <v>0</v>
      </c>
      <c r="D598" s="513">
        <v>59322.31</v>
      </c>
    </row>
    <row r="599" spans="1:4">
      <c r="A599" s="578" t="s">
        <v>834</v>
      </c>
      <c r="C599">
        <v>0</v>
      </c>
      <c r="D599" s="513">
        <v>59322.31</v>
      </c>
    </row>
    <row r="600" spans="1:4">
      <c r="A600" s="578" t="s">
        <v>2203</v>
      </c>
      <c r="B600" s="578" t="s">
        <v>2204</v>
      </c>
      <c r="C600">
        <v>0</v>
      </c>
      <c r="D600" s="513">
        <v>818817.15</v>
      </c>
    </row>
    <row r="601" spans="1:4">
      <c r="A601" s="578" t="s">
        <v>2205</v>
      </c>
      <c r="B601" s="578" t="s">
        <v>2206</v>
      </c>
      <c r="C601">
        <v>0</v>
      </c>
      <c r="D601" s="513">
        <v>20571.57</v>
      </c>
    </row>
    <row r="602" spans="1:4">
      <c r="A602" s="578" t="s">
        <v>2207</v>
      </c>
      <c r="B602" s="578" t="s">
        <v>2208</v>
      </c>
      <c r="C602">
        <v>0</v>
      </c>
      <c r="D602" s="513">
        <v>27063.200000000001</v>
      </c>
    </row>
    <row r="603" spans="1:4">
      <c r="A603" s="578" t="s">
        <v>836</v>
      </c>
      <c r="C603">
        <v>0</v>
      </c>
      <c r="D603" s="513">
        <v>866451.92</v>
      </c>
    </row>
    <row r="604" spans="1:4">
      <c r="A604" s="578" t="s">
        <v>2209</v>
      </c>
      <c r="B604" s="578" t="s">
        <v>243</v>
      </c>
      <c r="C604">
        <v>0</v>
      </c>
      <c r="D604">
        <v>344.8</v>
      </c>
    </row>
    <row r="605" spans="1:4">
      <c r="A605" s="578" t="s">
        <v>838</v>
      </c>
      <c r="C605">
        <v>0</v>
      </c>
      <c r="D605">
        <v>344.8</v>
      </c>
    </row>
    <row r="606" spans="1:4">
      <c r="A606" s="578" t="s">
        <v>2210</v>
      </c>
      <c r="B606" s="578" t="s">
        <v>2211</v>
      </c>
      <c r="C606">
        <v>0</v>
      </c>
      <c r="D606" s="513">
        <v>1806527.96</v>
      </c>
    </row>
    <row r="607" spans="1:4">
      <c r="A607" s="578" t="s">
        <v>2212</v>
      </c>
      <c r="B607" s="578" t="s">
        <v>2213</v>
      </c>
      <c r="C607">
        <v>0</v>
      </c>
      <c r="D607" s="550">
        <v>1000</v>
      </c>
    </row>
    <row r="608" spans="1:4">
      <c r="A608" s="578" t="s">
        <v>2214</v>
      </c>
      <c r="B608" s="578" t="s">
        <v>2215</v>
      </c>
      <c r="C608">
        <v>0</v>
      </c>
      <c r="D608">
        <v>189.08</v>
      </c>
    </row>
    <row r="609" spans="1:4">
      <c r="A609" s="578" t="s">
        <v>2216</v>
      </c>
      <c r="B609" s="578" t="s">
        <v>2217</v>
      </c>
      <c r="C609">
        <v>0</v>
      </c>
      <c r="D609" s="550">
        <v>16361</v>
      </c>
    </row>
    <row r="610" spans="1:4">
      <c r="A610" s="578" t="s">
        <v>2218</v>
      </c>
      <c r="B610" s="578" t="s">
        <v>244</v>
      </c>
      <c r="C610">
        <v>0</v>
      </c>
      <c r="D610" s="513">
        <v>5325.49</v>
      </c>
    </row>
    <row r="611" spans="1:4">
      <c r="A611" s="578" t="s">
        <v>2219</v>
      </c>
      <c r="B611" s="578" t="s">
        <v>2220</v>
      </c>
      <c r="C611">
        <v>0</v>
      </c>
      <c r="D611" s="513">
        <v>16493.89</v>
      </c>
    </row>
    <row r="612" spans="1:4">
      <c r="A612" s="578" t="s">
        <v>839</v>
      </c>
      <c r="C612">
        <v>0</v>
      </c>
      <c r="D612" s="513">
        <v>1845897.42</v>
      </c>
    </row>
    <row r="613" spans="1:4">
      <c r="A613" s="578" t="s">
        <v>2223</v>
      </c>
      <c r="B613" s="578" t="s">
        <v>842</v>
      </c>
      <c r="C613">
        <v>0</v>
      </c>
      <c r="D613" s="513">
        <v>73531.210000000006</v>
      </c>
    </row>
    <row r="614" spans="1:4">
      <c r="A614" s="578" t="s">
        <v>841</v>
      </c>
      <c r="C614">
        <v>0</v>
      </c>
      <c r="D614" s="513">
        <v>73531.210000000006</v>
      </c>
    </row>
    <row r="615" spans="1:4">
      <c r="A615" s="577" t="s">
        <v>2226</v>
      </c>
      <c r="C615" s="369">
        <v>0</v>
      </c>
      <c r="D615" s="579">
        <v>2903203.29</v>
      </c>
    </row>
    <row r="617" spans="1:4">
      <c r="A617" s="578" t="s">
        <v>2227</v>
      </c>
      <c r="B617" s="578" t="s">
        <v>2228</v>
      </c>
      <c r="C617">
        <v>0</v>
      </c>
      <c r="D617" s="513">
        <v>33196.11</v>
      </c>
    </row>
    <row r="618" spans="1:4">
      <c r="A618" s="578" t="s">
        <v>2229</v>
      </c>
      <c r="B618" s="578" t="s">
        <v>2230</v>
      </c>
      <c r="C618">
        <v>0</v>
      </c>
      <c r="D618" s="513">
        <v>2353.6999999999998</v>
      </c>
    </row>
    <row r="619" spans="1:4">
      <c r="A619" s="578" t="s">
        <v>2231</v>
      </c>
      <c r="B619" s="578" t="s">
        <v>2232</v>
      </c>
      <c r="C619">
        <v>0</v>
      </c>
      <c r="D619" s="513">
        <v>1734860.22</v>
      </c>
    </row>
    <row r="620" spans="1:4">
      <c r="A620" s="578" t="s">
        <v>2233</v>
      </c>
      <c r="B620" s="578" t="s">
        <v>2234</v>
      </c>
      <c r="C620">
        <v>0</v>
      </c>
      <c r="D620" s="513">
        <v>83765.67</v>
      </c>
    </row>
    <row r="621" spans="1:4">
      <c r="A621" s="578" t="s">
        <v>2235</v>
      </c>
      <c r="B621" s="578" t="s">
        <v>2236</v>
      </c>
      <c r="C621">
        <v>0</v>
      </c>
      <c r="D621" s="513">
        <v>1569228.42</v>
      </c>
    </row>
    <row r="622" spans="1:4">
      <c r="A622" s="578" t="s">
        <v>844</v>
      </c>
      <c r="C622">
        <v>0</v>
      </c>
      <c r="D622" s="513">
        <v>3423404.12</v>
      </c>
    </row>
    <row r="623" spans="1:4">
      <c r="A623" s="578" t="s">
        <v>2237</v>
      </c>
      <c r="B623" s="578" t="s">
        <v>2238</v>
      </c>
      <c r="C623">
        <v>0</v>
      </c>
      <c r="D623" s="513">
        <v>25745.26</v>
      </c>
    </row>
    <row r="624" spans="1:4">
      <c r="A624" s="578" t="s">
        <v>847</v>
      </c>
      <c r="C624">
        <v>0</v>
      </c>
      <c r="D624" s="513">
        <v>25745.26</v>
      </c>
    </row>
    <row r="625" spans="1:4">
      <c r="A625" s="578" t="s">
        <v>2239</v>
      </c>
      <c r="B625" s="578" t="s">
        <v>2240</v>
      </c>
      <c r="C625">
        <v>0</v>
      </c>
      <c r="D625" s="513">
        <v>3172286.97</v>
      </c>
    </row>
    <row r="626" spans="1:4">
      <c r="A626" s="578" t="s">
        <v>849</v>
      </c>
      <c r="C626">
        <v>0</v>
      </c>
      <c r="D626" s="513">
        <v>3172286.97</v>
      </c>
    </row>
    <row r="627" spans="1:4">
      <c r="A627" s="578" t="s">
        <v>2241</v>
      </c>
      <c r="B627" s="578" t="s">
        <v>2242</v>
      </c>
      <c r="C627">
        <v>0</v>
      </c>
      <c r="D627" s="513">
        <v>193346.12</v>
      </c>
    </row>
    <row r="628" spans="1:4">
      <c r="A628" s="578" t="s">
        <v>853</v>
      </c>
      <c r="C628">
        <v>0</v>
      </c>
      <c r="D628" s="513">
        <v>193346.12</v>
      </c>
    </row>
    <row r="629" spans="1:4">
      <c r="A629" s="577" t="s">
        <v>2243</v>
      </c>
      <c r="C629" s="369">
        <v>0</v>
      </c>
      <c r="D629" s="579">
        <v>6814782.4699999997</v>
      </c>
    </row>
    <row r="631" spans="1:4">
      <c r="A631" s="578" t="s">
        <v>2245</v>
      </c>
      <c r="B631" s="578" t="s">
        <v>2246</v>
      </c>
      <c r="C631">
        <v>0</v>
      </c>
      <c r="D631">
        <v>47.13</v>
      </c>
    </row>
    <row r="632" spans="1:4">
      <c r="A632" s="578" t="s">
        <v>2680</v>
      </c>
      <c r="B632" s="578" t="s">
        <v>2526</v>
      </c>
      <c r="C632">
        <v>0</v>
      </c>
      <c r="D632">
        <v>3.7</v>
      </c>
    </row>
    <row r="633" spans="1:4">
      <c r="A633" s="578" t="s">
        <v>866</v>
      </c>
      <c r="C633">
        <v>0</v>
      </c>
      <c r="D633">
        <v>50.83</v>
      </c>
    </row>
    <row r="634" spans="1:4">
      <c r="A634" s="578" t="s">
        <v>2247</v>
      </c>
      <c r="B634" s="578" t="s">
        <v>245</v>
      </c>
      <c r="C634">
        <v>0</v>
      </c>
      <c r="D634" s="513">
        <v>2184.4299999999998</v>
      </c>
    </row>
    <row r="635" spans="1:4">
      <c r="A635" s="578" t="s">
        <v>2248</v>
      </c>
      <c r="B635" s="578" t="s">
        <v>2249</v>
      </c>
      <c r="C635">
        <v>0</v>
      </c>
      <c r="D635" s="513">
        <v>3473.98</v>
      </c>
    </row>
    <row r="636" spans="1:4">
      <c r="A636" s="578" t="s">
        <v>2250</v>
      </c>
      <c r="B636" s="578" t="s">
        <v>2251</v>
      </c>
      <c r="C636">
        <v>0</v>
      </c>
      <c r="D636" s="513">
        <v>34412.160000000003</v>
      </c>
    </row>
    <row r="637" spans="1:4">
      <c r="A637" s="578" t="s">
        <v>2252</v>
      </c>
      <c r="B637" s="578" t="s">
        <v>2253</v>
      </c>
      <c r="C637">
        <v>0</v>
      </c>
      <c r="D637" s="513">
        <v>7354.19</v>
      </c>
    </row>
    <row r="638" spans="1:4">
      <c r="A638" s="578" t="s">
        <v>2254</v>
      </c>
      <c r="B638" s="578" t="s">
        <v>2255</v>
      </c>
      <c r="C638">
        <v>0</v>
      </c>
      <c r="D638" s="513">
        <v>62454.15</v>
      </c>
    </row>
    <row r="639" spans="1:4">
      <c r="A639" s="578" t="s">
        <v>873</v>
      </c>
      <c r="C639">
        <v>0</v>
      </c>
      <c r="D639" s="513">
        <v>109878.91</v>
      </c>
    </row>
    <row r="640" spans="1:4">
      <c r="A640" s="577" t="s">
        <v>2258</v>
      </c>
      <c r="C640" s="369">
        <v>0</v>
      </c>
      <c r="D640" s="579">
        <v>109929.74</v>
      </c>
    </row>
    <row r="642" spans="1:4">
      <c r="A642" s="578" t="s">
        <v>2681</v>
      </c>
      <c r="B642" s="578" t="s">
        <v>224</v>
      </c>
      <c r="C642">
        <v>0</v>
      </c>
      <c r="D642" s="513">
        <v>64476.84</v>
      </c>
    </row>
    <row r="643" spans="1:4">
      <c r="A643" s="578" t="s">
        <v>2263</v>
      </c>
      <c r="B643" s="578" t="s">
        <v>2264</v>
      </c>
      <c r="C643">
        <v>0</v>
      </c>
      <c r="D643" s="513">
        <v>1307.51</v>
      </c>
    </row>
    <row r="644" spans="1:4">
      <c r="A644" s="578" t="s">
        <v>1028</v>
      </c>
      <c r="C644">
        <v>0</v>
      </c>
      <c r="D644" s="513">
        <v>65784.350000000006</v>
      </c>
    </row>
    <row r="645" spans="1:4">
      <c r="A645" s="577" t="s">
        <v>2265</v>
      </c>
      <c r="C645" s="369">
        <v>0</v>
      </c>
      <c r="D645" s="579">
        <v>65784.350000000006</v>
      </c>
    </row>
    <row r="647" spans="1:4">
      <c r="A647" s="577" t="s">
        <v>2266</v>
      </c>
      <c r="C647" s="369">
        <v>0</v>
      </c>
      <c r="D647" s="579">
        <v>138598538.31</v>
      </c>
    </row>
    <row r="650" spans="1:4">
      <c r="A650" s="578" t="s">
        <v>2267</v>
      </c>
      <c r="B650" s="578" t="s">
        <v>2268</v>
      </c>
      <c r="C650">
        <v>0</v>
      </c>
      <c r="D650" s="513">
        <v>-33007954.559999999</v>
      </c>
    </row>
    <row r="651" spans="1:4">
      <c r="A651" s="578" t="s">
        <v>2269</v>
      </c>
      <c r="B651" s="578" t="s">
        <v>2270</v>
      </c>
      <c r="C651">
        <v>0</v>
      </c>
      <c r="D651" s="513">
        <v>-2090181.01</v>
      </c>
    </row>
    <row r="652" spans="1:4">
      <c r="A652" s="578" t="s">
        <v>2271</v>
      </c>
      <c r="B652" s="578" t="s">
        <v>2272</v>
      </c>
      <c r="C652">
        <v>0</v>
      </c>
      <c r="D652" s="513">
        <v>-3542258.41</v>
      </c>
    </row>
    <row r="653" spans="1:4">
      <c r="A653" s="578" t="s">
        <v>2273</v>
      </c>
      <c r="B653" s="578" t="s">
        <v>2274</v>
      </c>
      <c r="C653">
        <v>0</v>
      </c>
      <c r="D653" s="513">
        <v>-154400.95000000001</v>
      </c>
    </row>
    <row r="654" spans="1:4">
      <c r="A654" s="578" t="s">
        <v>2275</v>
      </c>
      <c r="B654" s="578" t="s">
        <v>2276</v>
      </c>
      <c r="C654">
        <v>0</v>
      </c>
      <c r="D654" s="513">
        <v>-110184.17</v>
      </c>
    </row>
    <row r="655" spans="1:4">
      <c r="A655" s="578" t="s">
        <v>2277</v>
      </c>
      <c r="B655" s="578" t="s">
        <v>2278</v>
      </c>
      <c r="C655">
        <v>0</v>
      </c>
      <c r="D655" s="513">
        <v>-447016.88</v>
      </c>
    </row>
    <row r="656" spans="1:4">
      <c r="A656" s="578" t="s">
        <v>2279</v>
      </c>
      <c r="B656" s="578" t="s">
        <v>2280</v>
      </c>
      <c r="C656">
        <v>0</v>
      </c>
      <c r="D656" s="513">
        <v>-7604162.0899999999</v>
      </c>
    </row>
    <row r="657" spans="1:4">
      <c r="A657" s="578" t="s">
        <v>2281</v>
      </c>
      <c r="B657" s="578" t="s">
        <v>2282</v>
      </c>
      <c r="C657">
        <v>0</v>
      </c>
      <c r="D657" s="513">
        <v>-264260.74</v>
      </c>
    </row>
    <row r="658" spans="1:4">
      <c r="A658" s="578" t="s">
        <v>2283</v>
      </c>
      <c r="B658" s="578" t="s">
        <v>2284</v>
      </c>
      <c r="C658">
        <v>0</v>
      </c>
      <c r="D658" s="513">
        <v>-1312748.6599999999</v>
      </c>
    </row>
    <row r="659" spans="1:4">
      <c r="A659" s="578" t="s">
        <v>2285</v>
      </c>
      <c r="B659" s="578" t="s">
        <v>2286</v>
      </c>
      <c r="C659">
        <v>0</v>
      </c>
      <c r="D659" s="513">
        <v>-231171.59</v>
      </c>
    </row>
    <row r="660" spans="1:4">
      <c r="A660" s="578" t="s">
        <v>2287</v>
      </c>
      <c r="B660" s="578" t="s">
        <v>2288</v>
      </c>
      <c r="C660">
        <v>0</v>
      </c>
      <c r="D660" s="513">
        <v>-148004.07</v>
      </c>
    </row>
    <row r="661" spans="1:4">
      <c r="A661" s="578" t="s">
        <v>2289</v>
      </c>
      <c r="B661" s="578" t="s">
        <v>2290</v>
      </c>
      <c r="C661">
        <v>0</v>
      </c>
      <c r="D661" s="513">
        <v>-1533064.14</v>
      </c>
    </row>
    <row r="662" spans="1:4">
      <c r="A662" s="578" t="s">
        <v>2291</v>
      </c>
      <c r="B662" s="578" t="s">
        <v>2292</v>
      </c>
      <c r="C662">
        <v>0</v>
      </c>
      <c r="D662" s="513">
        <v>-2591201.69</v>
      </c>
    </row>
    <row r="663" spans="1:4">
      <c r="A663" s="578" t="s">
        <v>2293</v>
      </c>
      <c r="B663" s="578" t="s">
        <v>2294</v>
      </c>
      <c r="C663">
        <v>0</v>
      </c>
      <c r="D663" s="513">
        <v>-1369776.29</v>
      </c>
    </row>
    <row r="664" spans="1:4">
      <c r="A664" s="578" t="s">
        <v>2295</v>
      </c>
      <c r="B664" s="578" t="s">
        <v>2296</v>
      </c>
      <c r="C664">
        <v>0</v>
      </c>
      <c r="D664" s="513">
        <v>-3493822.64</v>
      </c>
    </row>
    <row r="665" spans="1:4">
      <c r="A665" s="578" t="s">
        <v>2297</v>
      </c>
      <c r="B665" s="578" t="s">
        <v>2298</v>
      </c>
      <c r="C665">
        <v>0</v>
      </c>
      <c r="D665" s="513">
        <v>-147845.79999999999</v>
      </c>
    </row>
    <row r="666" spans="1:4">
      <c r="A666" s="578" t="s">
        <v>2299</v>
      </c>
      <c r="B666" s="578" t="s">
        <v>2300</v>
      </c>
      <c r="C666">
        <v>0</v>
      </c>
      <c r="D666" s="513">
        <v>-292578.24</v>
      </c>
    </row>
    <row r="667" spans="1:4">
      <c r="A667" s="578" t="s">
        <v>2301</v>
      </c>
      <c r="B667" s="578" t="s">
        <v>2302</v>
      </c>
      <c r="C667">
        <v>0</v>
      </c>
      <c r="D667" s="513">
        <v>-5472247.8799999999</v>
      </c>
    </row>
    <row r="668" spans="1:4">
      <c r="A668" s="578" t="s">
        <v>2303</v>
      </c>
      <c r="B668" s="578" t="s">
        <v>2304</v>
      </c>
      <c r="C668">
        <v>0</v>
      </c>
      <c r="D668" s="513">
        <v>-22790.3</v>
      </c>
    </row>
    <row r="669" spans="1:4">
      <c r="A669" s="578" t="s">
        <v>2305</v>
      </c>
      <c r="B669" s="578" t="s">
        <v>2306</v>
      </c>
      <c r="C669">
        <v>0</v>
      </c>
      <c r="D669" s="513">
        <v>-17985458.199999999</v>
      </c>
    </row>
    <row r="670" spans="1:4">
      <c r="A670" s="578" t="s">
        <v>2307</v>
      </c>
      <c r="B670" s="578" t="s">
        <v>2308</v>
      </c>
      <c r="C670">
        <v>0</v>
      </c>
      <c r="D670" s="513">
        <v>-4580.91</v>
      </c>
    </row>
    <row r="671" spans="1:4">
      <c r="A671" s="578" t="s">
        <v>2309</v>
      </c>
      <c r="B671" s="578" t="s">
        <v>2310</v>
      </c>
      <c r="C671">
        <v>0</v>
      </c>
      <c r="D671" s="513">
        <v>-1927386.9</v>
      </c>
    </row>
    <row r="672" spans="1:4">
      <c r="A672" s="578" t="s">
        <v>2311</v>
      </c>
      <c r="B672" s="578" t="s">
        <v>2312</v>
      </c>
      <c r="C672">
        <v>0</v>
      </c>
      <c r="D672" s="513">
        <v>-5815.32</v>
      </c>
    </row>
    <row r="673" spans="1:4">
      <c r="A673" s="578" t="s">
        <v>2313</v>
      </c>
      <c r="B673" s="578" t="s">
        <v>2314</v>
      </c>
      <c r="C673">
        <v>0</v>
      </c>
      <c r="D673" s="513">
        <v>-33004.620000000003</v>
      </c>
    </row>
    <row r="674" spans="1:4">
      <c r="A674" s="578" t="s">
        <v>2315</v>
      </c>
      <c r="B674" s="578" t="s">
        <v>2316</v>
      </c>
      <c r="C674">
        <v>0</v>
      </c>
      <c r="D674" s="513">
        <v>-198784.85</v>
      </c>
    </row>
    <row r="675" spans="1:4">
      <c r="A675" s="578" t="s">
        <v>2317</v>
      </c>
      <c r="B675" s="578" t="s">
        <v>2318</v>
      </c>
      <c r="C675">
        <v>0</v>
      </c>
      <c r="D675" s="513">
        <v>-2749014.89</v>
      </c>
    </row>
    <row r="676" spans="1:4">
      <c r="A676" s="578" t="s">
        <v>2319</v>
      </c>
      <c r="B676" s="578" t="s">
        <v>2320</v>
      </c>
      <c r="C676">
        <v>0</v>
      </c>
      <c r="D676" s="513">
        <v>-54780.97</v>
      </c>
    </row>
    <row r="677" spans="1:4">
      <c r="A677" s="578" t="s">
        <v>2321</v>
      </c>
      <c r="B677" s="578" t="s">
        <v>2322</v>
      </c>
      <c r="C677">
        <v>0</v>
      </c>
      <c r="D677" s="513">
        <v>-526526.69999999995</v>
      </c>
    </row>
    <row r="678" spans="1:4">
      <c r="A678" s="578" t="s">
        <v>2323</v>
      </c>
      <c r="B678" s="578" t="s">
        <v>2324</v>
      </c>
      <c r="C678">
        <v>0</v>
      </c>
      <c r="D678" s="513">
        <v>-45850.79</v>
      </c>
    </row>
    <row r="679" spans="1:4">
      <c r="A679" s="578" t="s">
        <v>2325</v>
      </c>
      <c r="B679" s="578" t="s">
        <v>2326</v>
      </c>
      <c r="C679">
        <v>0</v>
      </c>
      <c r="D679" s="513">
        <v>-27537.85</v>
      </c>
    </row>
    <row r="680" spans="1:4">
      <c r="A680" s="578" t="s">
        <v>2327</v>
      </c>
      <c r="B680" s="578" t="s">
        <v>2328</v>
      </c>
      <c r="C680">
        <v>0</v>
      </c>
      <c r="D680" s="513">
        <v>-1852664.92</v>
      </c>
    </row>
    <row r="681" spans="1:4">
      <c r="A681" s="578" t="s">
        <v>2329</v>
      </c>
      <c r="B681" s="578" t="s">
        <v>2330</v>
      </c>
      <c r="C681">
        <v>0</v>
      </c>
      <c r="D681" s="513">
        <v>-63837.84</v>
      </c>
    </row>
    <row r="682" spans="1:4">
      <c r="A682" s="578" t="s">
        <v>2331</v>
      </c>
      <c r="B682" s="578" t="s">
        <v>2332</v>
      </c>
      <c r="C682">
        <v>0</v>
      </c>
      <c r="D682" s="513">
        <v>-1993581.03</v>
      </c>
    </row>
    <row r="683" spans="1:4">
      <c r="A683" s="578" t="s">
        <v>2333</v>
      </c>
      <c r="B683" s="578" t="s">
        <v>2334</v>
      </c>
      <c r="C683">
        <v>0</v>
      </c>
      <c r="D683" s="513">
        <v>-32183.21</v>
      </c>
    </row>
    <row r="684" spans="1:4">
      <c r="A684" s="578" t="s">
        <v>2335</v>
      </c>
      <c r="B684" s="578" t="s">
        <v>2336</v>
      </c>
      <c r="C684">
        <v>0</v>
      </c>
      <c r="D684" s="513">
        <v>-1607272.24</v>
      </c>
    </row>
    <row r="685" spans="1:4">
      <c r="A685" s="578" t="s">
        <v>2337</v>
      </c>
      <c r="B685" s="578" t="s">
        <v>2338</v>
      </c>
      <c r="C685">
        <v>0</v>
      </c>
      <c r="D685" s="550">
        <v>-15162</v>
      </c>
    </row>
    <row r="686" spans="1:4">
      <c r="A686" s="578" t="s">
        <v>2339</v>
      </c>
      <c r="B686" s="578" t="s">
        <v>2340</v>
      </c>
      <c r="C686">
        <v>0</v>
      </c>
      <c r="D686" s="513">
        <v>-4099965.53</v>
      </c>
    </row>
    <row r="687" spans="1:4">
      <c r="A687" s="578" t="s">
        <v>2341</v>
      </c>
      <c r="B687" s="578" t="s">
        <v>2342</v>
      </c>
      <c r="C687">
        <v>0</v>
      </c>
      <c r="D687">
        <v>-39.840000000000003</v>
      </c>
    </row>
    <row r="688" spans="1:4">
      <c r="A688" s="578" t="s">
        <v>2343</v>
      </c>
      <c r="B688" s="578" t="s">
        <v>2344</v>
      </c>
      <c r="C688">
        <v>0</v>
      </c>
      <c r="D688" s="513">
        <v>-180580.66</v>
      </c>
    </row>
    <row r="689" spans="1:4">
      <c r="A689" s="578" t="s">
        <v>2345</v>
      </c>
      <c r="B689" s="578" t="s">
        <v>2346</v>
      </c>
      <c r="C689">
        <v>0</v>
      </c>
      <c r="D689" s="513">
        <v>-610198.01</v>
      </c>
    </row>
    <row r="690" spans="1:4">
      <c r="A690" s="578" t="s">
        <v>2347</v>
      </c>
      <c r="B690" s="578" t="s">
        <v>2348</v>
      </c>
      <c r="C690">
        <v>0</v>
      </c>
      <c r="D690">
        <v>-880.35</v>
      </c>
    </row>
    <row r="691" spans="1:4">
      <c r="A691" s="578" t="s">
        <v>2349</v>
      </c>
      <c r="B691" s="578" t="s">
        <v>2350</v>
      </c>
      <c r="C691">
        <v>0</v>
      </c>
      <c r="D691" s="513">
        <v>-10545.6</v>
      </c>
    </row>
    <row r="692" spans="1:4">
      <c r="A692" s="578" t="s">
        <v>2351</v>
      </c>
      <c r="B692" s="578" t="s">
        <v>2352</v>
      </c>
      <c r="C692">
        <v>0</v>
      </c>
      <c r="D692" s="513">
        <v>-86448.49</v>
      </c>
    </row>
    <row r="693" spans="1:4">
      <c r="A693" s="578" t="s">
        <v>2353</v>
      </c>
      <c r="B693" s="578" t="s">
        <v>2354</v>
      </c>
      <c r="C693">
        <v>0</v>
      </c>
      <c r="D693" s="513">
        <v>-990974.53</v>
      </c>
    </row>
    <row r="694" spans="1:4">
      <c r="A694" s="578" t="s">
        <v>2355</v>
      </c>
      <c r="B694" s="578" t="s">
        <v>2356</v>
      </c>
      <c r="C694">
        <v>0</v>
      </c>
      <c r="D694" s="513">
        <v>-40383.769999999997</v>
      </c>
    </row>
    <row r="695" spans="1:4">
      <c r="A695" s="578" t="s">
        <v>2357</v>
      </c>
      <c r="B695" s="578" t="s">
        <v>2358</v>
      </c>
      <c r="C695">
        <v>0</v>
      </c>
      <c r="D695" s="513">
        <v>-106014.25</v>
      </c>
    </row>
    <row r="696" spans="1:4">
      <c r="A696" s="578" t="s">
        <v>2359</v>
      </c>
      <c r="B696" s="578" t="s">
        <v>2360</v>
      </c>
      <c r="C696">
        <v>0</v>
      </c>
      <c r="D696" s="513">
        <v>-26324.1</v>
      </c>
    </row>
    <row r="697" spans="1:4">
      <c r="A697" s="578" t="s">
        <v>2361</v>
      </c>
      <c r="B697" s="578" t="s">
        <v>2362</v>
      </c>
      <c r="C697">
        <v>0</v>
      </c>
      <c r="D697" s="513">
        <v>-5741.56</v>
      </c>
    </row>
    <row r="698" spans="1:4">
      <c r="A698" s="578" t="s">
        <v>2363</v>
      </c>
      <c r="B698" s="578" t="s">
        <v>2364</v>
      </c>
      <c r="C698">
        <v>0</v>
      </c>
      <c r="D698" s="513">
        <v>-175941.88</v>
      </c>
    </row>
    <row r="699" spans="1:4">
      <c r="A699" s="578" t="s">
        <v>2365</v>
      </c>
      <c r="B699" s="578" t="s">
        <v>2366</v>
      </c>
      <c r="C699">
        <v>0</v>
      </c>
      <c r="D699" s="513">
        <v>-16809.73</v>
      </c>
    </row>
    <row r="700" spans="1:4">
      <c r="A700" s="578" t="s">
        <v>2367</v>
      </c>
      <c r="B700" s="578" t="s">
        <v>2368</v>
      </c>
      <c r="C700">
        <v>0</v>
      </c>
      <c r="D700" s="513">
        <v>-593025.71</v>
      </c>
    </row>
    <row r="701" spans="1:4">
      <c r="A701" s="578" t="s">
        <v>2369</v>
      </c>
      <c r="B701" s="578" t="s">
        <v>2370</v>
      </c>
      <c r="C701">
        <v>0</v>
      </c>
      <c r="D701" s="513">
        <v>-10180.290000000001</v>
      </c>
    </row>
    <row r="702" spans="1:4">
      <c r="A702" s="578" t="s">
        <v>2371</v>
      </c>
      <c r="B702" s="578" t="s">
        <v>2372</v>
      </c>
      <c r="C702">
        <v>0</v>
      </c>
      <c r="D702" s="513">
        <v>-13279.61</v>
      </c>
    </row>
    <row r="703" spans="1:4">
      <c r="A703" s="578" t="s">
        <v>2373</v>
      </c>
      <c r="B703" s="578" t="s">
        <v>2374</v>
      </c>
      <c r="C703">
        <v>0</v>
      </c>
      <c r="D703" s="513">
        <v>-590078.47</v>
      </c>
    </row>
    <row r="704" spans="1:4">
      <c r="A704" s="578" t="s">
        <v>2375</v>
      </c>
      <c r="B704" s="578" t="s">
        <v>2376</v>
      </c>
      <c r="C704">
        <v>0</v>
      </c>
      <c r="D704" s="513">
        <v>-3546.44</v>
      </c>
    </row>
    <row r="705" spans="1:4">
      <c r="A705" s="578" t="s">
        <v>2682</v>
      </c>
      <c r="B705" s="578" t="s">
        <v>2683</v>
      </c>
      <c r="C705">
        <v>0</v>
      </c>
      <c r="D705" s="513">
        <v>-734393.32</v>
      </c>
    </row>
    <row r="706" spans="1:4">
      <c r="A706" s="578" t="s">
        <v>2684</v>
      </c>
      <c r="B706" s="578" t="s">
        <v>2685</v>
      </c>
      <c r="C706">
        <v>0</v>
      </c>
      <c r="D706" s="513">
        <v>-137398.32</v>
      </c>
    </row>
    <row r="707" spans="1:4">
      <c r="A707" s="578" t="s">
        <v>2686</v>
      </c>
      <c r="B707" s="578" t="s">
        <v>2687</v>
      </c>
      <c r="C707">
        <v>0</v>
      </c>
      <c r="D707" s="513">
        <v>-31425.08</v>
      </c>
    </row>
    <row r="708" spans="1:4" s="331" customFormat="1">
      <c r="A708" s="581" t="s">
        <v>2399</v>
      </c>
      <c r="B708" s="581" t="s">
        <v>2400</v>
      </c>
      <c r="C708" s="331">
        <v>0</v>
      </c>
      <c r="D708" s="582">
        <v>-5838.72</v>
      </c>
    </row>
    <row r="709" spans="1:4" s="331" customFormat="1">
      <c r="A709" s="581" t="s">
        <v>2401</v>
      </c>
      <c r="B709" s="581" t="s">
        <v>2402</v>
      </c>
      <c r="C709" s="331">
        <v>0</v>
      </c>
      <c r="D709" s="582">
        <v>-6380.49</v>
      </c>
    </row>
    <row r="710" spans="1:4" s="331" customFormat="1">
      <c r="A710" s="581" t="s">
        <v>2403</v>
      </c>
      <c r="B710" s="581" t="s">
        <v>2404</v>
      </c>
      <c r="C710" s="331">
        <v>0</v>
      </c>
      <c r="D710" s="331">
        <v>-67.25</v>
      </c>
    </row>
    <row r="711" spans="1:4" s="331" customFormat="1">
      <c r="A711" s="581" t="s">
        <v>2405</v>
      </c>
      <c r="B711" s="581" t="s">
        <v>2406</v>
      </c>
      <c r="C711" s="331">
        <v>0</v>
      </c>
      <c r="D711" s="582">
        <v>-27046.98</v>
      </c>
    </row>
    <row r="712" spans="1:4" s="331" customFormat="1">
      <c r="A712" s="581" t="s">
        <v>2407</v>
      </c>
      <c r="B712" s="581" t="s">
        <v>2408</v>
      </c>
      <c r="C712" s="331">
        <v>0</v>
      </c>
      <c r="D712" s="582">
        <v>-293484.86</v>
      </c>
    </row>
    <row r="713" spans="1:4" s="331" customFormat="1">
      <c r="A713" s="581" t="s">
        <v>2409</v>
      </c>
      <c r="B713" s="581" t="s">
        <v>2410</v>
      </c>
      <c r="C713" s="331">
        <v>0</v>
      </c>
      <c r="D713" s="582">
        <v>-364816.73</v>
      </c>
    </row>
    <row r="714" spans="1:4" s="331" customFormat="1">
      <c r="A714" s="581" t="s">
        <v>2411</v>
      </c>
      <c r="B714" s="581" t="s">
        <v>2412</v>
      </c>
      <c r="C714" s="331">
        <v>0</v>
      </c>
      <c r="D714" s="583">
        <v>-14580</v>
      </c>
    </row>
    <row r="715" spans="1:4" s="331" customFormat="1">
      <c r="A715" s="581" t="s">
        <v>2413</v>
      </c>
      <c r="B715" s="581" t="s">
        <v>2414</v>
      </c>
      <c r="C715" s="331">
        <v>0</v>
      </c>
      <c r="D715" s="582">
        <v>-124361.77</v>
      </c>
    </row>
    <row r="716" spans="1:4" s="331" customFormat="1">
      <c r="A716" s="581" t="s">
        <v>2415</v>
      </c>
      <c r="B716" s="581" t="s">
        <v>2416</v>
      </c>
      <c r="C716" s="331">
        <v>0</v>
      </c>
      <c r="D716" s="582">
        <v>-197923.5</v>
      </c>
    </row>
    <row r="717" spans="1:4">
      <c r="A717" s="578" t="s">
        <v>2417</v>
      </c>
      <c r="B717" s="578" t="s">
        <v>2418</v>
      </c>
      <c r="C717">
        <v>0</v>
      </c>
      <c r="D717" s="513">
        <v>-489606.40000000002</v>
      </c>
    </row>
    <row r="718" spans="1:4">
      <c r="A718" s="578" t="s">
        <v>2419</v>
      </c>
      <c r="B718" s="578" t="s">
        <v>2420</v>
      </c>
      <c r="C718">
        <v>0</v>
      </c>
      <c r="D718" s="513">
        <v>-6662.5</v>
      </c>
    </row>
    <row r="719" spans="1:4">
      <c r="A719" s="578" t="s">
        <v>2421</v>
      </c>
      <c r="B719" s="578" t="s">
        <v>2422</v>
      </c>
      <c r="C719">
        <v>0</v>
      </c>
      <c r="D719" s="513">
        <v>-26096.3</v>
      </c>
    </row>
    <row r="720" spans="1:4">
      <c r="A720" s="578" t="s">
        <v>2423</v>
      </c>
      <c r="B720" s="578" t="s">
        <v>2424</v>
      </c>
      <c r="C720">
        <v>0</v>
      </c>
      <c r="D720" s="513">
        <v>-1177628.31</v>
      </c>
    </row>
    <row r="721" spans="1:4">
      <c r="A721" s="578" t="s">
        <v>2425</v>
      </c>
      <c r="B721" s="578" t="s">
        <v>2426</v>
      </c>
      <c r="C721">
        <v>0</v>
      </c>
      <c r="D721" s="513">
        <v>-4245.71</v>
      </c>
    </row>
    <row r="722" spans="1:4">
      <c r="A722" s="578" t="s">
        <v>2427</v>
      </c>
      <c r="B722" s="578" t="s">
        <v>1652</v>
      </c>
      <c r="C722">
        <v>0</v>
      </c>
      <c r="D722" s="513">
        <v>-69262.98</v>
      </c>
    </row>
    <row r="723" spans="1:4">
      <c r="A723" s="578" t="s">
        <v>2428</v>
      </c>
      <c r="B723" s="578" t="s">
        <v>2429</v>
      </c>
      <c r="C723">
        <v>0</v>
      </c>
      <c r="D723" s="513">
        <v>-5023.2700000000004</v>
      </c>
    </row>
    <row r="724" spans="1:4">
      <c r="A724" s="578" t="s">
        <v>2430</v>
      </c>
      <c r="B724" s="578" t="s">
        <v>2431</v>
      </c>
      <c r="C724">
        <v>0</v>
      </c>
      <c r="D724" s="513">
        <v>-512111.62</v>
      </c>
    </row>
    <row r="725" spans="1:4">
      <c r="A725" s="578" t="s">
        <v>2432</v>
      </c>
      <c r="B725" s="578" t="s">
        <v>2433</v>
      </c>
      <c r="C725">
        <v>0</v>
      </c>
      <c r="D725" s="513">
        <v>-732697.94</v>
      </c>
    </row>
    <row r="726" spans="1:4">
      <c r="A726" s="578" t="s">
        <v>2434</v>
      </c>
      <c r="B726" s="578" t="s">
        <v>2435</v>
      </c>
      <c r="C726">
        <v>0</v>
      </c>
      <c r="D726" s="513">
        <v>-20508.240000000002</v>
      </c>
    </row>
    <row r="727" spans="1:4">
      <c r="A727" s="578" t="s">
        <v>2436</v>
      </c>
      <c r="B727" s="578" t="s">
        <v>2437</v>
      </c>
      <c r="C727">
        <v>0</v>
      </c>
      <c r="D727">
        <v>-574.91999999999996</v>
      </c>
    </row>
    <row r="728" spans="1:4">
      <c r="A728" s="578" t="s">
        <v>2438</v>
      </c>
      <c r="B728" s="578" t="s">
        <v>2439</v>
      </c>
      <c r="C728">
        <v>0</v>
      </c>
      <c r="D728" s="513">
        <v>-14471.56</v>
      </c>
    </row>
    <row r="729" spans="1:4">
      <c r="A729" s="578" t="s">
        <v>2440</v>
      </c>
      <c r="B729" s="578" t="s">
        <v>2441</v>
      </c>
      <c r="C729">
        <v>0</v>
      </c>
      <c r="D729" s="513">
        <v>-637381.15</v>
      </c>
    </row>
    <row r="730" spans="1:4">
      <c r="A730" s="578" t="s">
        <v>2442</v>
      </c>
      <c r="B730" s="578" t="s">
        <v>2443</v>
      </c>
      <c r="C730">
        <v>0</v>
      </c>
      <c r="D730" s="513">
        <v>-8711.68</v>
      </c>
    </row>
    <row r="731" spans="1:4" s="331" customFormat="1">
      <c r="A731" s="581" t="s">
        <v>2444</v>
      </c>
      <c r="B731" s="581" t="s">
        <v>2445</v>
      </c>
      <c r="C731" s="331">
        <v>0</v>
      </c>
      <c r="D731" s="582">
        <v>-78965.13</v>
      </c>
    </row>
    <row r="732" spans="1:4">
      <c r="A732" s="578" t="s">
        <v>2446</v>
      </c>
      <c r="B732" s="578" t="s">
        <v>2447</v>
      </c>
      <c r="C732">
        <v>0</v>
      </c>
      <c r="D732" s="550">
        <v>-7220</v>
      </c>
    </row>
    <row r="733" spans="1:4">
      <c r="A733" s="578" t="s">
        <v>2448</v>
      </c>
      <c r="B733" s="578" t="s">
        <v>2449</v>
      </c>
      <c r="C733">
        <v>0</v>
      </c>
      <c r="D733" s="513">
        <v>-60677.86</v>
      </c>
    </row>
    <row r="734" spans="1:4">
      <c r="A734" s="578" t="s">
        <v>2450</v>
      </c>
      <c r="B734" s="578" t="s">
        <v>2451</v>
      </c>
      <c r="C734">
        <v>0</v>
      </c>
      <c r="D734" s="513">
        <v>-74680.22</v>
      </c>
    </row>
    <row r="735" spans="1:4">
      <c r="A735" s="578" t="s">
        <v>909</v>
      </c>
      <c r="C735">
        <v>0</v>
      </c>
      <c r="D735" s="513">
        <v>-106384314.98</v>
      </c>
    </row>
    <row r="736" spans="1:4">
      <c r="A736" s="578" t="s">
        <v>2688</v>
      </c>
      <c r="B736" s="578" t="s">
        <v>2689</v>
      </c>
      <c r="C736">
        <v>0</v>
      </c>
      <c r="D736" s="513">
        <v>-57047.82</v>
      </c>
    </row>
    <row r="737" spans="1:4">
      <c r="A737" s="578" t="s">
        <v>2458</v>
      </c>
      <c r="B737" s="578" t="s">
        <v>2459</v>
      </c>
      <c r="C737">
        <v>0</v>
      </c>
      <c r="D737" s="513">
        <v>-81537.08</v>
      </c>
    </row>
    <row r="738" spans="1:4">
      <c r="A738" s="578" t="s">
        <v>2460</v>
      </c>
      <c r="B738" s="578" t="s">
        <v>2461</v>
      </c>
      <c r="C738">
        <v>0</v>
      </c>
      <c r="D738">
        <v>-396.85</v>
      </c>
    </row>
    <row r="739" spans="1:4">
      <c r="A739" s="578" t="s">
        <v>2462</v>
      </c>
      <c r="B739" s="578" t="s">
        <v>2463</v>
      </c>
      <c r="C739">
        <v>0</v>
      </c>
      <c r="D739" s="513">
        <v>-39090.26</v>
      </c>
    </row>
    <row r="740" spans="1:4">
      <c r="A740" s="578" t="s">
        <v>2464</v>
      </c>
      <c r="B740" s="578" t="s">
        <v>2465</v>
      </c>
      <c r="C740">
        <v>0</v>
      </c>
      <c r="D740">
        <v>-10.96</v>
      </c>
    </row>
    <row r="741" spans="1:4">
      <c r="A741" s="578" t="s">
        <v>2466</v>
      </c>
      <c r="B741" s="578" t="s">
        <v>2467</v>
      </c>
      <c r="C741">
        <v>0</v>
      </c>
      <c r="D741" s="513">
        <v>-9496.6299999999992</v>
      </c>
    </row>
    <row r="742" spans="1:4">
      <c r="A742" s="578" t="s">
        <v>2468</v>
      </c>
      <c r="B742" s="578" t="s">
        <v>2469</v>
      </c>
      <c r="C742">
        <v>0</v>
      </c>
      <c r="D742">
        <v>-137.5</v>
      </c>
    </row>
    <row r="743" spans="1:4">
      <c r="A743" s="578" t="s">
        <v>2470</v>
      </c>
      <c r="C743">
        <v>0</v>
      </c>
      <c r="D743" s="513">
        <v>-187717.1</v>
      </c>
    </row>
    <row r="744" spans="1:4">
      <c r="A744" s="577" t="s">
        <v>2471</v>
      </c>
      <c r="C744" s="369">
        <v>0</v>
      </c>
      <c r="D744" s="579">
        <v>-106572032.08</v>
      </c>
    </row>
    <row r="746" spans="1:4">
      <c r="A746" s="578" t="s">
        <v>2472</v>
      </c>
      <c r="B746" s="578" t="s">
        <v>2473</v>
      </c>
      <c r="C746">
        <v>0</v>
      </c>
      <c r="D746" s="513">
        <v>-43709.8</v>
      </c>
    </row>
    <row r="747" spans="1:4">
      <c r="A747" s="578" t="s">
        <v>924</v>
      </c>
      <c r="C747">
        <v>0</v>
      </c>
      <c r="D747" s="513">
        <v>-43709.8</v>
      </c>
    </row>
    <row r="748" spans="1:4">
      <c r="A748" s="577" t="s">
        <v>2474</v>
      </c>
      <c r="C748" s="369">
        <v>0</v>
      </c>
      <c r="D748" s="579">
        <v>-43709.8</v>
      </c>
    </row>
    <row r="750" spans="1:4">
      <c r="A750" s="578" t="s">
        <v>2475</v>
      </c>
      <c r="B750" s="578" t="s">
        <v>2476</v>
      </c>
      <c r="C750">
        <v>0</v>
      </c>
      <c r="D750" s="550">
        <v>-289400</v>
      </c>
    </row>
    <row r="751" spans="1:4">
      <c r="A751" s="578" t="s">
        <v>938</v>
      </c>
      <c r="C751">
        <v>0</v>
      </c>
      <c r="D751" s="550">
        <v>-289400</v>
      </c>
    </row>
    <row r="752" spans="1:4">
      <c r="A752" s="578" t="s">
        <v>2477</v>
      </c>
      <c r="B752" s="578" t="s">
        <v>2478</v>
      </c>
      <c r="C752">
        <v>0</v>
      </c>
      <c r="D752" s="550">
        <v>-5000</v>
      </c>
    </row>
    <row r="753" spans="1:4">
      <c r="A753" s="578" t="s">
        <v>2479</v>
      </c>
      <c r="B753" s="578" t="s">
        <v>2480</v>
      </c>
      <c r="C753">
        <v>0</v>
      </c>
      <c r="D753">
        <v>-842.39</v>
      </c>
    </row>
    <row r="754" spans="1:4">
      <c r="A754" s="578" t="s">
        <v>942</v>
      </c>
      <c r="C754">
        <v>0</v>
      </c>
      <c r="D754" s="513">
        <v>-5842.39</v>
      </c>
    </row>
    <row r="755" spans="1:4">
      <c r="A755" s="578" t="s">
        <v>2690</v>
      </c>
      <c r="B755" s="578" t="s">
        <v>2691</v>
      </c>
      <c r="C755">
        <v>0</v>
      </c>
      <c r="D755">
        <v>-219.5</v>
      </c>
    </row>
    <row r="756" spans="1:4">
      <c r="A756" s="578" t="s">
        <v>943</v>
      </c>
      <c r="C756">
        <v>0</v>
      </c>
      <c r="D756">
        <v>-219.5</v>
      </c>
    </row>
    <row r="757" spans="1:4">
      <c r="A757" s="578" t="s">
        <v>2481</v>
      </c>
      <c r="B757" s="578" t="s">
        <v>2482</v>
      </c>
      <c r="C757">
        <v>0</v>
      </c>
      <c r="D757" s="513">
        <v>-11736.75</v>
      </c>
    </row>
    <row r="758" spans="1:4">
      <c r="A758" s="578" t="s">
        <v>2483</v>
      </c>
      <c r="B758" s="578" t="s">
        <v>2484</v>
      </c>
      <c r="C758">
        <v>0</v>
      </c>
      <c r="D758" s="513">
        <v>-4100.8599999999997</v>
      </c>
    </row>
    <row r="759" spans="1:4">
      <c r="A759" s="578" t="s">
        <v>2485</v>
      </c>
      <c r="B759" s="578" t="s">
        <v>2486</v>
      </c>
      <c r="C759">
        <v>0</v>
      </c>
      <c r="D759">
        <v>-20.76</v>
      </c>
    </row>
    <row r="760" spans="1:4">
      <c r="A760" s="578" t="s">
        <v>2487</v>
      </c>
      <c r="B760" s="578" t="s">
        <v>2488</v>
      </c>
      <c r="C760">
        <v>0</v>
      </c>
      <c r="D760" s="513">
        <v>-11176.46</v>
      </c>
    </row>
    <row r="761" spans="1:4">
      <c r="A761" s="578" t="s">
        <v>2491</v>
      </c>
      <c r="B761" s="578" t="s">
        <v>2492</v>
      </c>
      <c r="C761">
        <v>0</v>
      </c>
      <c r="D761">
        <v>-28.04</v>
      </c>
    </row>
    <row r="762" spans="1:4">
      <c r="A762" s="578" t="s">
        <v>2493</v>
      </c>
      <c r="B762" s="578" t="s">
        <v>2494</v>
      </c>
      <c r="C762">
        <v>0</v>
      </c>
      <c r="D762" s="513">
        <v>-10202.450000000001</v>
      </c>
    </row>
    <row r="763" spans="1:4">
      <c r="A763" s="578" t="s">
        <v>2495</v>
      </c>
      <c r="B763" s="578" t="s">
        <v>2496</v>
      </c>
      <c r="C763">
        <v>0</v>
      </c>
      <c r="D763">
        <v>-297.56</v>
      </c>
    </row>
    <row r="764" spans="1:4">
      <c r="A764" s="578" t="s">
        <v>2497</v>
      </c>
      <c r="B764" s="578" t="s">
        <v>2498</v>
      </c>
      <c r="C764">
        <v>0</v>
      </c>
      <c r="D764" s="513">
        <v>-41646.92</v>
      </c>
    </row>
    <row r="765" spans="1:4">
      <c r="A765" s="578" t="s">
        <v>2692</v>
      </c>
      <c r="B765" s="578" t="s">
        <v>2693</v>
      </c>
      <c r="C765">
        <v>0</v>
      </c>
      <c r="D765" s="513">
        <v>-556904.17000000004</v>
      </c>
    </row>
    <row r="766" spans="1:4">
      <c r="A766" s="578" t="s">
        <v>2499</v>
      </c>
      <c r="B766" s="578" t="s">
        <v>2500</v>
      </c>
      <c r="C766">
        <v>0</v>
      </c>
      <c r="D766" s="513">
        <v>-4808.57</v>
      </c>
    </row>
    <row r="767" spans="1:4">
      <c r="A767" s="578" t="s">
        <v>2694</v>
      </c>
      <c r="B767" s="578" t="s">
        <v>2695</v>
      </c>
      <c r="C767">
        <v>0</v>
      </c>
      <c r="D767" s="513">
        <v>-20932629.25</v>
      </c>
    </row>
    <row r="768" spans="1:4">
      <c r="A768" s="578" t="s">
        <v>2501</v>
      </c>
      <c r="B768" s="578" t="s">
        <v>2502</v>
      </c>
      <c r="C768">
        <v>0</v>
      </c>
      <c r="D768" s="513">
        <v>-3541797.59</v>
      </c>
    </row>
    <row r="769" spans="1:4">
      <c r="A769" s="578" t="s">
        <v>2503</v>
      </c>
      <c r="B769" s="578" t="s">
        <v>2504</v>
      </c>
      <c r="C769">
        <v>0</v>
      </c>
      <c r="D769" s="513">
        <v>-34298.47</v>
      </c>
    </row>
    <row r="770" spans="1:4">
      <c r="A770" s="578" t="s">
        <v>2505</v>
      </c>
      <c r="B770" s="578" t="s">
        <v>2506</v>
      </c>
      <c r="C770">
        <v>0</v>
      </c>
      <c r="D770">
        <v>-444.33</v>
      </c>
    </row>
    <row r="771" spans="1:4">
      <c r="A771" s="578" t="s">
        <v>2507</v>
      </c>
      <c r="B771" s="578" t="s">
        <v>2508</v>
      </c>
      <c r="C771">
        <v>0</v>
      </c>
      <c r="D771" s="513">
        <v>-1299.56</v>
      </c>
    </row>
    <row r="772" spans="1:4">
      <c r="A772" s="578" t="s">
        <v>946</v>
      </c>
      <c r="C772">
        <v>0</v>
      </c>
      <c r="D772" s="513">
        <v>-25151391.739999998</v>
      </c>
    </row>
    <row r="773" spans="1:4">
      <c r="A773" s="577" t="s">
        <v>2509</v>
      </c>
      <c r="C773" s="369">
        <v>0</v>
      </c>
      <c r="D773" s="579">
        <v>-25446853.629999999</v>
      </c>
    </row>
    <row r="775" spans="1:4">
      <c r="A775" s="578" t="s">
        <v>2510</v>
      </c>
      <c r="B775" s="578" t="s">
        <v>2511</v>
      </c>
      <c r="C775">
        <v>0</v>
      </c>
      <c r="D775" s="513">
        <v>-15286.4</v>
      </c>
    </row>
    <row r="776" spans="1:4">
      <c r="A776" s="578" t="s">
        <v>2512</v>
      </c>
      <c r="B776" s="578" t="s">
        <v>2513</v>
      </c>
      <c r="C776">
        <v>0</v>
      </c>
      <c r="D776" s="513">
        <v>-5345.2</v>
      </c>
    </row>
    <row r="777" spans="1:4">
      <c r="A777" s="578" t="s">
        <v>950</v>
      </c>
      <c r="C777">
        <v>0</v>
      </c>
      <c r="D777" s="513">
        <v>-20631.599999999999</v>
      </c>
    </row>
    <row r="778" spans="1:4">
      <c r="A778" s="578" t="s">
        <v>2514</v>
      </c>
      <c r="B778" s="578" t="s">
        <v>2515</v>
      </c>
      <c r="C778">
        <v>0</v>
      </c>
      <c r="D778" s="550">
        <v>-323600</v>
      </c>
    </row>
    <row r="779" spans="1:4">
      <c r="A779" s="578" t="s">
        <v>2516</v>
      </c>
      <c r="B779" s="578" t="s">
        <v>2517</v>
      </c>
      <c r="C779">
        <v>0</v>
      </c>
      <c r="D779" s="550">
        <v>-2442100</v>
      </c>
    </row>
    <row r="780" spans="1:4">
      <c r="A780" s="578" t="s">
        <v>952</v>
      </c>
      <c r="C780">
        <v>0</v>
      </c>
      <c r="D780" s="550">
        <v>-2765700</v>
      </c>
    </row>
    <row r="781" spans="1:4">
      <c r="A781" s="578" t="s">
        <v>2518</v>
      </c>
      <c r="B781" s="578" t="s">
        <v>2519</v>
      </c>
      <c r="C781">
        <v>0</v>
      </c>
      <c r="D781" s="513">
        <v>-2065.8200000000002</v>
      </c>
    </row>
    <row r="782" spans="1:4">
      <c r="A782" s="578" t="s">
        <v>956</v>
      </c>
      <c r="C782">
        <v>0</v>
      </c>
      <c r="D782" s="513">
        <v>-2065.8200000000002</v>
      </c>
    </row>
    <row r="783" spans="1:4">
      <c r="A783" s="577" t="s">
        <v>2520</v>
      </c>
      <c r="C783" s="369">
        <v>0</v>
      </c>
      <c r="D783" s="579">
        <v>-2788397.42</v>
      </c>
    </row>
    <row r="785" spans="1:4">
      <c r="A785" s="578" t="s">
        <v>2521</v>
      </c>
      <c r="B785" s="578" t="s">
        <v>2522</v>
      </c>
      <c r="C785">
        <v>0</v>
      </c>
      <c r="D785">
        <v>-435.33</v>
      </c>
    </row>
    <row r="786" spans="1:4">
      <c r="A786" s="578" t="s">
        <v>967</v>
      </c>
      <c r="C786">
        <v>0</v>
      </c>
      <c r="D786">
        <v>-435.33</v>
      </c>
    </row>
    <row r="787" spans="1:4">
      <c r="A787" s="578" t="s">
        <v>2528</v>
      </c>
      <c r="B787" s="578" t="s">
        <v>2529</v>
      </c>
      <c r="C787">
        <v>0</v>
      </c>
      <c r="D787">
        <v>-2.5099999999999998</v>
      </c>
    </row>
    <row r="788" spans="1:4">
      <c r="A788" s="578" t="s">
        <v>977</v>
      </c>
      <c r="C788">
        <v>0</v>
      </c>
      <c r="D788">
        <v>-2.5099999999999998</v>
      </c>
    </row>
    <row r="789" spans="1:4">
      <c r="A789" s="577" t="s">
        <v>2530</v>
      </c>
      <c r="C789" s="369">
        <v>0</v>
      </c>
      <c r="D789" s="369">
        <v>-437.84</v>
      </c>
    </row>
    <row r="791" spans="1:4">
      <c r="A791" s="578" t="s">
        <v>2531</v>
      </c>
      <c r="B791" s="578" t="s">
        <v>987</v>
      </c>
      <c r="C791">
        <v>0</v>
      </c>
      <c r="D791">
        <v>-173.66</v>
      </c>
    </row>
    <row r="792" spans="1:4">
      <c r="A792" s="578" t="s">
        <v>986</v>
      </c>
      <c r="C792">
        <v>0</v>
      </c>
      <c r="D792">
        <v>-173.66</v>
      </c>
    </row>
    <row r="793" spans="1:4">
      <c r="A793" s="577" t="s">
        <v>2532</v>
      </c>
      <c r="C793" s="369">
        <v>0</v>
      </c>
      <c r="D793" s="369">
        <v>-173.66</v>
      </c>
    </row>
    <row r="795" spans="1:4">
      <c r="A795" s="578" t="s">
        <v>2533</v>
      </c>
      <c r="B795" s="578" t="s">
        <v>2534</v>
      </c>
      <c r="C795">
        <v>0</v>
      </c>
      <c r="D795" s="550">
        <v>-600336</v>
      </c>
    </row>
    <row r="796" spans="1:4">
      <c r="A796" s="578" t="s">
        <v>2535</v>
      </c>
      <c r="B796" s="578" t="s">
        <v>2536</v>
      </c>
      <c r="C796">
        <v>0</v>
      </c>
      <c r="D796" s="513">
        <v>-96589.83</v>
      </c>
    </row>
    <row r="797" spans="1:4">
      <c r="A797" s="578" t="s">
        <v>989</v>
      </c>
      <c r="C797">
        <v>0</v>
      </c>
      <c r="D797" s="513">
        <v>-696925.83</v>
      </c>
    </row>
    <row r="798" spans="1:4">
      <c r="A798" s="578" t="s">
        <v>2539</v>
      </c>
      <c r="B798" s="578" t="s">
        <v>2540</v>
      </c>
      <c r="C798">
        <v>0</v>
      </c>
      <c r="D798" s="513">
        <v>-1066926.5</v>
      </c>
    </row>
    <row r="799" spans="1:4">
      <c r="A799" s="578" t="s">
        <v>2541</v>
      </c>
      <c r="B799" s="578" t="s">
        <v>2542</v>
      </c>
      <c r="C799">
        <v>0</v>
      </c>
      <c r="D799" s="513">
        <v>-9223.86</v>
      </c>
    </row>
    <row r="800" spans="1:4">
      <c r="A800" s="578" t="s">
        <v>2543</v>
      </c>
      <c r="B800" s="578" t="s">
        <v>2544</v>
      </c>
      <c r="C800">
        <v>0</v>
      </c>
      <c r="D800" s="513">
        <v>-52269.73</v>
      </c>
    </row>
    <row r="801" spans="1:4">
      <c r="A801" s="578" t="s">
        <v>2545</v>
      </c>
      <c r="B801" s="578" t="s">
        <v>2546</v>
      </c>
      <c r="C801">
        <v>0</v>
      </c>
      <c r="D801" s="513">
        <v>-132897.56</v>
      </c>
    </row>
    <row r="802" spans="1:4">
      <c r="A802" s="578" t="s">
        <v>2547</v>
      </c>
      <c r="B802" s="578" t="s">
        <v>2548</v>
      </c>
      <c r="C802">
        <v>0</v>
      </c>
      <c r="D802" s="513">
        <v>-753077.17</v>
      </c>
    </row>
    <row r="803" spans="1:4">
      <c r="A803" s="578" t="s">
        <v>991</v>
      </c>
      <c r="C803">
        <v>0</v>
      </c>
      <c r="D803" s="513">
        <v>-2014394.82</v>
      </c>
    </row>
    <row r="804" spans="1:4">
      <c r="A804" s="578" t="s">
        <v>2549</v>
      </c>
      <c r="B804" s="578" t="s">
        <v>2550</v>
      </c>
      <c r="C804">
        <v>0</v>
      </c>
      <c r="D804" s="513">
        <v>-631078.67000000004</v>
      </c>
    </row>
    <row r="805" spans="1:4">
      <c r="A805" s="578" t="s">
        <v>993</v>
      </c>
      <c r="C805">
        <v>0</v>
      </c>
      <c r="D805" s="513">
        <v>-631078.67000000004</v>
      </c>
    </row>
    <row r="806" spans="1:4">
      <c r="A806" s="578" t="s">
        <v>2553</v>
      </c>
      <c r="B806" s="578" t="s">
        <v>2554</v>
      </c>
      <c r="C806">
        <v>0</v>
      </c>
      <c r="D806" s="513">
        <v>-32849.74</v>
      </c>
    </row>
    <row r="807" spans="1:4">
      <c r="A807" s="578" t="s">
        <v>1001</v>
      </c>
      <c r="C807">
        <v>0</v>
      </c>
      <c r="D807" s="513">
        <v>-32849.74</v>
      </c>
    </row>
    <row r="808" spans="1:4">
      <c r="A808" s="578" t="s">
        <v>2555</v>
      </c>
      <c r="B808" s="578" t="s">
        <v>2556</v>
      </c>
      <c r="C808">
        <v>0</v>
      </c>
      <c r="D808" s="513">
        <v>-30021.51</v>
      </c>
    </row>
    <row r="809" spans="1:4">
      <c r="A809" s="578" t="s">
        <v>1003</v>
      </c>
      <c r="C809">
        <v>0</v>
      </c>
      <c r="D809" s="513">
        <v>-30021.51</v>
      </c>
    </row>
    <row r="810" spans="1:4">
      <c r="A810" s="577" t="s">
        <v>2557</v>
      </c>
      <c r="C810" s="369">
        <v>0</v>
      </c>
      <c r="D810" s="579">
        <v>-3405270.57</v>
      </c>
    </row>
    <row r="812" spans="1:4">
      <c r="A812" s="577" t="s">
        <v>2558</v>
      </c>
      <c r="C812" s="369">
        <v>0</v>
      </c>
      <c r="D812" s="580">
        <v>-138256875</v>
      </c>
    </row>
    <row r="815" spans="1:4">
      <c r="A815" s="578" t="s">
        <v>2559</v>
      </c>
      <c r="B815" s="578" t="s">
        <v>2560</v>
      </c>
      <c r="C815" s="513">
        <v>990920.16</v>
      </c>
      <c r="D815" s="513">
        <v>990920.16</v>
      </c>
    </row>
    <row r="816" spans="1:4">
      <c r="A816" s="578" t="s">
        <v>2561</v>
      </c>
      <c r="B816" s="578" t="s">
        <v>2562</v>
      </c>
      <c r="C816" s="513">
        <v>5615214.1699999999</v>
      </c>
      <c r="D816" s="513">
        <v>5615214.1699999999</v>
      </c>
    </row>
    <row r="817" spans="1:4">
      <c r="A817" s="578" t="s">
        <v>2563</v>
      </c>
      <c r="C817" s="513">
        <v>6606134.3300000001</v>
      </c>
      <c r="D817" s="513">
        <v>6606134.3300000001</v>
      </c>
    </row>
    <row r="818" spans="1:4">
      <c r="A818" s="578" t="s">
        <v>2564</v>
      </c>
      <c r="B818" s="578" t="s">
        <v>2565</v>
      </c>
      <c r="C818" s="513">
        <v>434589.35</v>
      </c>
      <c r="D818" s="513">
        <v>435243.31</v>
      </c>
    </row>
    <row r="819" spans="1:4">
      <c r="A819" s="578" t="s">
        <v>2566</v>
      </c>
      <c r="C819" s="513">
        <v>434589.35</v>
      </c>
      <c r="D819" s="513">
        <v>435243.31</v>
      </c>
    </row>
    <row r="820" spans="1:4">
      <c r="A820" s="578" t="s">
        <v>2567</v>
      </c>
      <c r="B820" s="578" t="s">
        <v>2568</v>
      </c>
      <c r="C820" s="513">
        <v>1370.25</v>
      </c>
      <c r="D820" s="513">
        <v>1370.25</v>
      </c>
    </row>
    <row r="821" spans="1:4">
      <c r="A821" s="578" t="s">
        <v>2569</v>
      </c>
      <c r="B821" s="578" t="s">
        <v>2570</v>
      </c>
      <c r="C821" s="513">
        <v>16801.95</v>
      </c>
      <c r="D821" s="513">
        <v>16220.95</v>
      </c>
    </row>
    <row r="822" spans="1:4">
      <c r="A822" s="578" t="s">
        <v>2571</v>
      </c>
      <c r="B822" s="578" t="s">
        <v>2572</v>
      </c>
      <c r="C822" s="513">
        <v>2321.1799999999998</v>
      </c>
      <c r="D822" s="513">
        <v>2102.2800000000002</v>
      </c>
    </row>
    <row r="823" spans="1:4">
      <c r="A823" s="578" t="s">
        <v>2573</v>
      </c>
      <c r="B823" s="578" t="s">
        <v>2574</v>
      </c>
      <c r="C823" s="513">
        <v>1639.55</v>
      </c>
      <c r="D823" s="513">
        <v>1464.55</v>
      </c>
    </row>
    <row r="824" spans="1:4">
      <c r="A824" s="578" t="s">
        <v>2575</v>
      </c>
      <c r="C824" s="513">
        <v>22132.93</v>
      </c>
      <c r="D824" s="513">
        <v>21158.03</v>
      </c>
    </row>
    <row r="825" spans="1:4">
      <c r="A825" s="578" t="s">
        <v>2576</v>
      </c>
      <c r="B825" s="578" t="s">
        <v>2577</v>
      </c>
      <c r="C825" s="513">
        <v>10750755.189999999</v>
      </c>
      <c r="D825" s="513">
        <v>11373603.800000001</v>
      </c>
    </row>
    <row r="826" spans="1:4">
      <c r="A826" s="578" t="s">
        <v>2578</v>
      </c>
      <c r="B826" s="578" t="s">
        <v>2579</v>
      </c>
      <c r="C826" s="513">
        <v>71256.539999999994</v>
      </c>
      <c r="D826" s="513">
        <v>74228.38</v>
      </c>
    </row>
    <row r="827" spans="1:4">
      <c r="A827" s="578" t="s">
        <v>2580</v>
      </c>
      <c r="B827" s="578" t="s">
        <v>2581</v>
      </c>
      <c r="C827" s="513">
        <v>199487.38</v>
      </c>
      <c r="D827" s="513">
        <v>204803.8</v>
      </c>
    </row>
    <row r="828" spans="1:4">
      <c r="A828" s="578" t="s">
        <v>2582</v>
      </c>
      <c r="B828" s="578" t="s">
        <v>2583</v>
      </c>
      <c r="C828" s="513">
        <v>9272304.6500000004</v>
      </c>
      <c r="D828" s="513">
        <v>9942811.0700000003</v>
      </c>
    </row>
    <row r="829" spans="1:4">
      <c r="A829" s="578" t="s">
        <v>2584</v>
      </c>
      <c r="C829" s="513">
        <v>20293803.760000002</v>
      </c>
      <c r="D829" s="513">
        <v>21595447.050000001</v>
      </c>
    </row>
    <row r="830" spans="1:4">
      <c r="A830" s="578" t="s">
        <v>2696</v>
      </c>
      <c r="B830" s="578" t="s">
        <v>1180</v>
      </c>
      <c r="C830">
        <v>0</v>
      </c>
      <c r="D830">
        <v>0</v>
      </c>
    </row>
    <row r="831" spans="1:4">
      <c r="A831" s="578" t="s">
        <v>2587</v>
      </c>
      <c r="C831">
        <v>0</v>
      </c>
      <c r="D831">
        <v>0</v>
      </c>
    </row>
    <row r="832" spans="1:4">
      <c r="A832" s="577" t="s">
        <v>2588</v>
      </c>
      <c r="C832" s="579">
        <v>27356660.370000001</v>
      </c>
      <c r="D832" s="579">
        <v>28657982.719999999</v>
      </c>
    </row>
    <row r="834" spans="1:4">
      <c r="A834" s="578" t="s">
        <v>2589</v>
      </c>
      <c r="B834" s="578" t="s">
        <v>2590</v>
      </c>
      <c r="C834" s="513">
        <v>2622837.2999999998</v>
      </c>
      <c r="D834" s="513">
        <v>2622837.2999999998</v>
      </c>
    </row>
    <row r="835" spans="1:4">
      <c r="A835" s="578" t="s">
        <v>2591</v>
      </c>
      <c r="B835" s="578" t="s">
        <v>2592</v>
      </c>
      <c r="C835" s="513">
        <v>-2622837.2999999998</v>
      </c>
      <c r="D835" s="513">
        <v>-2622837.2999999998</v>
      </c>
    </row>
    <row r="836" spans="1:4">
      <c r="A836" s="578" t="s">
        <v>2593</v>
      </c>
      <c r="B836" s="578" t="s">
        <v>2594</v>
      </c>
      <c r="C836" s="513">
        <v>93027.41</v>
      </c>
      <c r="D836" s="513">
        <v>93372.21</v>
      </c>
    </row>
    <row r="837" spans="1:4">
      <c r="A837" s="578" t="s">
        <v>2595</v>
      </c>
      <c r="C837" s="513">
        <v>93027.41</v>
      </c>
      <c r="D837" s="513">
        <v>93372.21</v>
      </c>
    </row>
    <row r="838" spans="1:4">
      <c r="A838" s="577" t="s">
        <v>2596</v>
      </c>
      <c r="C838" s="579">
        <v>93027.41</v>
      </c>
      <c r="D838" s="579">
        <v>93372.21</v>
      </c>
    </row>
    <row r="840" spans="1:4">
      <c r="A840" s="578" t="s">
        <v>2597</v>
      </c>
      <c r="B840" s="578" t="s">
        <v>2598</v>
      </c>
      <c r="C840" s="513">
        <v>21570.14</v>
      </c>
      <c r="D840" s="513">
        <v>26146.94</v>
      </c>
    </row>
    <row r="841" spans="1:4">
      <c r="A841" s="578" t="s">
        <v>2599</v>
      </c>
      <c r="B841" s="578" t="s">
        <v>2600</v>
      </c>
      <c r="C841" s="513">
        <v>27151.22</v>
      </c>
      <c r="D841" s="513">
        <v>25956.34</v>
      </c>
    </row>
    <row r="842" spans="1:4">
      <c r="A842" s="578" t="s">
        <v>2601</v>
      </c>
      <c r="C842" s="513">
        <v>48721.36</v>
      </c>
      <c r="D842" s="513">
        <v>52103.28</v>
      </c>
    </row>
    <row r="843" spans="1:4">
      <c r="A843" s="577" t="s">
        <v>2602</v>
      </c>
      <c r="C843" s="579">
        <v>48721.36</v>
      </c>
      <c r="D843" s="579">
        <v>52103.28</v>
      </c>
    </row>
    <row r="845" spans="1:4">
      <c r="A845" s="578" t="s">
        <v>2603</v>
      </c>
      <c r="B845" s="578" t="s">
        <v>2604</v>
      </c>
      <c r="C845" s="513">
        <v>-27498409.140000001</v>
      </c>
      <c r="D845" s="513">
        <v>-28803458.210000001</v>
      </c>
    </row>
    <row r="846" spans="1:4">
      <c r="A846" s="578" t="s">
        <v>2605</v>
      </c>
      <c r="C846" s="513">
        <v>-27498409.140000001</v>
      </c>
      <c r="D846" s="513">
        <v>-28803458.210000001</v>
      </c>
    </row>
    <row r="847" spans="1:4">
      <c r="A847" s="577" t="s">
        <v>2606</v>
      </c>
      <c r="C847" s="579">
        <v>-27498409.140000001</v>
      </c>
      <c r="D847" s="579">
        <v>-28803458.210000001</v>
      </c>
    </row>
    <row r="849" spans="1:4">
      <c r="A849" s="577" t="s">
        <v>2607</v>
      </c>
      <c r="C849" s="369">
        <v>0</v>
      </c>
      <c r="D849" s="369">
        <v>0</v>
      </c>
    </row>
    <row r="852" spans="1:4">
      <c r="A852" s="578" t="s">
        <v>2608</v>
      </c>
      <c r="B852" s="578" t="s">
        <v>2609</v>
      </c>
      <c r="C852" s="513">
        <v>-424390.65</v>
      </c>
      <c r="D852" s="513">
        <v>-459795.7</v>
      </c>
    </row>
    <row r="853" spans="1:4">
      <c r="A853" s="578" t="s">
        <v>2610</v>
      </c>
      <c r="B853" s="578" t="s">
        <v>2611</v>
      </c>
      <c r="C853" s="513">
        <v>-121605.32</v>
      </c>
      <c r="D853" s="513">
        <v>-137483.84</v>
      </c>
    </row>
    <row r="854" spans="1:4">
      <c r="A854" s="578" t="s">
        <v>2612</v>
      </c>
      <c r="B854" s="578" t="s">
        <v>2613</v>
      </c>
      <c r="C854" s="513">
        <v>-52298.82</v>
      </c>
      <c r="D854" s="513">
        <v>-63034.45</v>
      </c>
    </row>
    <row r="855" spans="1:4">
      <c r="A855" s="578" t="s">
        <v>2614</v>
      </c>
      <c r="B855" s="578" t="s">
        <v>2615</v>
      </c>
      <c r="C855" s="513">
        <v>-1452812.14</v>
      </c>
      <c r="D855" s="513">
        <v>-1593664.07</v>
      </c>
    </row>
    <row r="856" spans="1:4">
      <c r="A856" s="578" t="s">
        <v>2616</v>
      </c>
      <c r="B856" s="578" t="s">
        <v>2617</v>
      </c>
      <c r="C856" s="513">
        <v>-2021557.73</v>
      </c>
      <c r="D856" s="513">
        <v>-2021557.73</v>
      </c>
    </row>
    <row r="857" spans="1:4">
      <c r="A857" s="578" t="s">
        <v>2618</v>
      </c>
      <c r="B857" s="578" t="s">
        <v>2619</v>
      </c>
      <c r="C857" s="513">
        <v>-12088963.800000001</v>
      </c>
      <c r="D857" s="513">
        <v>-12088963.800000001</v>
      </c>
    </row>
    <row r="858" spans="1:4">
      <c r="A858" s="578" t="s">
        <v>2620</v>
      </c>
      <c r="B858" s="578" t="s">
        <v>2621</v>
      </c>
      <c r="C858" s="513">
        <v>-11175744.99</v>
      </c>
      <c r="D858" s="513">
        <v>-12236447.77</v>
      </c>
    </row>
    <row r="859" spans="1:4">
      <c r="A859" s="578" t="s">
        <v>2622</v>
      </c>
      <c r="B859" s="578" t="s">
        <v>2623</v>
      </c>
      <c r="C859">
        <v>0</v>
      </c>
      <c r="D859" s="513">
        <v>-12346470.550000001</v>
      </c>
    </row>
    <row r="860" spans="1:4">
      <c r="A860" s="578" t="s">
        <v>2626</v>
      </c>
      <c r="B860" s="578" t="s">
        <v>2627</v>
      </c>
      <c r="C860" s="513">
        <v>-608873.73</v>
      </c>
      <c r="D860" s="513">
        <v>-608873.73</v>
      </c>
    </row>
    <row r="861" spans="1:4">
      <c r="A861" s="578" t="s">
        <v>2628</v>
      </c>
      <c r="B861" s="578" t="s">
        <v>2629</v>
      </c>
      <c r="C861" s="513">
        <v>27946247.18</v>
      </c>
      <c r="D861" s="513">
        <v>41556291.640000001</v>
      </c>
    </row>
    <row r="862" spans="1:4">
      <c r="A862" s="578" t="s">
        <v>2630</v>
      </c>
      <c r="C862">
        <v>0</v>
      </c>
      <c r="D862">
        <v>0</v>
      </c>
    </row>
    <row r="863" spans="1:4">
      <c r="A863" s="577" t="s">
        <v>2631</v>
      </c>
      <c r="C863" s="369">
        <v>0</v>
      </c>
      <c r="D863" s="369">
        <v>0</v>
      </c>
    </row>
    <row r="865" spans="1:4">
      <c r="A865" s="577" t="s">
        <v>2632</v>
      </c>
      <c r="C865" s="369">
        <v>0</v>
      </c>
      <c r="D865" s="369">
        <v>0</v>
      </c>
    </row>
    <row r="868" spans="1:4">
      <c r="A868" s="578" t="s">
        <v>2633</v>
      </c>
      <c r="B868" s="578" t="s">
        <v>2634</v>
      </c>
      <c r="C868">
        <v>0</v>
      </c>
      <c r="D868" s="513">
        <v>-20517725.129999999</v>
      </c>
    </row>
    <row r="869" spans="1:4">
      <c r="A869" s="578" t="s">
        <v>2635</v>
      </c>
      <c r="B869" s="578" t="s">
        <v>2636</v>
      </c>
      <c r="C869">
        <v>0</v>
      </c>
      <c r="D869" s="513">
        <v>-492411.63</v>
      </c>
    </row>
    <row r="870" spans="1:4">
      <c r="A870" s="578" t="s">
        <v>2697</v>
      </c>
      <c r="B870" s="578" t="s">
        <v>2698</v>
      </c>
      <c r="C870">
        <v>0</v>
      </c>
      <c r="D870">
        <v>0</v>
      </c>
    </row>
    <row r="871" spans="1:4">
      <c r="A871" s="578" t="s">
        <v>2637</v>
      </c>
      <c r="B871" s="578" t="s">
        <v>2638</v>
      </c>
      <c r="C871">
        <v>0</v>
      </c>
      <c r="D871" s="513">
        <v>21010136.760000002</v>
      </c>
    </row>
    <row r="872" spans="1:4">
      <c r="A872" s="578" t="s">
        <v>2639</v>
      </c>
      <c r="C872">
        <v>0</v>
      </c>
      <c r="D872">
        <v>0</v>
      </c>
    </row>
    <row r="873" spans="1:4">
      <c r="A873" s="577" t="s">
        <v>2640</v>
      </c>
      <c r="C873" s="369">
        <v>0</v>
      </c>
      <c r="D873" s="369">
        <v>0</v>
      </c>
    </row>
    <row r="874" spans="1:4">
      <c r="A874" s="577" t="s">
        <v>2641</v>
      </c>
      <c r="C874" s="369">
        <v>0</v>
      </c>
      <c r="D874" s="369">
        <v>0</v>
      </c>
    </row>
    <row r="876" spans="1:4">
      <c r="A876" s="577" t="s">
        <v>1158</v>
      </c>
      <c r="C876" s="369">
        <v>0</v>
      </c>
      <c r="D876" s="369"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F8F3E-1B72-4AE1-9F56-9D689951D45D}">
  <sheetPr>
    <tabColor theme="0"/>
  </sheetPr>
  <dimension ref="A1:E907"/>
  <sheetViews>
    <sheetView workbookViewId="0"/>
  </sheetViews>
  <sheetFormatPr baseColWidth="10" defaultColWidth="8.83203125" defaultRowHeight="15"/>
  <cols>
    <col min="1" max="1" width="20.6640625" bestFit="1" customWidth="1"/>
    <col min="2" max="2" width="31.5" bestFit="1" customWidth="1"/>
    <col min="3" max="3" width="20.5" bestFit="1" customWidth="1"/>
    <col min="4" max="4" width="22.33203125" bestFit="1" customWidth="1"/>
    <col min="5" max="5" width="13.6640625" customWidth="1"/>
  </cols>
  <sheetData>
    <row r="1" spans="1:5">
      <c r="A1" s="577" t="s">
        <v>1206</v>
      </c>
      <c r="B1" s="577" t="s">
        <v>1207</v>
      </c>
      <c r="C1" s="577" t="s">
        <v>1208</v>
      </c>
      <c r="D1" s="577" t="s">
        <v>1209</v>
      </c>
    </row>
    <row r="2" spans="1:5">
      <c r="A2" s="578" t="s">
        <v>1210</v>
      </c>
      <c r="B2" s="578" t="s">
        <v>1211</v>
      </c>
      <c r="C2" s="513">
        <v>920788.6</v>
      </c>
      <c r="D2" s="513">
        <v>953403.85</v>
      </c>
      <c r="E2">
        <f>VLOOKUP(A2,Ucto_HK_summ!$A$2:$G$963,7,FALSE)</f>
        <v>953403.85</v>
      </c>
    </row>
    <row r="3" spans="1:5">
      <c r="A3" s="578" t="s">
        <v>1212</v>
      </c>
      <c r="C3" s="513">
        <v>920788.6</v>
      </c>
      <c r="D3" s="513">
        <v>953403.85</v>
      </c>
      <c r="E3">
        <f>VLOOKUP(A3,Ucto_HK_summ!$A$2:$G$963,7,FALSE)</f>
        <v>953403.85</v>
      </c>
    </row>
    <row r="4" spans="1:5">
      <c r="A4" s="577" t="s">
        <v>1213</v>
      </c>
      <c r="C4" s="579">
        <v>920788.6</v>
      </c>
      <c r="D4" s="579">
        <v>953403.85</v>
      </c>
      <c r="E4">
        <f>VLOOKUP(A4,Ucto_HK_summ!$A$2:$G$963,7,FALSE)</f>
        <v>953403.85</v>
      </c>
    </row>
    <row r="6" spans="1:5">
      <c r="A6" s="578" t="s">
        <v>1214</v>
      </c>
      <c r="B6" s="578" t="s">
        <v>1215</v>
      </c>
      <c r="C6" s="513">
        <v>33010936.690000001</v>
      </c>
      <c r="D6" s="513">
        <v>33023206.77</v>
      </c>
      <c r="E6">
        <f>VLOOKUP(A6,Ucto_HK_summ!$A$2:$G$963,7,FALSE)</f>
        <v>33023206.77</v>
      </c>
    </row>
    <row r="7" spans="1:5">
      <c r="A7" s="578" t="s">
        <v>1216</v>
      </c>
      <c r="B7" s="578" t="s">
        <v>1217</v>
      </c>
      <c r="C7" s="513">
        <v>32984692.449999999</v>
      </c>
      <c r="D7" s="513">
        <v>33779823.770000003</v>
      </c>
      <c r="E7">
        <f>VLOOKUP(A7,Ucto_HK_summ!$A$2:$G$963,7,FALSE)</f>
        <v>33779823.770000003</v>
      </c>
    </row>
    <row r="8" spans="1:5">
      <c r="A8" s="578" t="s">
        <v>1218</v>
      </c>
      <c r="C8" s="513">
        <v>65995629.140000001</v>
      </c>
      <c r="D8" s="513">
        <v>66803030.539999999</v>
      </c>
      <c r="E8">
        <f>VLOOKUP(A8,Ucto_HK_summ!$A$2:$G$963,7,FALSE)</f>
        <v>66803030.539999999</v>
      </c>
    </row>
    <row r="9" spans="1:5">
      <c r="A9" s="578" t="s">
        <v>1219</v>
      </c>
      <c r="B9" s="578" t="s">
        <v>1220</v>
      </c>
      <c r="C9" s="513">
        <v>74674288.409999996</v>
      </c>
      <c r="D9" s="513">
        <v>76283712.549999997</v>
      </c>
      <c r="E9">
        <f>VLOOKUP(A9,Ucto_HK_summ!$A$2:$G$963,7,FALSE)</f>
        <v>76283712.549999997</v>
      </c>
    </row>
    <row r="10" spans="1:5">
      <c r="A10" s="578" t="s">
        <v>1221</v>
      </c>
      <c r="C10" s="513">
        <v>74674288.409999996</v>
      </c>
      <c r="D10" s="513">
        <v>76283712.549999997</v>
      </c>
      <c r="E10">
        <f>VLOOKUP(A10,Ucto_HK_summ!$A$2:$G$963,7,FALSE)</f>
        <v>76283712.549999997</v>
      </c>
    </row>
    <row r="11" spans="1:5">
      <c r="A11" s="578" t="s">
        <v>1222</v>
      </c>
      <c r="B11" s="578" t="s">
        <v>1223</v>
      </c>
      <c r="C11" s="513">
        <v>639596.89</v>
      </c>
      <c r="D11" s="513">
        <v>552522.13</v>
      </c>
      <c r="E11">
        <f>VLOOKUP(A11,Ucto_HK_summ!$A$2:$G$963,7,FALSE)</f>
        <v>552522.13</v>
      </c>
    </row>
    <row r="12" spans="1:5">
      <c r="A12" s="578" t="s">
        <v>1224</v>
      </c>
      <c r="C12" s="513">
        <v>639596.89</v>
      </c>
      <c r="D12" s="513">
        <v>552522.13</v>
      </c>
      <c r="E12">
        <f>VLOOKUP(A12,Ucto_HK_summ!$A$2:$G$963,7,FALSE)</f>
        <v>552522.13</v>
      </c>
    </row>
    <row r="13" spans="1:5">
      <c r="A13" s="578" t="s">
        <v>1225</v>
      </c>
      <c r="B13" s="578" t="s">
        <v>1226</v>
      </c>
      <c r="C13" s="513">
        <v>288686.67</v>
      </c>
      <c r="D13" s="513">
        <v>288686.67</v>
      </c>
      <c r="E13">
        <f>VLOOKUP(A13,Ucto_HK_summ!$A$2:$G$963,7,FALSE)</f>
        <v>288686.67</v>
      </c>
    </row>
    <row r="14" spans="1:5">
      <c r="A14" s="578" t="s">
        <v>1227</v>
      </c>
      <c r="B14" s="578" t="s">
        <v>1228</v>
      </c>
      <c r="C14" s="513">
        <v>8634287.2899999991</v>
      </c>
      <c r="D14" s="513">
        <v>8800347.3000000007</v>
      </c>
      <c r="E14">
        <f>VLOOKUP(A14,Ucto_HK_summ!$A$2:$G$963,7,FALSE)</f>
        <v>8800347.3000000007</v>
      </c>
    </row>
    <row r="15" spans="1:5">
      <c r="A15" s="578" t="s">
        <v>1229</v>
      </c>
      <c r="B15" s="578" t="s">
        <v>1230</v>
      </c>
      <c r="C15" s="513">
        <v>297460.92</v>
      </c>
      <c r="D15" s="513">
        <v>469000.92</v>
      </c>
      <c r="E15">
        <f>VLOOKUP(A15,Ucto_HK_summ!$A$2:$G$963,7,FALSE)</f>
        <v>469000.92</v>
      </c>
    </row>
    <row r="16" spans="1:5">
      <c r="A16" s="578" t="s">
        <v>1231</v>
      </c>
      <c r="C16" s="513">
        <v>9220434.8800000008</v>
      </c>
      <c r="D16" s="513">
        <v>9558034.8900000006</v>
      </c>
      <c r="E16">
        <f>VLOOKUP(A16,Ucto_HK_summ!$A$2:$G$963,7,FALSE)</f>
        <v>9558034.8900000006</v>
      </c>
    </row>
    <row r="17" spans="1:5">
      <c r="A17" s="577" t="s">
        <v>1232</v>
      </c>
      <c r="C17" s="579">
        <v>150529949.31999999</v>
      </c>
      <c r="D17" s="579">
        <v>153197300.11000001</v>
      </c>
      <c r="E17">
        <f>VLOOKUP(A17,Ucto_HK_summ!$A$2:$G$963,7,FALSE)</f>
        <v>153197300.11000001</v>
      </c>
    </row>
    <row r="19" spans="1:5">
      <c r="A19" s="578" t="s">
        <v>1233</v>
      </c>
      <c r="B19" s="578" t="s">
        <v>1234</v>
      </c>
      <c r="C19" s="513">
        <v>7950047.3399999999</v>
      </c>
      <c r="D19" s="513">
        <v>7945421.4400000004</v>
      </c>
      <c r="E19">
        <f>VLOOKUP(A19,Ucto_HK_summ!$A$2:$G$963,7,FALSE)</f>
        <v>7945421.4400000004</v>
      </c>
    </row>
    <row r="20" spans="1:5">
      <c r="A20" s="578" t="s">
        <v>1235</v>
      </c>
      <c r="B20" s="578" t="s">
        <v>1236</v>
      </c>
      <c r="C20" s="513">
        <v>3587652.16</v>
      </c>
      <c r="D20" s="513">
        <v>3587652.16</v>
      </c>
      <c r="E20">
        <f>VLOOKUP(A20,Ucto_HK_summ!$A$2:$G$963,7,FALSE)</f>
        <v>3587652.16</v>
      </c>
    </row>
    <row r="21" spans="1:5">
      <c r="A21" s="578" t="s">
        <v>1237</v>
      </c>
      <c r="C21" s="513">
        <v>11537699.5</v>
      </c>
      <c r="D21" s="513">
        <v>11533073.6</v>
      </c>
      <c r="E21">
        <f>VLOOKUP(A21,Ucto_HK_summ!$A$2:$G$963,7,FALSE)</f>
        <v>11533073.6</v>
      </c>
    </row>
    <row r="22" spans="1:5">
      <c r="A22" s="578" t="s">
        <v>1238</v>
      </c>
      <c r="B22" s="578" t="s">
        <v>1239</v>
      </c>
      <c r="C22" s="513">
        <v>43644.53</v>
      </c>
      <c r="D22" s="513">
        <v>43644.53</v>
      </c>
      <c r="E22">
        <f>VLOOKUP(A22,Ucto_HK_summ!$A$2:$G$963,7,FALSE)</f>
        <v>43644.53</v>
      </c>
    </row>
    <row r="23" spans="1:5">
      <c r="A23" s="578" t="s">
        <v>1240</v>
      </c>
      <c r="C23" s="513">
        <v>43644.53</v>
      </c>
      <c r="D23" s="513">
        <v>43644.53</v>
      </c>
      <c r="E23">
        <f>VLOOKUP(A23,Ucto_HK_summ!$A$2:$G$963,7,FALSE)</f>
        <v>43644.53</v>
      </c>
    </row>
    <row r="24" spans="1:5">
      <c r="A24" s="577" t="s">
        <v>1241</v>
      </c>
      <c r="C24" s="579">
        <v>11581344.029999999</v>
      </c>
      <c r="D24" s="579">
        <v>11576718.130000001</v>
      </c>
      <c r="E24">
        <f>VLOOKUP(A24,Ucto_HK_summ!$A$2:$G$963,7,FALSE)</f>
        <v>11576718.130000001</v>
      </c>
    </row>
    <row r="26" spans="1:5">
      <c r="A26" s="578" t="s">
        <v>1242</v>
      </c>
      <c r="B26" s="578" t="s">
        <v>1243</v>
      </c>
      <c r="C26">
        <v>0</v>
      </c>
      <c r="D26">
        <v>0</v>
      </c>
      <c r="E26">
        <f>VLOOKUP(A26,Ucto_HK_summ!$A$2:$G$963,7,FALSE)</f>
        <v>0</v>
      </c>
    </row>
    <row r="27" spans="1:5">
      <c r="A27" s="578" t="s">
        <v>1244</v>
      </c>
      <c r="C27">
        <v>0</v>
      </c>
      <c r="D27">
        <v>0</v>
      </c>
      <c r="E27">
        <f>VLOOKUP(A27,Ucto_HK_summ!$A$2:$G$963,7,FALSE)</f>
        <v>0</v>
      </c>
    </row>
    <row r="28" spans="1:5">
      <c r="A28" s="578" t="s">
        <v>1245</v>
      </c>
      <c r="B28" s="578" t="s">
        <v>1246</v>
      </c>
      <c r="C28" s="513">
        <v>205737.68</v>
      </c>
      <c r="D28" s="550">
        <v>126840</v>
      </c>
      <c r="E28">
        <f>VLOOKUP(A28,Ucto_HK_summ!$A$2:$G$963,7,FALSE)</f>
        <v>126840</v>
      </c>
    </row>
    <row r="29" spans="1:5">
      <c r="A29" s="578" t="s">
        <v>1247</v>
      </c>
      <c r="B29" s="578" t="s">
        <v>1248</v>
      </c>
      <c r="C29" s="513">
        <v>3538742.39</v>
      </c>
      <c r="D29" s="513">
        <v>4459797.7300000004</v>
      </c>
      <c r="E29">
        <f>VLOOKUP(A29,Ucto_HK_summ!$A$2:$G$963,7,FALSE)</f>
        <v>4459797.7300000004</v>
      </c>
    </row>
    <row r="30" spans="1:5">
      <c r="A30" s="578" t="s">
        <v>1249</v>
      </c>
      <c r="B30" s="578" t="s">
        <v>1250</v>
      </c>
      <c r="C30" s="513">
        <v>293594.8</v>
      </c>
      <c r="D30" s="513">
        <v>436414.71999999997</v>
      </c>
      <c r="E30">
        <f>VLOOKUP(A30,Ucto_HK_summ!$A$2:$G$963,7,FALSE)</f>
        <v>436414.71999999997</v>
      </c>
    </row>
    <row r="31" spans="1:5">
      <c r="A31" s="578" t="s">
        <v>1251</v>
      </c>
      <c r="C31" s="513">
        <v>4038074.87</v>
      </c>
      <c r="D31" s="513">
        <v>5023052.45</v>
      </c>
      <c r="E31">
        <f>VLOOKUP(A31,Ucto_HK_summ!$A$2:$G$963,7,FALSE)</f>
        <v>5023052.45</v>
      </c>
    </row>
    <row r="32" spans="1:5">
      <c r="A32" s="577" t="s">
        <v>1252</v>
      </c>
      <c r="C32" s="579">
        <v>4038074.87</v>
      </c>
      <c r="D32" s="579">
        <v>5023052.45</v>
      </c>
      <c r="E32">
        <f>VLOOKUP(A32,Ucto_HK_summ!$A$2:$G$963,7,FALSE)</f>
        <v>5023052.45</v>
      </c>
    </row>
    <row r="34" spans="1:5">
      <c r="A34" s="578" t="s">
        <v>1253</v>
      </c>
      <c r="B34" s="578" t="s">
        <v>1254</v>
      </c>
      <c r="C34" s="513">
        <v>13359.6</v>
      </c>
      <c r="D34">
        <v>0</v>
      </c>
      <c r="E34">
        <f>VLOOKUP(A34,Ucto_HK_summ!$A$2:$G$963,7,FALSE)</f>
        <v>0</v>
      </c>
    </row>
    <row r="35" spans="1:5">
      <c r="A35" s="578" t="s">
        <v>1255</v>
      </c>
      <c r="C35" s="513">
        <v>13359.6</v>
      </c>
      <c r="D35">
        <v>0</v>
      </c>
      <c r="E35">
        <f>VLOOKUP(A35,Ucto_HK_summ!$A$2:$G$963,7,FALSE)</f>
        <v>0</v>
      </c>
    </row>
    <row r="36" spans="1:5">
      <c r="A36" s="577" t="s">
        <v>1256</v>
      </c>
      <c r="C36" s="579">
        <v>13359.6</v>
      </c>
      <c r="D36" s="369">
        <v>0</v>
      </c>
      <c r="E36">
        <f>VLOOKUP(A36,Ucto_HK_summ!$A$2:$G$963,7,FALSE)</f>
        <v>0</v>
      </c>
    </row>
    <row r="38" spans="1:5">
      <c r="A38" s="578" t="s">
        <v>1257</v>
      </c>
      <c r="B38" s="578" t="s">
        <v>1258</v>
      </c>
      <c r="C38" s="513">
        <v>-877769.74</v>
      </c>
      <c r="D38" s="513">
        <v>-928446.37</v>
      </c>
      <c r="E38">
        <f>VLOOKUP(A38,Ucto_HK_summ!$A$2:$G$963,7,FALSE)</f>
        <v>-928446.37</v>
      </c>
    </row>
    <row r="39" spans="1:5">
      <c r="A39" s="578" t="s">
        <v>1259</v>
      </c>
      <c r="C39" s="513">
        <v>-877769.74</v>
      </c>
      <c r="D39" s="513">
        <v>-928446.37</v>
      </c>
      <c r="E39">
        <f>VLOOKUP(A39,Ucto_HK_summ!$A$2:$G$963,7,FALSE)</f>
        <v>-928446.37</v>
      </c>
    </row>
    <row r="40" spans="1:5">
      <c r="A40" s="577" t="s">
        <v>1260</v>
      </c>
      <c r="C40" s="579">
        <v>-877769.74</v>
      </c>
      <c r="D40" s="579">
        <v>-928446.37</v>
      </c>
      <c r="E40">
        <f>VLOOKUP(A40,Ucto_HK_summ!$A$2:$G$963,7,FALSE)</f>
        <v>-928446.37</v>
      </c>
    </row>
    <row r="42" spans="1:5">
      <c r="A42" s="578" t="s">
        <v>1261</v>
      </c>
      <c r="B42" s="578" t="s">
        <v>1262</v>
      </c>
      <c r="C42" s="513">
        <v>-39219639.920000002</v>
      </c>
      <c r="D42" s="513">
        <v>-40585111.850000001</v>
      </c>
      <c r="E42">
        <f>VLOOKUP(A42,Ucto_HK_summ!$A$2:$G$963,7,FALSE)</f>
        <v>-40585111.850000001</v>
      </c>
    </row>
    <row r="43" spans="1:5">
      <c r="A43" s="578" t="s">
        <v>1263</v>
      </c>
      <c r="C43" s="513">
        <v>-39219639.920000002</v>
      </c>
      <c r="D43" s="513">
        <v>-40585111.850000001</v>
      </c>
      <c r="E43">
        <f>VLOOKUP(A43,Ucto_HK_summ!$A$2:$G$963,7,FALSE)</f>
        <v>-40585111.850000001</v>
      </c>
    </row>
    <row r="44" spans="1:5">
      <c r="A44" s="578" t="s">
        <v>1264</v>
      </c>
      <c r="B44" s="578" t="s">
        <v>1265</v>
      </c>
      <c r="C44" s="513">
        <v>-59388836.590000004</v>
      </c>
      <c r="D44" s="513">
        <v>-57373471.280000001</v>
      </c>
      <c r="E44">
        <f>VLOOKUP(A44,Ucto_HK_summ!$A$2:$G$963,7,FALSE)</f>
        <v>-57373471.280000001</v>
      </c>
    </row>
    <row r="45" spans="1:5">
      <c r="A45" s="578" t="s">
        <v>1266</v>
      </c>
      <c r="C45" s="513">
        <v>-59388836.590000004</v>
      </c>
      <c r="D45" s="513">
        <v>-57373471.280000001</v>
      </c>
      <c r="E45">
        <f>VLOOKUP(A45,Ucto_HK_summ!$A$2:$G$963,7,FALSE)</f>
        <v>-57373471.280000001</v>
      </c>
    </row>
    <row r="46" spans="1:5">
      <c r="A46" s="578" t="s">
        <v>1267</v>
      </c>
      <c r="B46" s="578" t="s">
        <v>1268</v>
      </c>
      <c r="C46" s="513">
        <v>-566669.97</v>
      </c>
      <c r="D46" s="513">
        <v>-493083.81</v>
      </c>
      <c r="E46">
        <f>VLOOKUP(A46,Ucto_HK_summ!$A$2:$G$963,7,FALSE)</f>
        <v>-493083.81</v>
      </c>
    </row>
    <row r="47" spans="1:5">
      <c r="A47" s="578" t="s">
        <v>1269</v>
      </c>
      <c r="C47" s="513">
        <v>-566669.97</v>
      </c>
      <c r="D47" s="513">
        <v>-493083.81</v>
      </c>
      <c r="E47">
        <f>VLOOKUP(A47,Ucto_HK_summ!$A$2:$G$963,7,FALSE)</f>
        <v>-493083.81</v>
      </c>
    </row>
    <row r="48" spans="1:5">
      <c r="A48" s="578" t="s">
        <v>1270</v>
      </c>
      <c r="B48" s="578" t="s">
        <v>1271</v>
      </c>
      <c r="C48" s="513">
        <v>-2352006.25</v>
      </c>
      <c r="D48" s="513">
        <v>-2359914.0099999998</v>
      </c>
      <c r="E48">
        <f>VLOOKUP(A48,Ucto_HK_summ!$A$2:$G$963,7,FALSE)</f>
        <v>-2359914.0099999998</v>
      </c>
    </row>
    <row r="49" spans="1:5">
      <c r="A49" s="578" t="s">
        <v>1272</v>
      </c>
      <c r="B49" s="578" t="s">
        <v>1273</v>
      </c>
      <c r="C49" s="513">
        <v>-5179367.8899999997</v>
      </c>
      <c r="D49" s="513">
        <v>-5302192.8899999997</v>
      </c>
      <c r="E49">
        <f>VLOOKUP(A49,Ucto_HK_summ!$A$2:$G$963,7,FALSE)</f>
        <v>-5302192.8899999997</v>
      </c>
    </row>
    <row r="50" spans="1:5">
      <c r="A50" s="578" t="s">
        <v>1274</v>
      </c>
      <c r="B50" s="578" t="s">
        <v>1275</v>
      </c>
      <c r="C50" s="550">
        <v>-13926</v>
      </c>
      <c r="D50" s="550">
        <v>-24729</v>
      </c>
      <c r="E50">
        <f>VLOOKUP(A50,Ucto_HK_summ!$A$2:$G$963,7,FALSE)</f>
        <v>-24729</v>
      </c>
    </row>
    <row r="51" spans="1:5">
      <c r="A51" s="578" t="s">
        <v>1276</v>
      </c>
      <c r="C51" s="513">
        <v>-7545300.1399999997</v>
      </c>
      <c r="D51" s="513">
        <v>-7686835.9000000004</v>
      </c>
      <c r="E51">
        <f>VLOOKUP(A51,Ucto_HK_summ!$A$2:$G$963,7,FALSE)</f>
        <v>-7686835.9000000004</v>
      </c>
    </row>
    <row r="52" spans="1:5">
      <c r="A52" s="577" t="s">
        <v>1277</v>
      </c>
      <c r="C52" s="579">
        <v>-106720446.62</v>
      </c>
      <c r="D52" s="579">
        <v>-106138502.84</v>
      </c>
      <c r="E52">
        <f>VLOOKUP(A52,Ucto_HK_summ!$A$2:$G$963,7,FALSE)</f>
        <v>-106138502.84</v>
      </c>
    </row>
    <row r="54" spans="1:5">
      <c r="A54" s="577" t="s">
        <v>1278</v>
      </c>
      <c r="C54" s="579">
        <v>59485300.060000002</v>
      </c>
      <c r="D54" s="579">
        <v>63683525.329999998</v>
      </c>
      <c r="E54">
        <f>VLOOKUP(A54,Ucto_HK_summ!$A$2:$G$963,7,FALSE)</f>
        <v>63683525.329999998</v>
      </c>
    </row>
    <row r="57" spans="1:5">
      <c r="A57" s="578" t="s">
        <v>1279</v>
      </c>
      <c r="B57" s="578" t="s">
        <v>1280</v>
      </c>
      <c r="C57">
        <v>0</v>
      </c>
      <c r="D57">
        <v>0</v>
      </c>
      <c r="E57">
        <f>VLOOKUP(A57,Ucto_HK_summ!$A$2:$G$963,7,FALSE)</f>
        <v>0</v>
      </c>
    </row>
    <row r="58" spans="1:5">
      <c r="A58" s="578" t="s">
        <v>1281</v>
      </c>
      <c r="B58" s="578" t="s">
        <v>1282</v>
      </c>
      <c r="C58">
        <v>0</v>
      </c>
      <c r="D58">
        <v>0</v>
      </c>
      <c r="E58">
        <f>VLOOKUP(A58,Ucto_HK_summ!$A$2:$G$963,7,FALSE)</f>
        <v>0</v>
      </c>
    </row>
    <row r="59" spans="1:5">
      <c r="A59" s="578" t="s">
        <v>1283</v>
      </c>
      <c r="B59" s="578" t="s">
        <v>1284</v>
      </c>
      <c r="C59">
        <v>0</v>
      </c>
      <c r="D59">
        <v>0</v>
      </c>
      <c r="E59">
        <f>VLOOKUP(A59,Ucto_HK_summ!$A$2:$G$963,7,FALSE)</f>
        <v>0</v>
      </c>
    </row>
    <row r="60" spans="1:5">
      <c r="A60" s="578" t="s">
        <v>1285</v>
      </c>
      <c r="B60" s="578" t="s">
        <v>1286</v>
      </c>
      <c r="C60">
        <v>0</v>
      </c>
      <c r="D60">
        <v>0</v>
      </c>
      <c r="E60">
        <f>VLOOKUP(A60,Ucto_HK_summ!$A$2:$G$963,7,FALSE)</f>
        <v>0</v>
      </c>
    </row>
    <row r="61" spans="1:5">
      <c r="A61" s="578" t="s">
        <v>793</v>
      </c>
      <c r="C61">
        <v>0</v>
      </c>
      <c r="D61">
        <v>0</v>
      </c>
      <c r="E61">
        <f>VLOOKUP(A61,Ucto_HK_summ!$A$2:$G$963,7,FALSE)</f>
        <v>0</v>
      </c>
    </row>
    <row r="62" spans="1:5">
      <c r="A62" s="578" t="s">
        <v>1287</v>
      </c>
      <c r="B62" s="578" t="s">
        <v>1288</v>
      </c>
      <c r="C62">
        <v>0</v>
      </c>
      <c r="D62">
        <v>0</v>
      </c>
      <c r="E62">
        <f>VLOOKUP(A62,Ucto_HK_summ!$A$2:$G$963,7,FALSE)</f>
        <v>0</v>
      </c>
    </row>
    <row r="63" spans="1:5">
      <c r="A63" s="578" t="s">
        <v>1289</v>
      </c>
      <c r="B63" s="578" t="s">
        <v>1290</v>
      </c>
      <c r="C63">
        <v>0</v>
      </c>
      <c r="D63">
        <v>0</v>
      </c>
      <c r="E63">
        <f>VLOOKUP(A63,Ucto_HK_summ!$A$2:$G$963,7,FALSE)</f>
        <v>0</v>
      </c>
    </row>
    <row r="64" spans="1:5">
      <c r="A64" s="578" t="s">
        <v>1291</v>
      </c>
      <c r="B64" s="578" t="s">
        <v>1292</v>
      </c>
      <c r="C64" s="513">
        <v>52898.75</v>
      </c>
      <c r="D64" s="513">
        <v>68367.320000000007</v>
      </c>
      <c r="E64">
        <f>VLOOKUP(A64,Ucto_HK_summ!$A$2:$G$963,7,FALSE)</f>
        <v>68367.320000000007</v>
      </c>
    </row>
    <row r="65" spans="1:5">
      <c r="A65" s="578" t="s">
        <v>1293</v>
      </c>
      <c r="B65" s="578" t="s">
        <v>1294</v>
      </c>
      <c r="C65">
        <v>122.04</v>
      </c>
      <c r="D65">
        <v>122.04</v>
      </c>
      <c r="E65">
        <f>VLOOKUP(A65,Ucto_HK_summ!$A$2:$G$963,7,FALSE)</f>
        <v>122.04</v>
      </c>
    </row>
    <row r="66" spans="1:5">
      <c r="A66" s="578" t="s">
        <v>1295</v>
      </c>
      <c r="B66" s="578" t="s">
        <v>1296</v>
      </c>
      <c r="C66">
        <v>651.04</v>
      </c>
      <c r="D66">
        <v>651.04</v>
      </c>
      <c r="E66">
        <f>VLOOKUP(A66,Ucto_HK_summ!$A$2:$G$963,7,FALSE)</f>
        <v>651.04</v>
      </c>
    </row>
    <row r="67" spans="1:5">
      <c r="A67" s="578" t="s">
        <v>1297</v>
      </c>
      <c r="B67" s="578" t="s">
        <v>1298</v>
      </c>
      <c r="C67">
        <v>661.93</v>
      </c>
      <c r="D67">
        <v>661.93</v>
      </c>
      <c r="E67">
        <f>VLOOKUP(A67,Ucto_HK_summ!$A$2:$G$963,7,FALSE)</f>
        <v>661.93</v>
      </c>
    </row>
    <row r="68" spans="1:5">
      <c r="A68" s="578" t="s">
        <v>1299</v>
      </c>
      <c r="B68" s="578" t="s">
        <v>1300</v>
      </c>
      <c r="C68" s="513">
        <v>25011.15</v>
      </c>
      <c r="D68" s="513">
        <v>27669.14</v>
      </c>
      <c r="E68">
        <f>VLOOKUP(A68,Ucto_HK_summ!$A$2:$G$963,7,FALSE)</f>
        <v>27669.14</v>
      </c>
    </row>
    <row r="69" spans="1:5">
      <c r="A69" s="578" t="s">
        <v>1301</v>
      </c>
      <c r="B69" s="578" t="s">
        <v>1302</v>
      </c>
      <c r="C69" s="513">
        <v>1941.47</v>
      </c>
      <c r="D69" s="513">
        <v>1636.9</v>
      </c>
      <c r="E69">
        <f>VLOOKUP(A69,Ucto_HK_summ!$A$2:$G$963,7,FALSE)</f>
        <v>1636.9</v>
      </c>
    </row>
    <row r="70" spans="1:5">
      <c r="A70" s="578" t="s">
        <v>1303</v>
      </c>
      <c r="B70" s="578" t="s">
        <v>1304</v>
      </c>
      <c r="C70">
        <v>0</v>
      </c>
      <c r="D70">
        <v>0</v>
      </c>
      <c r="E70">
        <f>VLOOKUP(A70,Ucto_HK_summ!$A$2:$G$963,7,FALSE)</f>
        <v>0</v>
      </c>
    </row>
    <row r="71" spans="1:5">
      <c r="A71" s="578" t="s">
        <v>1305</v>
      </c>
      <c r="B71" s="578" t="s">
        <v>1306</v>
      </c>
      <c r="C71">
        <v>0</v>
      </c>
      <c r="D71">
        <v>0</v>
      </c>
      <c r="E71">
        <f>VLOOKUP(A71,Ucto_HK_summ!$A$2:$G$963,7,FALSE)</f>
        <v>0</v>
      </c>
    </row>
    <row r="72" spans="1:5">
      <c r="A72" s="578" t="s">
        <v>1307</v>
      </c>
      <c r="B72" s="578" t="s">
        <v>1308</v>
      </c>
      <c r="C72">
        <v>0</v>
      </c>
      <c r="D72">
        <v>0</v>
      </c>
      <c r="E72">
        <f>VLOOKUP(A72,Ucto_HK_summ!$A$2:$G$963,7,FALSE)</f>
        <v>0</v>
      </c>
    </row>
    <row r="73" spans="1:5">
      <c r="A73" s="578" t="s">
        <v>1309</v>
      </c>
      <c r="B73" s="578" t="s">
        <v>1310</v>
      </c>
      <c r="C73" s="513">
        <v>24702.240000000002</v>
      </c>
      <c r="D73" s="513">
        <v>24805.200000000001</v>
      </c>
      <c r="E73">
        <f>VLOOKUP(A73,Ucto_HK_summ!$A$2:$G$963,7,FALSE)</f>
        <v>24805.200000000001</v>
      </c>
    </row>
    <row r="74" spans="1:5">
      <c r="A74" s="578" t="s">
        <v>1311</v>
      </c>
      <c r="B74" s="578" t="s">
        <v>1312</v>
      </c>
      <c r="C74" s="513">
        <v>1927.99</v>
      </c>
      <c r="D74" s="513">
        <v>1585.4</v>
      </c>
      <c r="E74">
        <f>VLOOKUP(A74,Ucto_HK_summ!$A$2:$G$963,7,FALSE)</f>
        <v>1585.4</v>
      </c>
    </row>
    <row r="75" spans="1:5">
      <c r="A75" s="578" t="s">
        <v>1313</v>
      </c>
      <c r="B75" s="578" t="s">
        <v>1314</v>
      </c>
      <c r="C75" s="513">
        <v>31455.15</v>
      </c>
      <c r="D75" s="513">
        <v>19871.439999999999</v>
      </c>
      <c r="E75">
        <f>VLOOKUP(A75,Ucto_HK_summ!$A$2:$G$963,7,FALSE)</f>
        <v>19871.439999999999</v>
      </c>
    </row>
    <row r="76" spans="1:5">
      <c r="A76" s="578" t="s">
        <v>1315</v>
      </c>
      <c r="B76" s="578" t="s">
        <v>1316</v>
      </c>
      <c r="C76" s="513">
        <v>116464.84</v>
      </c>
      <c r="D76" s="513">
        <v>95856.28</v>
      </c>
      <c r="E76">
        <f>VLOOKUP(A76,Ucto_HK_summ!$A$2:$G$963,7,FALSE)</f>
        <v>95856.28</v>
      </c>
    </row>
    <row r="77" spans="1:5">
      <c r="A77" s="578" t="s">
        <v>1317</v>
      </c>
      <c r="B77" s="578" t="s">
        <v>1318</v>
      </c>
      <c r="C77" s="513">
        <v>16398.900000000001</v>
      </c>
      <c r="D77" s="513">
        <v>10060.14</v>
      </c>
      <c r="E77">
        <f>VLOOKUP(A77,Ucto_HK_summ!$A$2:$G$963,7,FALSE)</f>
        <v>10060.14</v>
      </c>
    </row>
    <row r="78" spans="1:5">
      <c r="A78" s="578" t="s">
        <v>1319</v>
      </c>
      <c r="B78" s="578" t="s">
        <v>1320</v>
      </c>
      <c r="C78" s="513">
        <v>17324.36</v>
      </c>
      <c r="D78" s="513">
        <v>9577.2199999999993</v>
      </c>
      <c r="E78">
        <f>VLOOKUP(A78,Ucto_HK_summ!$A$2:$G$963,7,FALSE)</f>
        <v>9577.2199999999993</v>
      </c>
    </row>
    <row r="79" spans="1:5">
      <c r="A79" s="578" t="s">
        <v>1321</v>
      </c>
      <c r="B79" s="578" t="s">
        <v>1322</v>
      </c>
      <c r="C79" s="513">
        <v>22299.61</v>
      </c>
      <c r="D79" s="513">
        <v>13050.15</v>
      </c>
      <c r="E79">
        <f>VLOOKUP(A79,Ucto_HK_summ!$A$2:$G$963,7,FALSE)</f>
        <v>13050.15</v>
      </c>
    </row>
    <row r="80" spans="1:5">
      <c r="A80" s="578" t="s">
        <v>1323</v>
      </c>
      <c r="B80" s="578" t="s">
        <v>1324</v>
      </c>
      <c r="C80" s="513">
        <v>6528.22</v>
      </c>
      <c r="D80" s="513">
        <v>6012.15</v>
      </c>
      <c r="E80">
        <f>VLOOKUP(A80,Ucto_HK_summ!$A$2:$G$963,7,FALSE)</f>
        <v>6012.15</v>
      </c>
    </row>
    <row r="81" spans="1:5">
      <c r="A81" s="578" t="s">
        <v>1325</v>
      </c>
      <c r="B81" s="578" t="s">
        <v>1326</v>
      </c>
      <c r="C81" s="513">
        <v>114969.31</v>
      </c>
      <c r="D81" s="513">
        <v>65705.14</v>
      </c>
      <c r="E81">
        <f>VLOOKUP(A81,Ucto_HK_summ!$A$2:$G$963,7,FALSE)</f>
        <v>65705.14</v>
      </c>
    </row>
    <row r="82" spans="1:5">
      <c r="A82" s="578" t="s">
        <v>1327</v>
      </c>
      <c r="B82" s="578" t="s">
        <v>1328</v>
      </c>
      <c r="C82" s="513">
        <v>54131.839999999997</v>
      </c>
      <c r="D82" s="513">
        <v>39644.050000000003</v>
      </c>
      <c r="E82">
        <f>VLOOKUP(A82,Ucto_HK_summ!$A$2:$G$963,7,FALSE)</f>
        <v>39644.050000000003</v>
      </c>
    </row>
    <row r="83" spans="1:5">
      <c r="A83" s="578" t="s">
        <v>1329</v>
      </c>
      <c r="B83" s="578" t="s">
        <v>1330</v>
      </c>
      <c r="C83" s="513">
        <v>3400.73</v>
      </c>
      <c r="D83">
        <v>26.55</v>
      </c>
      <c r="E83">
        <f>VLOOKUP(A83,Ucto_HK_summ!$A$2:$G$963,7,FALSE)</f>
        <v>26.55</v>
      </c>
    </row>
    <row r="84" spans="1:5">
      <c r="A84" s="578" t="s">
        <v>1331</v>
      </c>
      <c r="B84" s="578" t="s">
        <v>1332</v>
      </c>
      <c r="C84" s="513">
        <v>9061.35</v>
      </c>
      <c r="D84" s="513">
        <v>3248.25</v>
      </c>
      <c r="E84">
        <f>VLOOKUP(A84,Ucto_HK_summ!$A$2:$G$963,7,FALSE)</f>
        <v>3248.25</v>
      </c>
    </row>
    <row r="85" spans="1:5">
      <c r="A85" s="578" t="s">
        <v>1333</v>
      </c>
      <c r="B85" s="578" t="s">
        <v>1334</v>
      </c>
      <c r="C85" s="513">
        <v>75629.960000000006</v>
      </c>
      <c r="D85" s="513">
        <v>78401.64</v>
      </c>
      <c r="E85">
        <f>VLOOKUP(A85,Ucto_HK_summ!$A$2:$G$963,7,FALSE)</f>
        <v>78401.64</v>
      </c>
    </row>
    <row r="86" spans="1:5">
      <c r="A86" s="578" t="s">
        <v>1335</v>
      </c>
      <c r="B86" s="578" t="s">
        <v>1336</v>
      </c>
      <c r="C86">
        <v>833.52</v>
      </c>
      <c r="D86" s="513">
        <v>2119.52</v>
      </c>
      <c r="E86">
        <f>VLOOKUP(A86,Ucto_HK_summ!$A$2:$G$963,7,FALSE)</f>
        <v>2119.52</v>
      </c>
    </row>
    <row r="87" spans="1:5">
      <c r="A87" s="578" t="s">
        <v>1337</v>
      </c>
      <c r="B87" s="578" t="s">
        <v>1338</v>
      </c>
      <c r="C87" s="513">
        <v>35610.68</v>
      </c>
      <c r="D87" s="513">
        <v>23183.37</v>
      </c>
      <c r="E87">
        <f>VLOOKUP(A87,Ucto_HK_summ!$A$2:$G$963,7,FALSE)</f>
        <v>23183.37</v>
      </c>
    </row>
    <row r="88" spans="1:5">
      <c r="A88" s="578" t="s">
        <v>1339</v>
      </c>
      <c r="B88" s="578" t="s">
        <v>1340</v>
      </c>
      <c r="C88">
        <v>967.5</v>
      </c>
      <c r="D88">
        <v>908.62</v>
      </c>
      <c r="E88">
        <f>VLOOKUP(A88,Ucto_HK_summ!$A$2:$G$963,7,FALSE)</f>
        <v>908.62</v>
      </c>
    </row>
    <row r="89" spans="1:5">
      <c r="A89" s="578" t="s">
        <v>1341</v>
      </c>
      <c r="B89" s="578" t="s">
        <v>1342</v>
      </c>
      <c r="C89" s="513">
        <v>4686.13</v>
      </c>
      <c r="D89" s="513">
        <v>2815.42</v>
      </c>
      <c r="E89">
        <f>VLOOKUP(A89,Ucto_HK_summ!$A$2:$G$963,7,FALSE)</f>
        <v>2815.42</v>
      </c>
    </row>
    <row r="90" spans="1:5">
      <c r="A90" s="578" t="s">
        <v>1343</v>
      </c>
      <c r="B90" s="578" t="s">
        <v>1344</v>
      </c>
      <c r="C90" s="513">
        <v>269150.01</v>
      </c>
      <c r="D90" s="513">
        <v>307409.46000000002</v>
      </c>
      <c r="E90">
        <f>VLOOKUP(A90,Ucto_HK_summ!$A$2:$G$963,7,FALSE)</f>
        <v>307409.46000000002</v>
      </c>
    </row>
    <row r="91" spans="1:5">
      <c r="A91" s="578" t="s">
        <v>1345</v>
      </c>
      <c r="B91" s="578" t="s">
        <v>1346</v>
      </c>
      <c r="C91" s="513">
        <v>138939.79999999999</v>
      </c>
      <c r="D91" s="513">
        <v>828934.65</v>
      </c>
      <c r="E91">
        <f>VLOOKUP(A91,Ucto_HK_summ!$A$2:$G$963,7,FALSE)</f>
        <v>828934.65</v>
      </c>
    </row>
    <row r="92" spans="1:5">
      <c r="A92" s="578" t="s">
        <v>1347</v>
      </c>
      <c r="B92" s="578" t="s">
        <v>1348</v>
      </c>
      <c r="C92">
        <v>96.01</v>
      </c>
      <c r="D92">
        <v>0</v>
      </c>
      <c r="E92">
        <f>VLOOKUP(A92,Ucto_HK_summ!$A$2:$G$963,7,FALSE)</f>
        <v>0</v>
      </c>
    </row>
    <row r="93" spans="1:5">
      <c r="A93" s="578" t="s">
        <v>1349</v>
      </c>
      <c r="B93" s="578" t="s">
        <v>1350</v>
      </c>
      <c r="C93" s="513">
        <v>243406.72</v>
      </c>
      <c r="D93" s="513">
        <v>325101.44</v>
      </c>
      <c r="E93">
        <f>VLOOKUP(A93,Ucto_HK_summ!$A$2:$G$963,7,FALSE)</f>
        <v>325101.44</v>
      </c>
    </row>
    <row r="94" spans="1:5">
      <c r="A94" s="578" t="s">
        <v>1351</v>
      </c>
      <c r="B94" s="578" t="s">
        <v>1352</v>
      </c>
      <c r="C94" s="513">
        <v>701211.15</v>
      </c>
      <c r="D94" s="513">
        <v>1919567.68</v>
      </c>
      <c r="E94">
        <f>VLOOKUP(A94,Ucto_HK_summ!$A$2:$G$963,7,FALSE)</f>
        <v>1919567.68</v>
      </c>
    </row>
    <row r="95" spans="1:5">
      <c r="A95" s="578" t="s">
        <v>795</v>
      </c>
      <c r="C95" s="513">
        <v>1970482.4</v>
      </c>
      <c r="D95" s="513">
        <v>3876992.14</v>
      </c>
      <c r="E95">
        <f>VLOOKUP(A95,Ucto_HK_summ!$A$2:$G$963,7,FALSE)</f>
        <v>3876992.14</v>
      </c>
    </row>
    <row r="96" spans="1:5">
      <c r="A96" s="578" t="s">
        <v>1353</v>
      </c>
      <c r="B96" s="578" t="s">
        <v>1354</v>
      </c>
      <c r="C96" s="513">
        <v>30878.75</v>
      </c>
      <c r="D96" s="513">
        <v>14005.44</v>
      </c>
      <c r="E96">
        <f>VLOOKUP(A96,Ucto_HK_summ!$A$2:$G$963,7,FALSE)</f>
        <v>14005.44</v>
      </c>
    </row>
    <row r="97" spans="1:5">
      <c r="A97" s="578" t="s">
        <v>1355</v>
      </c>
      <c r="B97" s="578" t="s">
        <v>1356</v>
      </c>
      <c r="C97">
        <v>664.2</v>
      </c>
      <c r="D97">
        <v>0</v>
      </c>
      <c r="E97">
        <f>VLOOKUP(A97,Ucto_HK_summ!$A$2:$G$963,7,FALSE)</f>
        <v>0</v>
      </c>
    </row>
    <row r="98" spans="1:5">
      <c r="A98" s="578" t="s">
        <v>1357</v>
      </c>
      <c r="B98" s="578" t="s">
        <v>1358</v>
      </c>
      <c r="C98">
        <v>64.86</v>
      </c>
      <c r="D98">
        <v>0</v>
      </c>
      <c r="E98">
        <f>VLOOKUP(A98,Ucto_HK_summ!$A$2:$G$963,7,FALSE)</f>
        <v>0</v>
      </c>
    </row>
    <row r="99" spans="1:5">
      <c r="A99" s="578" t="s">
        <v>446</v>
      </c>
      <c r="C99" s="513">
        <v>31607.81</v>
      </c>
      <c r="D99" s="513">
        <v>14005.44</v>
      </c>
      <c r="E99">
        <f>VLOOKUP(A99,Ucto_HK_summ!$A$2:$G$963,7,FALSE)</f>
        <v>14005.44</v>
      </c>
    </row>
    <row r="100" spans="1:5">
      <c r="A100" s="577" t="s">
        <v>1359</v>
      </c>
      <c r="C100" s="579">
        <v>2002090.21</v>
      </c>
      <c r="D100" s="579">
        <v>3890997.58</v>
      </c>
      <c r="E100">
        <f>VLOOKUP(A100,Ucto_HK_summ!$A$2:$G$963,7,FALSE)</f>
        <v>3890997.58</v>
      </c>
    </row>
    <row r="102" spans="1:5">
      <c r="A102" s="578" t="s">
        <v>1360</v>
      </c>
      <c r="B102" s="578" t="s">
        <v>1361</v>
      </c>
      <c r="C102" s="513">
        <v>108699.02</v>
      </c>
      <c r="D102" s="513">
        <v>111463.11</v>
      </c>
      <c r="E102">
        <f>VLOOKUP(A102,Ucto_HK_summ!$A$2:$G$963,7,FALSE)</f>
        <v>111463.11</v>
      </c>
    </row>
    <row r="103" spans="1:5">
      <c r="A103" s="578" t="s">
        <v>480</v>
      </c>
      <c r="C103" s="513">
        <v>108699.02</v>
      </c>
      <c r="D103" s="513">
        <v>111463.11</v>
      </c>
      <c r="E103">
        <f>VLOOKUP(A103,Ucto_HK_summ!$A$2:$G$963,7,FALSE)</f>
        <v>111463.11</v>
      </c>
    </row>
    <row r="104" spans="1:5">
      <c r="A104" s="577" t="s">
        <v>1362</v>
      </c>
      <c r="C104" s="579">
        <v>108699.02</v>
      </c>
      <c r="D104" s="579">
        <v>111463.11</v>
      </c>
      <c r="E104">
        <f>VLOOKUP(A104,Ucto_HK_summ!$A$2:$G$963,7,FALSE)</f>
        <v>111463.11</v>
      </c>
    </row>
    <row r="106" spans="1:5">
      <c r="A106" s="577" t="s">
        <v>1363</v>
      </c>
      <c r="C106" s="579">
        <v>2110789.23</v>
      </c>
      <c r="D106" s="579">
        <v>4002460.69</v>
      </c>
      <c r="E106">
        <f>VLOOKUP(A106,Ucto_HK_summ!$A$2:$G$963,7,FALSE)</f>
        <v>4002460.69</v>
      </c>
    </row>
    <row r="109" spans="1:5">
      <c r="A109" s="578" t="s">
        <v>1364</v>
      </c>
      <c r="B109" s="578" t="s">
        <v>1365</v>
      </c>
      <c r="C109">
        <v>0</v>
      </c>
      <c r="D109">
        <v>0</v>
      </c>
      <c r="E109">
        <f>VLOOKUP(A109,Ucto_HK_summ!$A$2:$G$963,7,FALSE)</f>
        <v>0</v>
      </c>
    </row>
    <row r="110" spans="1:5">
      <c r="A110" s="578" t="s">
        <v>1366</v>
      </c>
      <c r="B110" s="578" t="s">
        <v>1367</v>
      </c>
      <c r="C110">
        <v>0</v>
      </c>
      <c r="D110">
        <v>0</v>
      </c>
      <c r="E110">
        <f>VLOOKUP(A110,Ucto_HK_summ!$A$2:$G$963,7,FALSE)</f>
        <v>0</v>
      </c>
    </row>
    <row r="111" spans="1:5">
      <c r="A111" s="578" t="s">
        <v>1368</v>
      </c>
      <c r="B111" s="578" t="s">
        <v>1369</v>
      </c>
      <c r="C111">
        <v>0</v>
      </c>
      <c r="D111">
        <v>0</v>
      </c>
      <c r="E111">
        <f>VLOOKUP(A111,Ucto_HK_summ!$A$2:$G$963,7,FALSE)</f>
        <v>0</v>
      </c>
    </row>
    <row r="112" spans="1:5">
      <c r="A112" s="578" t="s">
        <v>1370</v>
      </c>
      <c r="B112" s="578" t="s">
        <v>1371</v>
      </c>
      <c r="C112">
        <v>0</v>
      </c>
      <c r="D112">
        <v>174.5</v>
      </c>
      <c r="E112">
        <f>VLOOKUP(A112,Ucto_HK_summ!$A$2:$G$963,7,FALSE)</f>
        <v>174.5</v>
      </c>
    </row>
    <row r="113" spans="1:5">
      <c r="A113" s="578" t="s">
        <v>1372</v>
      </c>
      <c r="B113" s="578" t="s">
        <v>1373</v>
      </c>
      <c r="C113">
        <v>0</v>
      </c>
      <c r="D113">
        <v>0</v>
      </c>
      <c r="E113">
        <f>VLOOKUP(A113,Ucto_HK_summ!$A$2:$G$963,7,FALSE)</f>
        <v>0</v>
      </c>
    </row>
    <row r="114" spans="1:5">
      <c r="A114" s="578" t="s">
        <v>1374</v>
      </c>
      <c r="B114" s="578" t="s">
        <v>1375</v>
      </c>
      <c r="C114">
        <v>150</v>
      </c>
      <c r="D114">
        <v>150</v>
      </c>
      <c r="E114">
        <f>VLOOKUP(A114,Ucto_HK_summ!$A$2:$G$963,7,FALSE)</f>
        <v>150</v>
      </c>
    </row>
    <row r="115" spans="1:5">
      <c r="A115" s="578" t="s">
        <v>1376</v>
      </c>
      <c r="B115" s="578" t="s">
        <v>1377</v>
      </c>
      <c r="C115">
        <v>150</v>
      </c>
      <c r="D115">
        <v>150</v>
      </c>
      <c r="E115">
        <f>VLOOKUP(A115,Ucto_HK_summ!$A$2:$G$963,7,FALSE)</f>
        <v>150</v>
      </c>
    </row>
    <row r="116" spans="1:5">
      <c r="A116" s="578" t="s">
        <v>1378</v>
      </c>
      <c r="B116" s="578" t="s">
        <v>1379</v>
      </c>
      <c r="C116">
        <v>150</v>
      </c>
      <c r="D116">
        <v>150</v>
      </c>
      <c r="E116">
        <f>VLOOKUP(A116,Ucto_HK_summ!$A$2:$G$963,7,FALSE)</f>
        <v>150</v>
      </c>
    </row>
    <row r="117" spans="1:5">
      <c r="A117" s="578" t="s">
        <v>1380</v>
      </c>
      <c r="B117" s="578" t="s">
        <v>1381</v>
      </c>
      <c r="C117" s="550">
        <v>2000</v>
      </c>
      <c r="D117" s="513">
        <v>2395.21</v>
      </c>
      <c r="E117">
        <f>VLOOKUP(A117,Ucto_HK_summ!$A$2:$G$963,7,FALSE)</f>
        <v>2395.21</v>
      </c>
    </row>
    <row r="118" spans="1:5">
      <c r="A118" s="578" t="s">
        <v>1382</v>
      </c>
      <c r="C118" s="550">
        <v>2450</v>
      </c>
      <c r="D118" s="513">
        <v>3019.71</v>
      </c>
      <c r="E118">
        <f>VLOOKUP(A118,Ucto_HK_summ!$A$2:$G$963,7,FALSE)</f>
        <v>3019.71</v>
      </c>
    </row>
    <row r="119" spans="1:5">
      <c r="A119" s="578" t="s">
        <v>1383</v>
      </c>
      <c r="B119" s="578" t="s">
        <v>1384</v>
      </c>
      <c r="C119">
        <v>0</v>
      </c>
      <c r="D119">
        <v>0</v>
      </c>
      <c r="E119">
        <f>VLOOKUP(A119,Ucto_HK_summ!$A$2:$G$963,7,FALSE)</f>
        <v>0</v>
      </c>
    </row>
    <row r="120" spans="1:5">
      <c r="A120" s="578" t="s">
        <v>1385</v>
      </c>
      <c r="C120">
        <v>0</v>
      </c>
      <c r="D120">
        <v>0</v>
      </c>
    </row>
    <row r="121" spans="1:5">
      <c r="A121" s="577" t="s">
        <v>1386</v>
      </c>
      <c r="C121" s="580">
        <v>2450</v>
      </c>
      <c r="D121" s="579">
        <v>3019.71</v>
      </c>
      <c r="E121">
        <f>VLOOKUP(A121,Ucto_HK_summ!$A$2:$G$963,7,FALSE)</f>
        <v>3019.71</v>
      </c>
    </row>
    <row r="123" spans="1:5">
      <c r="A123" s="578" t="s">
        <v>1387</v>
      </c>
      <c r="B123" s="578" t="s">
        <v>1388</v>
      </c>
      <c r="C123" s="513">
        <v>2611693.7000000002</v>
      </c>
      <c r="D123" s="513">
        <v>3696016.65</v>
      </c>
      <c r="E123">
        <f>VLOOKUP(A123,Ucto_HK_summ!$A$2:$G$963,7,FALSE)</f>
        <v>3696016.65</v>
      </c>
    </row>
    <row r="124" spans="1:5">
      <c r="A124" s="578" t="s">
        <v>1389</v>
      </c>
      <c r="B124" s="578" t="s">
        <v>1390</v>
      </c>
      <c r="C124">
        <v>0</v>
      </c>
      <c r="D124">
        <v>0</v>
      </c>
      <c r="E124">
        <f>VLOOKUP(A124,Ucto_HK_summ!$A$2:$G$963,7,FALSE)</f>
        <v>0</v>
      </c>
    </row>
    <row r="125" spans="1:5">
      <c r="A125" s="578" t="s">
        <v>1391</v>
      </c>
      <c r="B125" s="578" t="s">
        <v>1392</v>
      </c>
      <c r="C125" s="513">
        <v>1514510.84</v>
      </c>
      <c r="D125" s="513">
        <v>2739423.53</v>
      </c>
      <c r="E125">
        <f>VLOOKUP(A125,Ucto_HK_summ!$A$2:$G$963,7,FALSE)</f>
        <v>2739423.53</v>
      </c>
    </row>
    <row r="126" spans="1:5">
      <c r="A126" s="578" t="s">
        <v>1393</v>
      </c>
      <c r="B126" s="578" t="s">
        <v>1394</v>
      </c>
      <c r="C126" s="513">
        <v>110223.3</v>
      </c>
      <c r="D126" s="513">
        <v>132407.47</v>
      </c>
      <c r="E126">
        <f>VLOOKUP(A126,Ucto_HK_summ!$A$2:$G$963,7,FALSE)</f>
        <v>132407.47</v>
      </c>
    </row>
    <row r="127" spans="1:5">
      <c r="A127" s="578" t="s">
        <v>1395</v>
      </c>
      <c r="B127" s="578" t="s">
        <v>1396</v>
      </c>
      <c r="C127">
        <v>0</v>
      </c>
      <c r="D127">
        <v>0</v>
      </c>
      <c r="E127">
        <f>VLOOKUP(A127,Ucto_HK_summ!$A$2:$G$963,7,FALSE)</f>
        <v>0</v>
      </c>
    </row>
    <row r="128" spans="1:5">
      <c r="A128" s="578" t="s">
        <v>1397</v>
      </c>
      <c r="B128" s="578" t="s">
        <v>1398</v>
      </c>
      <c r="C128" s="513">
        <v>5907513.5899999999</v>
      </c>
      <c r="D128" s="513">
        <v>4427544.8899999997</v>
      </c>
      <c r="E128">
        <f>VLOOKUP(A128,Ucto_HK_summ!$A$2:$G$963,7,FALSE)</f>
        <v>4427544.8899999997</v>
      </c>
    </row>
    <row r="129" spans="1:5">
      <c r="A129" s="578" t="s">
        <v>1399</v>
      </c>
      <c r="B129" s="578" t="s">
        <v>1400</v>
      </c>
      <c r="C129" s="513">
        <v>24752.87</v>
      </c>
      <c r="D129" s="513">
        <v>11270.86</v>
      </c>
      <c r="E129">
        <f>VLOOKUP(A129,Ucto_HK_summ!$A$2:$G$963,7,FALSE)</f>
        <v>11270.86</v>
      </c>
    </row>
    <row r="130" spans="1:5">
      <c r="A130" s="578" t="s">
        <v>1401</v>
      </c>
      <c r="B130" s="578" t="s">
        <v>1402</v>
      </c>
      <c r="C130" s="513">
        <v>1885.65</v>
      </c>
      <c r="D130" s="513">
        <v>1815.65</v>
      </c>
      <c r="E130">
        <f>VLOOKUP(A130,Ucto_HK_summ!$A$2:$G$963,7,FALSE)</f>
        <v>1815.65</v>
      </c>
    </row>
    <row r="131" spans="1:5">
      <c r="A131" s="578" t="s">
        <v>1403</v>
      </c>
      <c r="C131" s="513">
        <v>10170579.949999999</v>
      </c>
      <c r="D131" s="513">
        <v>11008479.050000001</v>
      </c>
      <c r="E131">
        <f>VLOOKUP(A131,Ucto_HK_summ!$A$2:$G$963,7,FALSE)</f>
        <v>11008479.050000001</v>
      </c>
    </row>
    <row r="132" spans="1:5">
      <c r="A132" s="577" t="s">
        <v>1404</v>
      </c>
      <c r="C132" s="579">
        <v>10170579.949999999</v>
      </c>
      <c r="D132" s="579">
        <v>11008479.050000001</v>
      </c>
      <c r="E132">
        <f>VLOOKUP(A132,Ucto_HK_summ!$A$2:$G$963,7,FALSE)</f>
        <v>11008479.050000001</v>
      </c>
    </row>
    <row r="134" spans="1:5">
      <c r="A134" s="578" t="s">
        <v>1405</v>
      </c>
      <c r="B134" s="578" t="s">
        <v>1406</v>
      </c>
      <c r="C134" s="513">
        <v>6519.44</v>
      </c>
      <c r="D134" s="513">
        <v>6287.35</v>
      </c>
      <c r="E134">
        <f>VLOOKUP(A134,Ucto_HK_summ!$A$2:$G$963,7,FALSE)</f>
        <v>6287.35</v>
      </c>
    </row>
    <row r="135" spans="1:5">
      <c r="A135" s="578" t="s">
        <v>1407</v>
      </c>
      <c r="B135" s="578" t="s">
        <v>1408</v>
      </c>
      <c r="C135">
        <v>-760.53</v>
      </c>
      <c r="D135">
        <v>-233.73</v>
      </c>
      <c r="E135">
        <f>VLOOKUP(A135,Ucto_HK_summ!$A$2:$G$963,7,FALSE)</f>
        <v>-233.73</v>
      </c>
    </row>
    <row r="136" spans="1:5">
      <c r="A136" s="578" t="s">
        <v>1409</v>
      </c>
      <c r="B136" s="578" t="s">
        <v>1410</v>
      </c>
      <c r="C136">
        <v>0</v>
      </c>
      <c r="D136">
        <v>0</v>
      </c>
      <c r="E136">
        <f>VLOOKUP(A136,Ucto_HK_summ!$A$2:$G$963,7,FALSE)</f>
        <v>0</v>
      </c>
    </row>
    <row r="137" spans="1:5">
      <c r="A137" s="578" t="s">
        <v>1411</v>
      </c>
      <c r="B137" s="578" t="s">
        <v>1412</v>
      </c>
      <c r="C137">
        <v>0</v>
      </c>
      <c r="D137">
        <v>0</v>
      </c>
      <c r="E137">
        <f>VLOOKUP(A137,Ucto_HK_summ!$A$2:$G$963,7,FALSE)</f>
        <v>0</v>
      </c>
    </row>
    <row r="138" spans="1:5">
      <c r="A138" s="578" t="s">
        <v>1413</v>
      </c>
      <c r="B138" s="578" t="s">
        <v>1414</v>
      </c>
      <c r="C138">
        <v>177.17</v>
      </c>
      <c r="D138">
        <v>0</v>
      </c>
      <c r="E138">
        <f>VLOOKUP(A138,Ucto_HK_summ!$A$2:$G$963,7,FALSE)</f>
        <v>0</v>
      </c>
    </row>
    <row r="139" spans="1:5">
      <c r="A139" s="578" t="s">
        <v>1415</v>
      </c>
      <c r="B139" s="578" t="s">
        <v>1416</v>
      </c>
      <c r="C139">
        <v>286.67</v>
      </c>
      <c r="D139">
        <v>0</v>
      </c>
      <c r="E139">
        <f>VLOOKUP(A139,Ucto_HK_summ!$A$2:$G$963,7,FALSE)</f>
        <v>0</v>
      </c>
    </row>
    <row r="140" spans="1:5">
      <c r="A140" s="578" t="s">
        <v>1417</v>
      </c>
      <c r="B140" s="578" t="s">
        <v>1418</v>
      </c>
      <c r="C140">
        <v>238.65</v>
      </c>
      <c r="D140">
        <v>0</v>
      </c>
      <c r="E140">
        <f>VLOOKUP(A140,Ucto_HK_summ!$A$2:$G$963,7,FALSE)</f>
        <v>0</v>
      </c>
    </row>
    <row r="141" spans="1:5">
      <c r="A141" s="578" t="s">
        <v>1419</v>
      </c>
      <c r="C141" s="513">
        <v>6461.4</v>
      </c>
      <c r="D141" s="513">
        <v>6053.62</v>
      </c>
      <c r="E141">
        <f>VLOOKUP(A141,Ucto_HK_summ!$A$2:$G$963,7,FALSE)</f>
        <v>6053.62</v>
      </c>
    </row>
    <row r="142" spans="1:5">
      <c r="A142" s="577" t="s">
        <v>1420</v>
      </c>
      <c r="C142" s="579">
        <v>6461.4</v>
      </c>
      <c r="D142" s="579">
        <v>6053.62</v>
      </c>
      <c r="E142">
        <f>VLOOKUP(A142,Ucto_HK_summ!$A$2:$G$963,7,FALSE)</f>
        <v>6053.62</v>
      </c>
    </row>
    <row r="144" spans="1:5">
      <c r="A144" s="578" t="s">
        <v>1421</v>
      </c>
      <c r="B144" s="578" t="s">
        <v>1422</v>
      </c>
      <c r="C144" s="513">
        <v>-608873.73</v>
      </c>
      <c r="D144" s="513">
        <v>-608873.73</v>
      </c>
      <c r="E144">
        <f>VLOOKUP(A144,Ucto_HK_summ!$A$2:$G$963,7,FALSE)</f>
        <v>-608873.73</v>
      </c>
    </row>
    <row r="145" spans="1:5">
      <c r="A145" s="578" t="s">
        <v>1423</v>
      </c>
      <c r="C145" s="513">
        <v>-608873.73</v>
      </c>
      <c r="D145" s="513">
        <v>-608873.73</v>
      </c>
      <c r="E145">
        <f>VLOOKUP(A145,Ucto_HK_summ!$A$2:$G$963,7,FALSE)</f>
        <v>-608873.73</v>
      </c>
    </row>
    <row r="146" spans="1:5">
      <c r="A146" s="577" t="s">
        <v>1424</v>
      </c>
      <c r="C146" s="579">
        <v>-608873.73</v>
      </c>
      <c r="D146" s="579">
        <v>-608873.73</v>
      </c>
      <c r="E146">
        <f>VLOOKUP(A146,Ucto_HK_summ!$A$2:$G$963,7,FALSE)</f>
        <v>-608873.73</v>
      </c>
    </row>
    <row r="148" spans="1:5">
      <c r="A148" s="577" t="s">
        <v>1425</v>
      </c>
      <c r="C148" s="579">
        <v>9570617.6199999992</v>
      </c>
      <c r="D148" s="579">
        <v>10408678.65</v>
      </c>
      <c r="E148">
        <f>VLOOKUP(A148,Ucto_HK_summ!$A$2:$G$963,7,FALSE)</f>
        <v>10408678.65</v>
      </c>
    </row>
    <row r="151" spans="1:5">
      <c r="A151" s="578" t="s">
        <v>1426</v>
      </c>
      <c r="B151" s="578" t="s">
        <v>1427</v>
      </c>
      <c r="C151" s="513">
        <v>10289487.699999999</v>
      </c>
      <c r="D151" s="513">
        <v>9468539.1600000001</v>
      </c>
      <c r="E151">
        <f>VLOOKUP(A151,Ucto_HK_summ!$A$2:$G$963,7,FALSE)</f>
        <v>9468539.1600000001</v>
      </c>
    </row>
    <row r="152" spans="1:5">
      <c r="A152" s="578" t="s">
        <v>1428</v>
      </c>
      <c r="B152" s="578" t="s">
        <v>1429</v>
      </c>
      <c r="C152" s="513">
        <v>2206373.9300000002</v>
      </c>
      <c r="D152" s="513">
        <v>2381353.2400000002</v>
      </c>
      <c r="E152">
        <f>VLOOKUP(A152,Ucto_HK_summ!$A$2:$G$963,7,FALSE)</f>
        <v>2381353.2400000002</v>
      </c>
    </row>
    <row r="153" spans="1:5">
      <c r="A153" s="578" t="s">
        <v>1430</v>
      </c>
      <c r="B153" s="578" t="s">
        <v>1431</v>
      </c>
      <c r="C153" s="513">
        <v>1354822.43</v>
      </c>
      <c r="D153" s="513">
        <v>1660391.37</v>
      </c>
      <c r="E153">
        <f>VLOOKUP(A153,Ucto_HK_summ!$A$2:$G$963,7,FALSE)</f>
        <v>1660391.37</v>
      </c>
    </row>
    <row r="154" spans="1:5">
      <c r="A154" s="578" t="s">
        <v>1432</v>
      </c>
      <c r="B154" s="578" t="s">
        <v>1433</v>
      </c>
      <c r="C154">
        <v>392.93</v>
      </c>
      <c r="D154">
        <v>457.54</v>
      </c>
      <c r="E154">
        <f>VLOOKUP(A154,Ucto_HK_summ!$A$2:$G$963,7,FALSE)</f>
        <v>457.54</v>
      </c>
    </row>
    <row r="155" spans="1:5">
      <c r="A155" s="578" t="s">
        <v>1434</v>
      </c>
      <c r="B155" s="578" t="s">
        <v>1435</v>
      </c>
      <c r="C155" s="513">
        <v>32906.550000000003</v>
      </c>
      <c r="D155" s="513">
        <v>17761.2</v>
      </c>
      <c r="E155">
        <f>VLOOKUP(A155,Ucto_HK_summ!$A$2:$G$963,7,FALSE)</f>
        <v>17761.2</v>
      </c>
    </row>
    <row r="156" spans="1:5">
      <c r="A156" s="578" t="s">
        <v>1436</v>
      </c>
      <c r="B156" s="578" t="s">
        <v>1437</v>
      </c>
      <c r="C156" s="513">
        <v>166393.29</v>
      </c>
      <c r="D156" s="513">
        <v>271800.33</v>
      </c>
      <c r="E156">
        <f>VLOOKUP(A156,Ucto_HK_summ!$A$2:$G$963,7,FALSE)</f>
        <v>271800.33</v>
      </c>
    </row>
    <row r="157" spans="1:5">
      <c r="A157" s="578" t="s">
        <v>1438</v>
      </c>
      <c r="B157" s="578" t="s">
        <v>1439</v>
      </c>
      <c r="C157">
        <v>550.02</v>
      </c>
      <c r="D157" s="513">
        <v>1375.05</v>
      </c>
      <c r="E157">
        <f>VLOOKUP(A157,Ucto_HK_summ!$A$2:$G$963,7,FALSE)</f>
        <v>1375.05</v>
      </c>
    </row>
    <row r="158" spans="1:5">
      <c r="A158" s="578" t="s">
        <v>1440</v>
      </c>
      <c r="B158" s="578" t="s">
        <v>1441</v>
      </c>
      <c r="C158" s="513">
        <v>1071225.8400000001</v>
      </c>
      <c r="D158" s="513">
        <v>1414569.05</v>
      </c>
      <c r="E158">
        <f>VLOOKUP(A158,Ucto_HK_summ!$A$2:$G$963,7,FALSE)</f>
        <v>1414569.05</v>
      </c>
    </row>
    <row r="159" spans="1:5">
      <c r="A159" s="578" t="s">
        <v>1442</v>
      </c>
      <c r="B159" s="578" t="s">
        <v>1443</v>
      </c>
      <c r="C159" s="513">
        <v>78639.210000000006</v>
      </c>
      <c r="D159" s="513">
        <v>71321.61</v>
      </c>
      <c r="E159">
        <f>VLOOKUP(A159,Ucto_HK_summ!$A$2:$G$963,7,FALSE)</f>
        <v>71321.61</v>
      </c>
    </row>
    <row r="160" spans="1:5">
      <c r="A160" s="578" t="s">
        <v>1444</v>
      </c>
      <c r="B160" s="578" t="s">
        <v>1445</v>
      </c>
      <c r="C160" s="513">
        <v>20511.3</v>
      </c>
      <c r="D160" s="550">
        <v>4600</v>
      </c>
      <c r="E160">
        <f>VLOOKUP(A160,Ucto_HK_summ!$A$2:$G$963,7,FALSE)</f>
        <v>4600</v>
      </c>
    </row>
    <row r="161" spans="1:5">
      <c r="A161" s="578" t="s">
        <v>1446</v>
      </c>
      <c r="B161" s="578" t="s">
        <v>1447</v>
      </c>
      <c r="C161">
        <v>842.39</v>
      </c>
      <c r="D161" s="513">
        <v>39242.85</v>
      </c>
      <c r="E161">
        <f>VLOOKUP(A161,Ucto_HK_summ!$A$2:$G$963,7,FALSE)</f>
        <v>39242.85</v>
      </c>
    </row>
    <row r="162" spans="1:5">
      <c r="A162" s="578" t="s">
        <v>1448</v>
      </c>
      <c r="B162" s="578" t="s">
        <v>1449</v>
      </c>
      <c r="C162" s="513">
        <v>62819.27</v>
      </c>
      <c r="D162" s="513">
        <v>96983.62</v>
      </c>
      <c r="E162">
        <f>VLOOKUP(A162,Ucto_HK_summ!$A$2:$G$963,7,FALSE)</f>
        <v>96983.62</v>
      </c>
    </row>
    <row r="163" spans="1:5">
      <c r="A163" s="578" t="s">
        <v>1450</v>
      </c>
      <c r="B163" s="578" t="s">
        <v>1451</v>
      </c>
      <c r="C163" s="513">
        <v>28612.63</v>
      </c>
      <c r="D163" s="513">
        <v>29564.93</v>
      </c>
      <c r="E163">
        <f>VLOOKUP(A163,Ucto_HK_summ!$A$2:$G$963,7,FALSE)</f>
        <v>29564.93</v>
      </c>
    </row>
    <row r="164" spans="1:5">
      <c r="A164" s="578" t="s">
        <v>1452</v>
      </c>
      <c r="B164" s="578" t="s">
        <v>1453</v>
      </c>
      <c r="C164" s="513">
        <v>7440.76</v>
      </c>
      <c r="D164" s="513">
        <v>8160.94</v>
      </c>
      <c r="E164">
        <f>VLOOKUP(A164,Ucto_HK_summ!$A$2:$G$963,7,FALSE)</f>
        <v>8160.94</v>
      </c>
    </row>
    <row r="165" spans="1:5">
      <c r="A165" s="578" t="s">
        <v>1454</v>
      </c>
      <c r="C165" s="513">
        <v>15321018.25</v>
      </c>
      <c r="D165" s="513">
        <v>15466120.890000001</v>
      </c>
      <c r="E165">
        <f>VLOOKUP(A165,Ucto_HK_summ!$A$2:$G$963,7,FALSE)</f>
        <v>15466120.890000001</v>
      </c>
    </row>
    <row r="166" spans="1:5">
      <c r="A166" s="578" t="s">
        <v>1455</v>
      </c>
      <c r="B166" s="578" t="s">
        <v>1456</v>
      </c>
      <c r="C166" s="513">
        <v>6264.06</v>
      </c>
      <c r="D166" s="513">
        <v>7970.68</v>
      </c>
      <c r="E166">
        <f>VLOOKUP(A166,Ucto_HK_summ!$A$2:$G$963,7,FALSE)</f>
        <v>7970.68</v>
      </c>
    </row>
    <row r="167" spans="1:5">
      <c r="A167" s="578" t="s">
        <v>1457</v>
      </c>
      <c r="C167" s="513">
        <v>6264.06</v>
      </c>
      <c r="D167" s="513">
        <v>7970.68</v>
      </c>
      <c r="E167">
        <f>VLOOKUP(A167,Ucto_HK_summ!$A$2:$G$963,7,FALSE)</f>
        <v>7970.68</v>
      </c>
    </row>
    <row r="168" spans="1:5">
      <c r="A168" s="578" t="s">
        <v>1458</v>
      </c>
      <c r="B168" s="578" t="s">
        <v>222</v>
      </c>
      <c r="C168" s="513">
        <v>130698.84</v>
      </c>
      <c r="D168" s="513">
        <v>137258.39000000001</v>
      </c>
      <c r="E168">
        <f>VLOOKUP(A168,Ucto_HK_summ!$A$2:$G$963,7,FALSE)</f>
        <v>137258.39000000001</v>
      </c>
    </row>
    <row r="169" spans="1:5">
      <c r="A169" s="578" t="s">
        <v>1459</v>
      </c>
      <c r="B169" s="578" t="s">
        <v>1460</v>
      </c>
      <c r="C169">
        <v>0</v>
      </c>
      <c r="D169">
        <v>401.48</v>
      </c>
      <c r="E169">
        <f>VLOOKUP(A169,Ucto_HK_summ!$A$2:$G$963,7,FALSE)</f>
        <v>401.48</v>
      </c>
    </row>
    <row r="170" spans="1:5">
      <c r="A170" s="578" t="s">
        <v>1461</v>
      </c>
      <c r="C170" s="513">
        <v>130698.84</v>
      </c>
      <c r="D170" s="513">
        <v>137659.87</v>
      </c>
      <c r="E170">
        <f>VLOOKUP(A170,Ucto_HK_summ!$A$2:$G$963,7,FALSE)</f>
        <v>137659.87</v>
      </c>
    </row>
    <row r="171" spans="1:5">
      <c r="A171" s="577" t="s">
        <v>1462</v>
      </c>
      <c r="C171" s="579">
        <v>15457981.15</v>
      </c>
      <c r="D171" s="579">
        <v>15611751.439999999</v>
      </c>
      <c r="E171">
        <f>VLOOKUP(A171,Ucto_HK_summ!$A$2:$G$963,7,FALSE)</f>
        <v>15611751.439999999</v>
      </c>
    </row>
    <row r="173" spans="1:5">
      <c r="A173" s="578" t="s">
        <v>1463</v>
      </c>
      <c r="B173" s="578" t="s">
        <v>1464</v>
      </c>
      <c r="C173" s="513">
        <v>-9197147.0199999996</v>
      </c>
      <c r="D173" s="513">
        <v>-8875838.3399999999</v>
      </c>
      <c r="E173">
        <f>VLOOKUP(A173,Ucto_HK_summ!$A$2:$G$963,7,FALSE)</f>
        <v>-8875838.3399999999</v>
      </c>
    </row>
    <row r="174" spans="1:5">
      <c r="A174" s="578" t="s">
        <v>1465</v>
      </c>
      <c r="B174" s="578" t="s">
        <v>1466</v>
      </c>
      <c r="C174" s="513">
        <v>-2392930.88</v>
      </c>
      <c r="D174" s="513">
        <v>-3827373.17</v>
      </c>
      <c r="E174">
        <f>VLOOKUP(A174,Ucto_HK_summ!$A$2:$G$963,7,FALSE)</f>
        <v>-3827373.17</v>
      </c>
    </row>
    <row r="175" spans="1:5">
      <c r="A175" s="578" t="s">
        <v>1467</v>
      </c>
      <c r="B175" s="578" t="s">
        <v>1468</v>
      </c>
      <c r="C175" s="513">
        <v>-15387114.17</v>
      </c>
      <c r="D175" s="513">
        <v>-28408864.100000001</v>
      </c>
      <c r="E175">
        <f>VLOOKUP(A175,Ucto_HK_summ!$A$2:$G$963,7,FALSE)</f>
        <v>-28408864.100000001</v>
      </c>
    </row>
    <row r="176" spans="1:5">
      <c r="A176" s="578" t="s">
        <v>1469</v>
      </c>
      <c r="B176" s="578" t="s">
        <v>1470</v>
      </c>
      <c r="C176" s="513">
        <v>-5250954.08</v>
      </c>
      <c r="D176" s="513">
        <v>-4818466.1500000004</v>
      </c>
      <c r="E176">
        <f>VLOOKUP(A176,Ucto_HK_summ!$A$2:$G$963,7,FALSE)</f>
        <v>-4818466.1500000004</v>
      </c>
    </row>
    <row r="177" spans="1:5">
      <c r="A177" s="578" t="s">
        <v>1471</v>
      </c>
      <c r="B177" s="578" t="s">
        <v>1472</v>
      </c>
      <c r="C177" s="513">
        <v>-369735.02</v>
      </c>
      <c r="D177" s="513">
        <v>-202635.21</v>
      </c>
      <c r="E177">
        <f>VLOOKUP(A177,Ucto_HK_summ!$A$2:$G$963,7,FALSE)</f>
        <v>-202635.21</v>
      </c>
    </row>
    <row r="178" spans="1:5">
      <c r="A178" s="578" t="s">
        <v>1473</v>
      </c>
      <c r="B178" s="578" t="s">
        <v>1474</v>
      </c>
      <c r="C178" s="513">
        <v>-6122806.4100000001</v>
      </c>
      <c r="D178" s="513">
        <v>-8868159.9499999993</v>
      </c>
      <c r="E178">
        <f>VLOOKUP(A178,Ucto_HK_summ!$A$2:$G$963,7,FALSE)</f>
        <v>-8868159.9499999993</v>
      </c>
    </row>
    <row r="179" spans="1:5">
      <c r="A179" s="578" t="s">
        <v>1475</v>
      </c>
      <c r="B179" s="578" t="s">
        <v>1476</v>
      </c>
      <c r="C179" s="513">
        <v>-2046535.59</v>
      </c>
      <c r="D179" s="513">
        <v>-2005100.41</v>
      </c>
      <c r="E179">
        <f>VLOOKUP(A179,Ucto_HK_summ!$A$2:$G$963,7,FALSE)</f>
        <v>-2005100.41</v>
      </c>
    </row>
    <row r="180" spans="1:5">
      <c r="A180" s="578" t="s">
        <v>1477</v>
      </c>
      <c r="B180" s="578" t="s">
        <v>1478</v>
      </c>
      <c r="C180" s="513">
        <v>-3036710.61</v>
      </c>
      <c r="D180" s="513">
        <v>-4729229.2</v>
      </c>
      <c r="E180">
        <f>VLOOKUP(A180,Ucto_HK_summ!$A$2:$G$963,7,FALSE)</f>
        <v>-4729229.2</v>
      </c>
    </row>
    <row r="181" spans="1:5">
      <c r="A181" s="578" t="s">
        <v>1479</v>
      </c>
      <c r="B181" s="578" t="s">
        <v>1480</v>
      </c>
      <c r="C181" s="513">
        <v>-1116679.27</v>
      </c>
      <c r="D181" s="513">
        <v>-199816.58</v>
      </c>
      <c r="E181">
        <f>VLOOKUP(A181,Ucto_HK_summ!$A$2:$G$963,7,FALSE)</f>
        <v>-199816.58</v>
      </c>
    </row>
    <row r="182" spans="1:5">
      <c r="A182" s="578" t="s">
        <v>1481</v>
      </c>
      <c r="B182" s="578" t="s">
        <v>1482</v>
      </c>
      <c r="C182" s="513">
        <v>-1929.25</v>
      </c>
      <c r="D182">
        <v>0</v>
      </c>
      <c r="E182">
        <f>VLOOKUP(A182,Ucto_HK_summ!$A$2:$G$963,7,FALSE)</f>
        <v>0</v>
      </c>
    </row>
    <row r="183" spans="1:5">
      <c r="A183" s="578" t="s">
        <v>1483</v>
      </c>
      <c r="B183" s="578" t="s">
        <v>1484</v>
      </c>
      <c r="C183" s="513">
        <v>-220803.18</v>
      </c>
      <c r="D183" s="513">
        <v>-365084.07</v>
      </c>
      <c r="E183">
        <f>VLOOKUP(A183,Ucto_HK_summ!$A$2:$G$963,7,FALSE)</f>
        <v>-365084.07</v>
      </c>
    </row>
    <row r="184" spans="1:5">
      <c r="A184" s="578" t="s">
        <v>1485</v>
      </c>
      <c r="B184" s="578" t="s">
        <v>1486</v>
      </c>
      <c r="C184" s="513">
        <v>-70851.7</v>
      </c>
      <c r="D184" s="513">
        <v>-96653.85</v>
      </c>
      <c r="E184">
        <f>VLOOKUP(A184,Ucto_HK_summ!$A$2:$G$963,7,FALSE)</f>
        <v>-96653.85</v>
      </c>
    </row>
    <row r="185" spans="1:5">
      <c r="A185" s="578" t="s">
        <v>1487</v>
      </c>
      <c r="B185" s="578" t="s">
        <v>1488</v>
      </c>
      <c r="C185" s="513">
        <v>-29906.47</v>
      </c>
      <c r="D185" s="513">
        <v>-43277.42</v>
      </c>
      <c r="E185">
        <f>VLOOKUP(A185,Ucto_HK_summ!$A$2:$G$963,7,FALSE)</f>
        <v>-43277.42</v>
      </c>
    </row>
    <row r="186" spans="1:5">
      <c r="A186" s="578" t="s">
        <v>1489</v>
      </c>
      <c r="B186" s="578" t="s">
        <v>1490</v>
      </c>
      <c r="C186" s="513">
        <v>-36547.279999999999</v>
      </c>
      <c r="D186" s="513">
        <v>-72065.649999999994</v>
      </c>
      <c r="E186">
        <f>VLOOKUP(A186,Ucto_HK_summ!$A$2:$G$963,7,FALSE)</f>
        <v>-72065.649999999994</v>
      </c>
    </row>
    <row r="187" spans="1:5">
      <c r="A187" s="578" t="s">
        <v>1491</v>
      </c>
      <c r="C187" s="513">
        <v>-45280650.93</v>
      </c>
      <c r="D187" s="513">
        <v>-62512564.100000001</v>
      </c>
      <c r="E187">
        <f>VLOOKUP(A187,Ucto_HK_summ!$A$2:$G$963,7,FALSE)</f>
        <v>-62512564.100000001</v>
      </c>
    </row>
    <row r="188" spans="1:5">
      <c r="A188" s="578" t="s">
        <v>1492</v>
      </c>
      <c r="B188" s="578" t="s">
        <v>1493</v>
      </c>
      <c r="C188" s="513">
        <v>-648286.97</v>
      </c>
      <c r="D188" s="550">
        <v>-1232088</v>
      </c>
      <c r="E188">
        <f>VLOOKUP(A188,Ucto_HK_summ!$A$2:$G$963,7,FALSE)</f>
        <v>-1232088</v>
      </c>
    </row>
    <row r="189" spans="1:5">
      <c r="A189" s="578" t="s">
        <v>1494</v>
      </c>
      <c r="B189" s="578" t="s">
        <v>1495</v>
      </c>
      <c r="C189" s="550">
        <v>-2524000</v>
      </c>
      <c r="D189" s="513">
        <v>-18228332.27</v>
      </c>
      <c r="E189">
        <f>VLOOKUP(A189,Ucto_HK_summ!$A$2:$G$963,7,FALSE)</f>
        <v>-18228332.27</v>
      </c>
    </row>
    <row r="190" spans="1:5">
      <c r="A190" s="578" t="s">
        <v>1496</v>
      </c>
      <c r="B190" s="578" t="s">
        <v>1497</v>
      </c>
      <c r="C190">
        <v>0</v>
      </c>
      <c r="D190" s="513">
        <v>-357491.97</v>
      </c>
      <c r="E190">
        <f>VLOOKUP(A190,Ucto_HK_summ!$A$2:$G$963,7,FALSE)</f>
        <v>-357491.97</v>
      </c>
    </row>
    <row r="191" spans="1:5">
      <c r="A191" s="578" t="s">
        <v>1498</v>
      </c>
      <c r="B191" s="578" t="s">
        <v>1499</v>
      </c>
      <c r="C191" s="513">
        <v>-19077.52</v>
      </c>
      <c r="D191" s="513">
        <v>-213742.71</v>
      </c>
      <c r="E191">
        <f>VLOOKUP(A191,Ucto_HK_summ!$A$2:$G$963,7,FALSE)</f>
        <v>-213742.71</v>
      </c>
    </row>
    <row r="192" spans="1:5">
      <c r="A192" s="578" t="s">
        <v>1500</v>
      </c>
      <c r="B192" s="578" t="s">
        <v>1501</v>
      </c>
      <c r="C192" s="513">
        <v>-6667.74</v>
      </c>
      <c r="D192" s="513">
        <v>-72966.62</v>
      </c>
      <c r="E192">
        <f>VLOOKUP(A192,Ucto_HK_summ!$A$2:$G$963,7,FALSE)</f>
        <v>-72966.62</v>
      </c>
    </row>
    <row r="193" spans="1:5">
      <c r="A193" s="578" t="s">
        <v>1502</v>
      </c>
      <c r="C193" s="513">
        <v>-3198032.23</v>
      </c>
      <c r="D193" s="513">
        <v>-20104621.57</v>
      </c>
      <c r="E193">
        <f>VLOOKUP(A193,Ucto_HK_summ!$A$2:$G$963,7,FALSE)</f>
        <v>-20104621.57</v>
      </c>
    </row>
    <row r="194" spans="1:5">
      <c r="A194" s="578" t="s">
        <v>1503</v>
      </c>
      <c r="B194" s="578" t="s">
        <v>1504</v>
      </c>
      <c r="C194">
        <v>0</v>
      </c>
      <c r="D194">
        <v>0</v>
      </c>
      <c r="E194">
        <f>VLOOKUP(A194,Ucto_HK_summ!$A$2:$G$963,7,FALSE)</f>
        <v>0</v>
      </c>
    </row>
    <row r="195" spans="1:5">
      <c r="A195" s="578" t="s">
        <v>1505</v>
      </c>
      <c r="C195">
        <v>0</v>
      </c>
      <c r="D195">
        <v>0</v>
      </c>
      <c r="E195">
        <f>VLOOKUP(A195,Ucto_HK_summ!$A$2:$G$963,7,FALSE)</f>
        <v>0</v>
      </c>
    </row>
    <row r="196" spans="1:5">
      <c r="A196" s="578" t="s">
        <v>1506</v>
      </c>
      <c r="B196" s="578" t="s">
        <v>1507</v>
      </c>
      <c r="C196" s="513">
        <v>-1660.8</v>
      </c>
      <c r="D196" s="513">
        <v>-1792.58</v>
      </c>
      <c r="E196">
        <f>VLOOKUP(A196,Ucto_HK_summ!$A$2:$G$963,7,FALSE)</f>
        <v>-1792.58</v>
      </c>
    </row>
    <row r="197" spans="1:5">
      <c r="A197" s="578" t="s">
        <v>1508</v>
      </c>
      <c r="C197" s="513">
        <v>-1660.8</v>
      </c>
      <c r="D197" s="513">
        <v>-1792.58</v>
      </c>
      <c r="E197">
        <f>VLOOKUP(A197,Ucto_HK_summ!$A$2:$G$963,7,FALSE)</f>
        <v>-1792.58</v>
      </c>
    </row>
    <row r="198" spans="1:5">
      <c r="A198" s="578" t="s">
        <v>1509</v>
      </c>
      <c r="B198" s="578" t="s">
        <v>223</v>
      </c>
      <c r="C198" s="513">
        <v>-1606.41</v>
      </c>
      <c r="D198">
        <v>0</v>
      </c>
      <c r="E198">
        <f>VLOOKUP(A198,Ucto_HK_summ!$A$2:$G$963,7,FALSE)</f>
        <v>0</v>
      </c>
    </row>
    <row r="199" spans="1:5">
      <c r="A199" s="578" t="s">
        <v>1510</v>
      </c>
      <c r="C199" s="513">
        <v>-1606.41</v>
      </c>
      <c r="D199">
        <v>0</v>
      </c>
      <c r="E199">
        <f>VLOOKUP(A199,Ucto_HK_summ!$A$2:$G$963,7,FALSE)</f>
        <v>0</v>
      </c>
    </row>
    <row r="200" spans="1:5">
      <c r="A200" s="577" t="s">
        <v>1511</v>
      </c>
      <c r="C200" s="579">
        <v>-48481950.369999997</v>
      </c>
      <c r="D200" s="579">
        <v>-82618978.25</v>
      </c>
      <c r="E200">
        <f>VLOOKUP(A200,Ucto_HK_summ!$A$2:$G$963,7,FALSE)</f>
        <v>-82618978.25</v>
      </c>
    </row>
    <row r="202" spans="1:5">
      <c r="A202" s="578" t="s">
        <v>1512</v>
      </c>
      <c r="B202" s="578" t="s">
        <v>1513</v>
      </c>
      <c r="C202" s="513">
        <v>-3507305.38</v>
      </c>
      <c r="D202" s="513">
        <v>-4079522.71</v>
      </c>
      <c r="E202">
        <f>VLOOKUP(A202,Ucto_HK_summ!$A$2:$G$963,7,FALSE)</f>
        <v>-4079522.71</v>
      </c>
    </row>
    <row r="203" spans="1:5">
      <c r="A203" s="578" t="s">
        <v>1514</v>
      </c>
      <c r="C203" s="513">
        <v>-3507305.38</v>
      </c>
      <c r="D203" s="513">
        <v>-4079522.71</v>
      </c>
      <c r="E203">
        <f>VLOOKUP(A203,Ucto_HK_summ!$A$2:$G$963,7,FALSE)</f>
        <v>-4079522.71</v>
      </c>
    </row>
    <row r="204" spans="1:5">
      <c r="A204" s="578" t="s">
        <v>1515</v>
      </c>
      <c r="B204" s="578" t="s">
        <v>1516</v>
      </c>
      <c r="C204" s="513">
        <v>-24752.87</v>
      </c>
      <c r="D204" s="513">
        <v>-11148.53</v>
      </c>
      <c r="E204">
        <f>VLOOKUP(A204,Ucto_HK_summ!$A$2:$G$963,7,FALSE)</f>
        <v>-11148.53</v>
      </c>
    </row>
    <row r="205" spans="1:5">
      <c r="A205" s="578" t="s">
        <v>1517</v>
      </c>
      <c r="B205" s="578" t="s">
        <v>1518</v>
      </c>
      <c r="C205">
        <v>-448.2</v>
      </c>
      <c r="D205">
        <v>-988.2</v>
      </c>
      <c r="E205">
        <f>VLOOKUP(A205,Ucto_HK_summ!$A$2:$G$963,7,FALSE)</f>
        <v>-988.2</v>
      </c>
    </row>
    <row r="206" spans="1:5">
      <c r="A206" s="578" t="s">
        <v>1519</v>
      </c>
      <c r="B206" s="578" t="s">
        <v>1520</v>
      </c>
      <c r="C206" s="513">
        <v>-17228.71</v>
      </c>
      <c r="D206" s="513">
        <v>-1209.08</v>
      </c>
      <c r="E206">
        <f>VLOOKUP(A206,Ucto_HK_summ!$A$2:$G$963,7,FALSE)</f>
        <v>-1209.08</v>
      </c>
    </row>
    <row r="207" spans="1:5">
      <c r="A207" s="578" t="s">
        <v>1521</v>
      </c>
      <c r="C207" s="513">
        <v>-42429.78</v>
      </c>
      <c r="D207" s="513">
        <v>-13345.81</v>
      </c>
      <c r="E207">
        <f>VLOOKUP(A207,Ucto_HK_summ!$A$2:$G$963,7,FALSE)</f>
        <v>-13345.81</v>
      </c>
    </row>
    <row r="208" spans="1:5">
      <c r="A208" s="578" t="s">
        <v>1522</v>
      </c>
      <c r="B208" s="578" t="s">
        <v>1523</v>
      </c>
      <c r="C208">
        <v>0</v>
      </c>
      <c r="D208">
        <v>0</v>
      </c>
      <c r="E208">
        <f>VLOOKUP(A208,Ucto_HK_summ!$A$2:$G$963,7,FALSE)</f>
        <v>0</v>
      </c>
    </row>
    <row r="209" spans="1:5">
      <c r="A209" s="578" t="s">
        <v>1524</v>
      </c>
      <c r="B209" s="578" t="s">
        <v>1525</v>
      </c>
      <c r="C209" s="513">
        <v>2197.5300000000002</v>
      </c>
      <c r="D209">
        <v>957.88</v>
      </c>
      <c r="E209">
        <f>VLOOKUP(A209,Ucto_HK_summ!$A$2:$G$963,7,FALSE)</f>
        <v>957.88</v>
      </c>
    </row>
    <row r="210" spans="1:5">
      <c r="A210" s="578" t="s">
        <v>1526</v>
      </c>
      <c r="B210" s="578" t="s">
        <v>1527</v>
      </c>
      <c r="C210" s="513">
        <v>41495.43</v>
      </c>
      <c r="D210" s="513">
        <v>76903.22</v>
      </c>
      <c r="E210">
        <f>VLOOKUP(A210,Ucto_HK_summ!$A$2:$G$963,7,FALSE)</f>
        <v>76903.22</v>
      </c>
    </row>
    <row r="211" spans="1:5">
      <c r="A211" s="578" t="s">
        <v>1528</v>
      </c>
      <c r="B211" s="578" t="s">
        <v>1529</v>
      </c>
      <c r="C211">
        <v>0</v>
      </c>
      <c r="D211">
        <v>0</v>
      </c>
      <c r="E211">
        <f>VLOOKUP(A211,Ucto_HK_summ!$A$2:$G$963,7,FALSE)</f>
        <v>0</v>
      </c>
    </row>
    <row r="212" spans="1:5">
      <c r="A212" s="578" t="s">
        <v>1530</v>
      </c>
      <c r="C212" s="513">
        <v>43692.959999999999</v>
      </c>
      <c r="D212" s="513">
        <v>77861.100000000006</v>
      </c>
      <c r="E212">
        <f>VLOOKUP(A212,Ucto_HK_summ!$A$2:$G$963,7,FALSE)</f>
        <v>77861.100000000006</v>
      </c>
    </row>
    <row r="213" spans="1:5">
      <c r="A213" s="578" t="s">
        <v>1531</v>
      </c>
      <c r="B213" s="578" t="s">
        <v>1532</v>
      </c>
      <c r="C213" s="513">
        <v>-328435.15999999997</v>
      </c>
      <c r="D213" s="513">
        <v>-362657.59</v>
      </c>
      <c r="E213">
        <f>VLOOKUP(A213,Ucto_HK_summ!$A$2:$G$963,7,FALSE)</f>
        <v>-362657.59</v>
      </c>
    </row>
    <row r="214" spans="1:5">
      <c r="A214" s="578" t="s">
        <v>1533</v>
      </c>
      <c r="B214" s="578" t="s">
        <v>1534</v>
      </c>
      <c r="C214" s="513">
        <v>-131360.54</v>
      </c>
      <c r="D214" s="513">
        <v>-145041.19</v>
      </c>
      <c r="E214">
        <f>VLOOKUP(A214,Ucto_HK_summ!$A$2:$G$963,7,FALSE)</f>
        <v>-145041.19</v>
      </c>
    </row>
    <row r="215" spans="1:5">
      <c r="A215" s="578" t="s">
        <v>1535</v>
      </c>
      <c r="B215" s="578" t="s">
        <v>1536</v>
      </c>
      <c r="C215">
        <v>0</v>
      </c>
      <c r="D215">
        <v>0</v>
      </c>
      <c r="E215">
        <f>VLOOKUP(A215,Ucto_HK_summ!$A$2:$G$963,7,FALSE)</f>
        <v>0</v>
      </c>
    </row>
    <row r="216" spans="1:5">
      <c r="A216" s="578" t="s">
        <v>1537</v>
      </c>
      <c r="B216" s="578" t="s">
        <v>1538</v>
      </c>
      <c r="C216" s="513">
        <v>-98204.38</v>
      </c>
      <c r="D216" s="513">
        <v>-122193.94</v>
      </c>
      <c r="E216">
        <f>VLOOKUP(A216,Ucto_HK_summ!$A$2:$G$963,7,FALSE)</f>
        <v>-122193.94</v>
      </c>
    </row>
    <row r="217" spans="1:5">
      <c r="A217" s="578" t="s">
        <v>1539</v>
      </c>
      <c r="B217" s="578" t="s">
        <v>1540</v>
      </c>
      <c r="C217" s="513">
        <v>-39279.46</v>
      </c>
      <c r="D217" s="513">
        <v>-48867.92</v>
      </c>
      <c r="E217">
        <f>VLOOKUP(A217,Ucto_HK_summ!$A$2:$G$963,7,FALSE)</f>
        <v>-48867.92</v>
      </c>
    </row>
    <row r="218" spans="1:5">
      <c r="A218" s="578" t="s">
        <v>1541</v>
      </c>
      <c r="B218" s="578" t="s">
        <v>1542</v>
      </c>
      <c r="C218">
        <v>0</v>
      </c>
      <c r="D218">
        <v>788.34</v>
      </c>
      <c r="E218">
        <f>VLOOKUP(A218,Ucto_HK_summ!$A$2:$G$963,7,FALSE)</f>
        <v>788.34</v>
      </c>
    </row>
    <row r="219" spans="1:5">
      <c r="A219" s="578" t="s">
        <v>1543</v>
      </c>
      <c r="B219" s="578" t="s">
        <v>1544</v>
      </c>
      <c r="C219" s="513">
        <v>-45056.34</v>
      </c>
      <c r="D219" s="513">
        <v>-63018.95</v>
      </c>
      <c r="E219">
        <f>VLOOKUP(A219,Ucto_HK_summ!$A$2:$G$963,7,FALSE)</f>
        <v>-63018.95</v>
      </c>
    </row>
    <row r="220" spans="1:5">
      <c r="A220" s="578" t="s">
        <v>1545</v>
      </c>
      <c r="B220" s="578" t="s">
        <v>1546</v>
      </c>
      <c r="C220" s="513">
        <v>-18021.490000000002</v>
      </c>
      <c r="D220" s="513">
        <v>-25206.48</v>
      </c>
      <c r="E220">
        <f>VLOOKUP(A220,Ucto_HK_summ!$A$2:$G$963,7,FALSE)</f>
        <v>-25206.48</v>
      </c>
    </row>
    <row r="221" spans="1:5">
      <c r="A221" s="578" t="s">
        <v>1547</v>
      </c>
      <c r="B221" s="578" t="s">
        <v>1548</v>
      </c>
      <c r="C221">
        <v>43.38</v>
      </c>
      <c r="D221">
        <v>0</v>
      </c>
      <c r="E221">
        <f>VLOOKUP(A221,Ucto_HK_summ!$A$2:$G$963,7,FALSE)</f>
        <v>0</v>
      </c>
    </row>
    <row r="222" spans="1:5">
      <c r="A222" s="578" t="s">
        <v>1549</v>
      </c>
      <c r="B222" s="578" t="s">
        <v>1550</v>
      </c>
      <c r="C222" s="513">
        <v>-39857748.219999999</v>
      </c>
      <c r="D222" s="513">
        <v>-32521577.289999999</v>
      </c>
      <c r="E222">
        <f>VLOOKUP(A222,Ucto_HK_summ!$A$2:$G$963,7,FALSE)</f>
        <v>-32521577.289999999</v>
      </c>
    </row>
    <row r="223" spans="1:5">
      <c r="A223" s="578" t="s">
        <v>1551</v>
      </c>
      <c r="B223" s="578" t="s">
        <v>1552</v>
      </c>
      <c r="C223" s="513">
        <v>-429283.02</v>
      </c>
      <c r="D223" s="513">
        <v>-501811.29</v>
      </c>
      <c r="E223">
        <f>VLOOKUP(A223,Ucto_HK_summ!$A$2:$G$963,7,FALSE)</f>
        <v>-501811.29</v>
      </c>
    </row>
    <row r="224" spans="1:5">
      <c r="A224" s="578" t="s">
        <v>1553</v>
      </c>
      <c r="B224" s="578" t="s">
        <v>1554</v>
      </c>
      <c r="C224">
        <v>-60.08</v>
      </c>
      <c r="D224" s="513">
        <v>-1380.24</v>
      </c>
      <c r="E224">
        <f>VLOOKUP(A224,Ucto_HK_summ!$A$2:$G$963,7,FALSE)</f>
        <v>-1380.24</v>
      </c>
    </row>
    <row r="225" spans="1:5">
      <c r="A225" s="578" t="s">
        <v>1555</v>
      </c>
      <c r="B225" s="578" t="s">
        <v>1556</v>
      </c>
      <c r="C225">
        <v>-12.6</v>
      </c>
      <c r="D225">
        <v>-485.26</v>
      </c>
      <c r="E225">
        <f>VLOOKUP(A225,Ucto_HK_summ!$A$2:$G$963,7,FALSE)</f>
        <v>-485.26</v>
      </c>
    </row>
    <row r="226" spans="1:5">
      <c r="A226" s="578" t="s">
        <v>1557</v>
      </c>
      <c r="B226" s="578" t="s">
        <v>1558</v>
      </c>
      <c r="C226" s="513">
        <v>-11298.15</v>
      </c>
      <c r="D226" s="513">
        <v>-12677.17</v>
      </c>
      <c r="E226">
        <f>VLOOKUP(A226,Ucto_HK_summ!$A$2:$G$963,7,FALSE)</f>
        <v>-12677.17</v>
      </c>
    </row>
    <row r="227" spans="1:5">
      <c r="A227" s="578" t="s">
        <v>1559</v>
      </c>
      <c r="B227" s="578" t="s">
        <v>1560</v>
      </c>
      <c r="C227" s="513">
        <v>-9683.98</v>
      </c>
      <c r="D227" s="513">
        <v>-10778.08</v>
      </c>
      <c r="E227">
        <f>VLOOKUP(A227,Ucto_HK_summ!$A$2:$G$963,7,FALSE)</f>
        <v>-10778.08</v>
      </c>
    </row>
    <row r="228" spans="1:5">
      <c r="A228" s="578" t="s">
        <v>1561</v>
      </c>
      <c r="B228" s="578" t="s">
        <v>1562</v>
      </c>
      <c r="C228" s="513">
        <v>-11782.79</v>
      </c>
      <c r="D228" s="513">
        <v>-13147.91</v>
      </c>
      <c r="E228">
        <f>VLOOKUP(A228,Ucto_HK_summ!$A$2:$G$963,7,FALSE)</f>
        <v>-13147.91</v>
      </c>
    </row>
    <row r="229" spans="1:5">
      <c r="A229" s="578" t="s">
        <v>1563</v>
      </c>
      <c r="B229" s="578" t="s">
        <v>1564</v>
      </c>
      <c r="C229" s="513">
        <v>-6330.57</v>
      </c>
      <c r="D229" s="513">
        <v>-7464.83</v>
      </c>
      <c r="E229">
        <f>VLOOKUP(A229,Ucto_HK_summ!$A$2:$G$963,7,FALSE)</f>
        <v>-7464.83</v>
      </c>
    </row>
    <row r="230" spans="1:5">
      <c r="A230" s="578" t="s">
        <v>1565</v>
      </c>
      <c r="B230" s="578" t="s">
        <v>1558</v>
      </c>
      <c r="C230" s="513">
        <v>-6702.74</v>
      </c>
      <c r="D230" s="513">
        <v>-7222.19</v>
      </c>
      <c r="E230">
        <f>VLOOKUP(A230,Ucto_HK_summ!$A$2:$G$963,7,FALSE)</f>
        <v>-7222.19</v>
      </c>
    </row>
    <row r="231" spans="1:5">
      <c r="A231" s="578" t="s">
        <v>1566</v>
      </c>
      <c r="B231" s="578" t="s">
        <v>1560</v>
      </c>
      <c r="C231" s="513">
        <v>-6037.93</v>
      </c>
      <c r="D231" s="513">
        <v>-5969.52</v>
      </c>
      <c r="E231">
        <f>VLOOKUP(A231,Ucto_HK_summ!$A$2:$G$963,7,FALSE)</f>
        <v>-5969.52</v>
      </c>
    </row>
    <row r="232" spans="1:5">
      <c r="A232" s="578" t="s">
        <v>1567</v>
      </c>
      <c r="B232" s="578" t="s">
        <v>1562</v>
      </c>
      <c r="C232" s="513">
        <v>-7550.99</v>
      </c>
      <c r="D232" s="513">
        <v>-8096.91</v>
      </c>
      <c r="E232">
        <f>VLOOKUP(A232,Ucto_HK_summ!$A$2:$G$963,7,FALSE)</f>
        <v>-8096.91</v>
      </c>
    </row>
    <row r="233" spans="1:5">
      <c r="A233" s="578" t="s">
        <v>1568</v>
      </c>
      <c r="B233" s="578" t="s">
        <v>1564</v>
      </c>
      <c r="C233" s="513">
        <v>-4090.98</v>
      </c>
      <c r="D233" s="513">
        <v>-4141.5600000000004</v>
      </c>
      <c r="E233">
        <f>VLOOKUP(A233,Ucto_HK_summ!$A$2:$G$963,7,FALSE)</f>
        <v>-4141.5600000000004</v>
      </c>
    </row>
    <row r="234" spans="1:5">
      <c r="A234" s="578" t="s">
        <v>1569</v>
      </c>
      <c r="B234" s="578" t="s">
        <v>1570</v>
      </c>
      <c r="C234">
        <v>-86</v>
      </c>
      <c r="D234">
        <v>-86</v>
      </c>
      <c r="E234">
        <f>VLOOKUP(A234,Ucto_HK_summ!$A$2:$G$963,7,FALSE)</f>
        <v>-86</v>
      </c>
    </row>
    <row r="235" spans="1:5">
      <c r="A235" s="578" t="s">
        <v>1571</v>
      </c>
      <c r="B235" s="578" t="s">
        <v>1572</v>
      </c>
      <c r="C235">
        <v>-17.739999999999998</v>
      </c>
      <c r="D235">
        <v>-15.75</v>
      </c>
      <c r="E235">
        <f>VLOOKUP(A235,Ucto_HK_summ!$A$2:$G$963,7,FALSE)</f>
        <v>-15.75</v>
      </c>
    </row>
    <row r="236" spans="1:5">
      <c r="A236" s="578" t="s">
        <v>1573</v>
      </c>
      <c r="B236" s="578" t="s">
        <v>1574</v>
      </c>
      <c r="C236">
        <v>0</v>
      </c>
      <c r="D236">
        <v>0</v>
      </c>
      <c r="E236">
        <f>VLOOKUP(A236,Ucto_HK_summ!$A$2:$G$963,7,FALSE)</f>
        <v>0</v>
      </c>
    </row>
    <row r="237" spans="1:5">
      <c r="A237" s="578" t="s">
        <v>1575</v>
      </c>
      <c r="C237" s="513">
        <v>-41010999.780000001</v>
      </c>
      <c r="D237" s="513">
        <v>-33861051.729999997</v>
      </c>
      <c r="E237">
        <f>VLOOKUP(A237,Ucto_HK_summ!$A$2:$G$963,7,FALSE)</f>
        <v>-33861051.729999997</v>
      </c>
    </row>
    <row r="238" spans="1:5">
      <c r="A238" s="577" t="s">
        <v>1576</v>
      </c>
      <c r="C238" s="579">
        <v>-44517041.979999997</v>
      </c>
      <c r="D238" s="579">
        <v>-37876059.149999999</v>
      </c>
      <c r="E238">
        <f>VLOOKUP(A238,Ucto_HK_summ!$A$2:$G$963,7,FALSE)</f>
        <v>-37876059.149999999</v>
      </c>
    </row>
    <row r="240" spans="1:5">
      <c r="A240" s="578" t="s">
        <v>1577</v>
      </c>
      <c r="B240" s="578" t="s">
        <v>224</v>
      </c>
      <c r="C240" s="513">
        <v>-38040.14</v>
      </c>
      <c r="D240">
        <v>0</v>
      </c>
      <c r="E240">
        <f>VLOOKUP(A240,Ucto_HK_summ!$A$2:$G$963,7,FALSE)</f>
        <v>0</v>
      </c>
    </row>
    <row r="241" spans="1:5">
      <c r="A241" s="578" t="s">
        <v>1578</v>
      </c>
      <c r="B241" s="578" t="s">
        <v>1579</v>
      </c>
      <c r="C241">
        <v>0</v>
      </c>
      <c r="D241" s="513">
        <v>86737.81</v>
      </c>
      <c r="E241">
        <f>VLOOKUP(A241,Ucto_HK_summ!$A$2:$G$963,7,FALSE)</f>
        <v>86737.81</v>
      </c>
    </row>
    <row r="242" spans="1:5">
      <c r="A242" s="578" t="s">
        <v>1580</v>
      </c>
      <c r="B242" s="578" t="s">
        <v>1581</v>
      </c>
      <c r="C242">
        <v>0</v>
      </c>
      <c r="D242">
        <v>0</v>
      </c>
      <c r="E242">
        <f>VLOOKUP(A242,Ucto_HK_summ!$A$2:$G$963,7,FALSE)</f>
        <v>0</v>
      </c>
    </row>
    <row r="243" spans="1:5">
      <c r="A243" s="578" t="s">
        <v>1582</v>
      </c>
      <c r="C243" s="513">
        <v>-38040.14</v>
      </c>
      <c r="D243" s="513">
        <v>86737.81</v>
      </c>
      <c r="E243">
        <f>VLOOKUP(A243,Ucto_HK_summ!$A$2:$G$963,7,FALSE)</f>
        <v>86737.81</v>
      </c>
    </row>
    <row r="244" spans="1:5">
      <c r="A244" s="578" t="s">
        <v>1583</v>
      </c>
      <c r="B244" s="578" t="s">
        <v>1584</v>
      </c>
      <c r="C244" s="513">
        <v>-608746.07999999996</v>
      </c>
      <c r="D244" s="513">
        <v>-722178.84</v>
      </c>
      <c r="E244">
        <f>VLOOKUP(A244,Ucto_HK_summ!$A$2:$G$963,7,FALSE)</f>
        <v>-722178.84</v>
      </c>
    </row>
    <row r="245" spans="1:5">
      <c r="A245" s="578" t="s">
        <v>1585</v>
      </c>
      <c r="C245" s="513">
        <v>-608746.07999999996</v>
      </c>
      <c r="D245" s="513">
        <v>-722178.84</v>
      </c>
      <c r="E245">
        <f>VLOOKUP(A245,Ucto_HK_summ!$A$2:$G$963,7,FALSE)</f>
        <v>-722178.84</v>
      </c>
    </row>
    <row r="246" spans="1:5">
      <c r="A246" s="578" t="s">
        <v>1586</v>
      </c>
      <c r="B246" s="578" t="s">
        <v>1587</v>
      </c>
      <c r="C246">
        <v>0</v>
      </c>
      <c r="D246">
        <v>0</v>
      </c>
      <c r="E246">
        <f>VLOOKUP(A246,Ucto_HK_summ!$A$2:$G$963,7,FALSE)</f>
        <v>0</v>
      </c>
    </row>
    <row r="247" spans="1:5">
      <c r="A247" s="578" t="s">
        <v>1588</v>
      </c>
      <c r="B247" s="578" t="s">
        <v>1589</v>
      </c>
      <c r="C247">
        <v>0</v>
      </c>
      <c r="D247">
        <v>0</v>
      </c>
      <c r="E247">
        <f>VLOOKUP(A247,Ucto_HK_summ!$A$2:$G$963,7,FALSE)</f>
        <v>0</v>
      </c>
    </row>
    <row r="248" spans="1:5">
      <c r="A248" s="578" t="s">
        <v>1590</v>
      </c>
      <c r="B248" s="578" t="s">
        <v>1591</v>
      </c>
      <c r="C248">
        <v>0</v>
      </c>
      <c r="D248">
        <v>0</v>
      </c>
      <c r="E248">
        <f>VLOOKUP(A248,Ucto_HK_summ!$A$2:$G$963,7,FALSE)</f>
        <v>0</v>
      </c>
    </row>
    <row r="249" spans="1:5">
      <c r="A249" s="578" t="s">
        <v>1592</v>
      </c>
      <c r="B249" s="578" t="s">
        <v>1593</v>
      </c>
      <c r="C249">
        <v>0</v>
      </c>
      <c r="D249">
        <v>0</v>
      </c>
      <c r="E249">
        <f>VLOOKUP(A249,Ucto_HK_summ!$A$2:$G$963,7,FALSE)</f>
        <v>0</v>
      </c>
    </row>
    <row r="250" spans="1:5">
      <c r="A250" s="578" t="s">
        <v>1594</v>
      </c>
      <c r="B250" s="578" t="s">
        <v>1595</v>
      </c>
      <c r="C250">
        <v>0</v>
      </c>
      <c r="D250">
        <v>0</v>
      </c>
      <c r="E250">
        <f>VLOOKUP(A250,Ucto_HK_summ!$A$2:$G$963,7,FALSE)</f>
        <v>0</v>
      </c>
    </row>
    <row r="251" spans="1:5">
      <c r="A251" s="578" t="s">
        <v>1596</v>
      </c>
      <c r="B251" s="578" t="s">
        <v>1597</v>
      </c>
      <c r="C251">
        <v>0</v>
      </c>
      <c r="D251">
        <v>0</v>
      </c>
      <c r="E251">
        <f>VLOOKUP(A251,Ucto_HK_summ!$A$2:$G$963,7,FALSE)</f>
        <v>0</v>
      </c>
    </row>
    <row r="252" spans="1:5">
      <c r="A252" s="578" t="s">
        <v>1598</v>
      </c>
      <c r="B252" s="578" t="s">
        <v>1599</v>
      </c>
      <c r="C252">
        <v>0</v>
      </c>
      <c r="D252">
        <v>0</v>
      </c>
      <c r="E252">
        <f>VLOOKUP(A252,Ucto_HK_summ!$A$2:$G$963,7,FALSE)</f>
        <v>0</v>
      </c>
    </row>
    <row r="253" spans="1:5">
      <c r="A253" s="578" t="s">
        <v>1600</v>
      </c>
      <c r="B253" s="578" t="s">
        <v>1601</v>
      </c>
      <c r="C253">
        <v>0</v>
      </c>
      <c r="D253">
        <v>0</v>
      </c>
      <c r="E253">
        <f>VLOOKUP(A253,Ucto_HK_summ!$A$2:$G$963,7,FALSE)</f>
        <v>0</v>
      </c>
    </row>
    <row r="254" spans="1:5">
      <c r="A254" s="578" t="s">
        <v>1602</v>
      </c>
      <c r="B254" s="578" t="s">
        <v>1603</v>
      </c>
      <c r="C254">
        <v>0</v>
      </c>
      <c r="D254">
        <v>0</v>
      </c>
      <c r="E254">
        <f>VLOOKUP(A254,Ucto_HK_summ!$A$2:$G$963,7,FALSE)</f>
        <v>0</v>
      </c>
    </row>
    <row r="255" spans="1:5">
      <c r="A255" s="578" t="s">
        <v>1604</v>
      </c>
      <c r="B255" s="578" t="s">
        <v>1605</v>
      </c>
      <c r="C255">
        <v>0</v>
      </c>
      <c r="D255">
        <v>0</v>
      </c>
      <c r="E255">
        <f>VLOOKUP(A255,Ucto_HK_summ!$A$2:$G$963,7,FALSE)</f>
        <v>0</v>
      </c>
    </row>
    <row r="256" spans="1:5">
      <c r="A256" s="578" t="s">
        <v>1606</v>
      </c>
      <c r="B256" s="578" t="s">
        <v>1607</v>
      </c>
      <c r="C256">
        <v>0</v>
      </c>
      <c r="D256">
        <v>0</v>
      </c>
      <c r="E256">
        <f>VLOOKUP(A256,Ucto_HK_summ!$A$2:$G$963,7,FALSE)</f>
        <v>0</v>
      </c>
    </row>
    <row r="257" spans="1:5">
      <c r="A257" s="578" t="s">
        <v>1608</v>
      </c>
      <c r="B257" s="578" t="s">
        <v>1609</v>
      </c>
      <c r="C257" s="513">
        <v>-55777.7</v>
      </c>
      <c r="D257" s="513">
        <v>-19408.169999999998</v>
      </c>
      <c r="E257">
        <f>VLOOKUP(A257,Ucto_HK_summ!$A$2:$G$963,7,FALSE)</f>
        <v>-19408.169999999998</v>
      </c>
    </row>
    <row r="258" spans="1:5">
      <c r="A258" s="578" t="s">
        <v>1610</v>
      </c>
      <c r="C258" s="513">
        <v>-55777.7</v>
      </c>
      <c r="D258" s="513">
        <v>-19408.169999999998</v>
      </c>
      <c r="E258">
        <f>VLOOKUP(A258,Ucto_HK_summ!$A$2:$G$963,7,FALSE)</f>
        <v>-19408.169999999998</v>
      </c>
    </row>
    <row r="259" spans="1:5">
      <c r="A259" s="578" t="s">
        <v>1611</v>
      </c>
      <c r="B259" s="578" t="s">
        <v>1612</v>
      </c>
      <c r="C259">
        <v>0</v>
      </c>
      <c r="D259">
        <v>0</v>
      </c>
      <c r="E259">
        <f>VLOOKUP(A259,Ucto_HK_summ!$A$2:$G$963,7,FALSE)</f>
        <v>0</v>
      </c>
    </row>
    <row r="260" spans="1:5">
      <c r="A260" s="578" t="s">
        <v>1613</v>
      </c>
      <c r="B260" s="578" t="s">
        <v>235</v>
      </c>
      <c r="C260">
        <v>0</v>
      </c>
      <c r="D260">
        <v>0</v>
      </c>
      <c r="E260">
        <f>VLOOKUP(A260,Ucto_HK_summ!$A$2:$G$963,7,FALSE)</f>
        <v>0</v>
      </c>
    </row>
    <row r="261" spans="1:5">
      <c r="A261" s="578" t="s">
        <v>1614</v>
      </c>
      <c r="B261" s="578" t="s">
        <v>1615</v>
      </c>
      <c r="C261">
        <v>0</v>
      </c>
      <c r="D261">
        <v>0</v>
      </c>
      <c r="E261">
        <f>VLOOKUP(A261,Ucto_HK_summ!$A$2:$G$963,7,FALSE)</f>
        <v>0</v>
      </c>
    </row>
    <row r="262" spans="1:5">
      <c r="A262" s="578" t="s">
        <v>1616</v>
      </c>
      <c r="C262">
        <v>0</v>
      </c>
      <c r="D262">
        <v>0</v>
      </c>
      <c r="E262">
        <f>VLOOKUP(A262,Ucto_HK_summ!$A$2:$G$963,7,FALSE)</f>
        <v>0</v>
      </c>
    </row>
    <row r="263" spans="1:5">
      <c r="A263" s="577" t="s">
        <v>1617</v>
      </c>
      <c r="C263" s="579">
        <v>-702563.92</v>
      </c>
      <c r="D263" s="579">
        <v>-654849.19999999995</v>
      </c>
      <c r="E263">
        <f>VLOOKUP(A263,Ucto_HK_summ!$A$2:$G$963,7,FALSE)</f>
        <v>-654849.19999999995</v>
      </c>
    </row>
    <row r="265" spans="1:5">
      <c r="A265" s="578" t="s">
        <v>1618</v>
      </c>
      <c r="B265" s="578" t="s">
        <v>1619</v>
      </c>
      <c r="C265">
        <v>0</v>
      </c>
      <c r="D265">
        <v>0</v>
      </c>
      <c r="E265">
        <f>VLOOKUP(A265,Ucto_HK_summ!$A$2:$G$963,7,FALSE)</f>
        <v>0</v>
      </c>
    </row>
    <row r="266" spans="1:5">
      <c r="A266" s="578" t="s">
        <v>1620</v>
      </c>
      <c r="B266" s="578" t="s">
        <v>1621</v>
      </c>
      <c r="C266">
        <v>0</v>
      </c>
      <c r="D266">
        <v>0</v>
      </c>
      <c r="E266">
        <f>VLOOKUP(A266,Ucto_HK_summ!$A$2:$G$963,7,FALSE)</f>
        <v>0</v>
      </c>
    </row>
    <row r="267" spans="1:5">
      <c r="A267" s="578" t="s">
        <v>1622</v>
      </c>
      <c r="C267">
        <v>0</v>
      </c>
      <c r="D267">
        <v>0</v>
      </c>
      <c r="E267">
        <f>VLOOKUP(A267,Ucto_HK_summ!$A$2:$G$963,7,FALSE)</f>
        <v>0</v>
      </c>
    </row>
    <row r="268" spans="1:5">
      <c r="A268" s="578" t="s">
        <v>1623</v>
      </c>
      <c r="B268" s="578" t="s">
        <v>1624</v>
      </c>
      <c r="C268" s="513">
        <v>-13409322.869999999</v>
      </c>
      <c r="D268" s="513">
        <v>-18861018.140000001</v>
      </c>
      <c r="E268">
        <f>VLOOKUP(A268,Ucto_HK_summ!$A$2:$G$963,7,FALSE)</f>
        <v>-18861018.140000001</v>
      </c>
    </row>
    <row r="269" spans="1:5">
      <c r="A269" s="578" t="s">
        <v>1625</v>
      </c>
      <c r="B269" s="578" t="s">
        <v>1626</v>
      </c>
      <c r="C269" s="513">
        <v>-840342.74</v>
      </c>
      <c r="D269" s="550">
        <v>-778850</v>
      </c>
      <c r="E269">
        <f>VLOOKUP(A269,Ucto_HK_summ!$A$2:$G$963,7,FALSE)</f>
        <v>-778850</v>
      </c>
    </row>
    <row r="270" spans="1:5">
      <c r="A270" s="578" t="s">
        <v>1627</v>
      </c>
      <c r="B270" s="578" t="s">
        <v>1628</v>
      </c>
      <c r="C270" s="513">
        <v>-19225776.73</v>
      </c>
      <c r="D270" s="513">
        <v>-18339803.059999999</v>
      </c>
      <c r="E270">
        <f>VLOOKUP(A270,Ucto_HK_summ!$A$2:$G$963,7,FALSE)</f>
        <v>-18339803.059999999</v>
      </c>
    </row>
    <row r="271" spans="1:5">
      <c r="A271" s="578" t="s">
        <v>1629</v>
      </c>
      <c r="B271" s="578" t="s">
        <v>1630</v>
      </c>
      <c r="C271" s="513">
        <v>-5907513.5899999999</v>
      </c>
      <c r="D271" s="513">
        <v>-4427544.8899999997</v>
      </c>
      <c r="E271">
        <f>VLOOKUP(A271,Ucto_HK_summ!$A$2:$G$963,7,FALSE)</f>
        <v>-4427544.8899999997</v>
      </c>
    </row>
    <row r="272" spans="1:5">
      <c r="A272" s="578" t="s">
        <v>1631</v>
      </c>
      <c r="B272" s="578" t="s">
        <v>1632</v>
      </c>
      <c r="C272" s="513">
        <v>-5963.17</v>
      </c>
      <c r="D272" s="513">
        <v>-490203.98</v>
      </c>
      <c r="E272">
        <f>VLOOKUP(A272,Ucto_HK_summ!$A$2:$G$963,7,FALSE)</f>
        <v>-490203.98</v>
      </c>
    </row>
    <row r="273" spans="1:5">
      <c r="A273" s="578" t="s">
        <v>1633</v>
      </c>
      <c r="C273" s="513">
        <v>-39388919.100000001</v>
      </c>
      <c r="D273" s="513">
        <v>-42897420.07</v>
      </c>
      <c r="E273">
        <f>VLOOKUP(A273,Ucto_HK_summ!$A$2:$G$963,7,FALSE)</f>
        <v>-42897420.07</v>
      </c>
    </row>
    <row r="274" spans="1:5">
      <c r="A274" s="578" t="s">
        <v>1634</v>
      </c>
      <c r="B274" s="578" t="s">
        <v>1635</v>
      </c>
      <c r="C274">
        <v>0</v>
      </c>
      <c r="D274">
        <v>0</v>
      </c>
      <c r="E274">
        <f>VLOOKUP(A274,Ucto_HK_summ!$A$2:$G$963,7,FALSE)</f>
        <v>0</v>
      </c>
    </row>
    <row r="275" spans="1:5">
      <c r="A275" s="578" t="s">
        <v>1636</v>
      </c>
      <c r="C275">
        <v>0</v>
      </c>
      <c r="D275">
        <v>0</v>
      </c>
      <c r="E275">
        <f>VLOOKUP(A275,Ucto_HK_summ!$A$2:$G$963,7,FALSE)</f>
        <v>0</v>
      </c>
    </row>
    <row r="276" spans="1:5">
      <c r="A276" s="577" t="s">
        <v>1637</v>
      </c>
      <c r="C276" s="579">
        <v>-39388919.100000001</v>
      </c>
      <c r="D276" s="579">
        <v>-42897420.07</v>
      </c>
      <c r="E276">
        <f>VLOOKUP(A276,Ucto_HK_summ!$A$2:$G$963,7,FALSE)</f>
        <v>-42897420.07</v>
      </c>
    </row>
    <row r="278" spans="1:5">
      <c r="A278" s="578" t="s">
        <v>1638</v>
      </c>
      <c r="B278" s="578" t="s">
        <v>1639</v>
      </c>
      <c r="C278" s="513">
        <v>-22960.799999999999</v>
      </c>
      <c r="D278" s="513">
        <v>-22960.799999999999</v>
      </c>
      <c r="E278">
        <f>VLOOKUP(A278,Ucto_HK_summ!$A$2:$G$963,7,FALSE)</f>
        <v>-22960.799999999999</v>
      </c>
    </row>
    <row r="279" spans="1:5">
      <c r="A279" s="578" t="s">
        <v>1640</v>
      </c>
      <c r="B279" s="578" t="s">
        <v>1641</v>
      </c>
      <c r="C279" s="513">
        <v>-262071.83</v>
      </c>
      <c r="D279" s="513">
        <v>-185625.89</v>
      </c>
      <c r="E279">
        <f>VLOOKUP(A279,Ucto_HK_summ!$A$2:$G$963,7,FALSE)</f>
        <v>-185625.89</v>
      </c>
    </row>
    <row r="280" spans="1:5">
      <c r="A280" s="578" t="s">
        <v>1642</v>
      </c>
      <c r="C280" s="513">
        <v>-285032.63</v>
      </c>
      <c r="D280" s="513">
        <v>-208586.69</v>
      </c>
      <c r="E280">
        <f>VLOOKUP(A280,Ucto_HK_summ!$A$2:$G$963,7,FALSE)</f>
        <v>-208586.69</v>
      </c>
    </row>
    <row r="281" spans="1:5">
      <c r="A281" s="578" t="s">
        <v>1643</v>
      </c>
      <c r="B281" s="578" t="s">
        <v>1644</v>
      </c>
      <c r="C281" s="513">
        <v>11742.35</v>
      </c>
      <c r="D281" s="513">
        <v>11742.35</v>
      </c>
      <c r="E281">
        <f>VLOOKUP(A281,Ucto_HK_summ!$A$2:$G$963,7,FALSE)</f>
        <v>11742.35</v>
      </c>
    </row>
    <row r="282" spans="1:5">
      <c r="A282" s="578" t="s">
        <v>1645</v>
      </c>
      <c r="B282" s="578" t="s">
        <v>1646</v>
      </c>
      <c r="C282">
        <v>50</v>
      </c>
      <c r="D282">
        <v>100</v>
      </c>
      <c r="E282">
        <f>VLOOKUP(A282,Ucto_HK_summ!$A$2:$G$963,7,FALSE)</f>
        <v>100</v>
      </c>
    </row>
    <row r="283" spans="1:5">
      <c r="A283" s="578" t="s">
        <v>1647</v>
      </c>
      <c r="B283" s="578" t="s">
        <v>1648</v>
      </c>
      <c r="C283">
        <v>0</v>
      </c>
      <c r="D283">
        <v>0</v>
      </c>
      <c r="E283">
        <f>VLOOKUP(A283,Ucto_HK_summ!$A$2:$G$963,7,FALSE)</f>
        <v>0</v>
      </c>
    </row>
    <row r="284" spans="1:5">
      <c r="A284" s="578" t="s">
        <v>1649</v>
      </c>
      <c r="B284" s="578" t="s">
        <v>1650</v>
      </c>
      <c r="C284" s="513">
        <v>76250.509999999995</v>
      </c>
      <c r="D284" s="513">
        <v>74925.919999999998</v>
      </c>
      <c r="E284">
        <f>VLOOKUP(A284,Ucto_HK_summ!$A$2:$G$963,7,FALSE)</f>
        <v>74925.919999999998</v>
      </c>
    </row>
    <row r="285" spans="1:5">
      <c r="A285" s="578" t="s">
        <v>1651</v>
      </c>
      <c r="B285" s="578" t="s">
        <v>1652</v>
      </c>
      <c r="C285">
        <v>-370.63</v>
      </c>
      <c r="D285" s="550">
        <v>1935</v>
      </c>
      <c r="E285">
        <f>VLOOKUP(A285,Ucto_HK_summ!$A$2:$G$963,7,FALSE)</f>
        <v>1935</v>
      </c>
    </row>
    <row r="286" spans="1:5">
      <c r="A286" s="578" t="s">
        <v>1653</v>
      </c>
      <c r="B286" s="578" t="s">
        <v>1654</v>
      </c>
      <c r="C286" s="513">
        <v>2086.09</v>
      </c>
      <c r="D286" s="513">
        <v>2086.09</v>
      </c>
      <c r="E286">
        <f>VLOOKUP(A286,Ucto_HK_summ!$A$2:$G$963,7,FALSE)</f>
        <v>2086.09</v>
      </c>
    </row>
    <row r="287" spans="1:5">
      <c r="A287" s="578" t="s">
        <v>1655</v>
      </c>
      <c r="C287" s="513">
        <v>89758.32</v>
      </c>
      <c r="D287" s="513">
        <v>90789.36</v>
      </c>
      <c r="E287">
        <f>VLOOKUP(A287,Ucto_HK_summ!$A$2:$G$963,7,FALSE)</f>
        <v>90789.36</v>
      </c>
    </row>
    <row r="288" spans="1:5">
      <c r="A288" s="578" t="s">
        <v>1656</v>
      </c>
      <c r="B288" s="578" t="s">
        <v>1657</v>
      </c>
      <c r="C288" s="550">
        <v>-96300</v>
      </c>
      <c r="D288" s="550">
        <v>-1300</v>
      </c>
      <c r="E288">
        <f>VLOOKUP(A288,Ucto_HK_summ!$A$2:$G$963,7,FALSE)</f>
        <v>-1300</v>
      </c>
    </row>
    <row r="289" spans="1:5">
      <c r="A289" s="578" t="s">
        <v>1658</v>
      </c>
      <c r="B289" s="578" t="s">
        <v>1659</v>
      </c>
      <c r="C289">
        <v>0</v>
      </c>
      <c r="D289" s="513">
        <v>-16231.46</v>
      </c>
      <c r="E289">
        <f>VLOOKUP(A289,Ucto_HK_summ!$A$2:$G$963,7,FALSE)</f>
        <v>-16231.46</v>
      </c>
    </row>
    <row r="290" spans="1:5">
      <c r="A290" s="578" t="s">
        <v>1660</v>
      </c>
      <c r="B290" s="578" t="s">
        <v>1661</v>
      </c>
      <c r="C290">
        <v>0</v>
      </c>
      <c r="D290">
        <v>0</v>
      </c>
      <c r="E290">
        <f>VLOOKUP(A290,Ucto_HK_summ!$A$2:$G$963,7,FALSE)</f>
        <v>0</v>
      </c>
    </row>
    <row r="291" spans="1:5">
      <c r="A291" s="578" t="s">
        <v>1662</v>
      </c>
      <c r="B291" s="578" t="s">
        <v>1663</v>
      </c>
      <c r="C291" s="513">
        <v>-23734.720000000001</v>
      </c>
      <c r="D291" s="513">
        <v>-21190.18</v>
      </c>
      <c r="E291">
        <f>VLOOKUP(A291,Ucto_HK_summ!$A$2:$G$963,7,FALSE)</f>
        <v>-21190.18</v>
      </c>
    </row>
    <row r="292" spans="1:5">
      <c r="A292" s="578" t="s">
        <v>1664</v>
      </c>
      <c r="B292" s="578" t="s">
        <v>1665</v>
      </c>
      <c r="C292" s="550">
        <v>-1200</v>
      </c>
      <c r="D292" s="513">
        <v>-22937.67</v>
      </c>
      <c r="E292">
        <f>VLOOKUP(A292,Ucto_HK_summ!$A$2:$G$963,7,FALSE)</f>
        <v>-22937.67</v>
      </c>
    </row>
    <row r="293" spans="1:5">
      <c r="A293" s="578" t="s">
        <v>1666</v>
      </c>
      <c r="B293" s="578" t="s">
        <v>1667</v>
      </c>
      <c r="C293" s="513">
        <v>-35138.42</v>
      </c>
      <c r="D293">
        <v>-169.7</v>
      </c>
      <c r="E293">
        <f>VLOOKUP(A293,Ucto_HK_summ!$A$2:$G$963,7,FALSE)</f>
        <v>-169.7</v>
      </c>
    </row>
    <row r="294" spans="1:5">
      <c r="A294" s="578" t="s">
        <v>1668</v>
      </c>
      <c r="B294" s="578" t="s">
        <v>1669</v>
      </c>
      <c r="C294" s="513">
        <v>-20908427.620000001</v>
      </c>
      <c r="D294" s="513">
        <v>-22715701.079999998</v>
      </c>
      <c r="E294">
        <f>VLOOKUP(A294,Ucto_HK_summ!$A$2:$G$963,7,FALSE)</f>
        <v>-22715701.079999998</v>
      </c>
    </row>
    <row r="295" spans="1:5">
      <c r="A295" s="578" t="s">
        <v>1670</v>
      </c>
      <c r="B295" s="578" t="s">
        <v>1671</v>
      </c>
      <c r="C295" s="513">
        <v>-521876.59</v>
      </c>
      <c r="D295" s="513">
        <v>-521871.77</v>
      </c>
      <c r="E295">
        <f>VLOOKUP(A295,Ucto_HK_summ!$A$2:$G$963,7,FALSE)</f>
        <v>-521871.77</v>
      </c>
    </row>
    <row r="296" spans="1:5">
      <c r="A296" s="578" t="s">
        <v>1672</v>
      </c>
      <c r="B296" s="578" t="s">
        <v>1673</v>
      </c>
      <c r="C296">
        <v>0</v>
      </c>
      <c r="D296" s="513">
        <v>-1852890.7</v>
      </c>
      <c r="E296">
        <f>VLOOKUP(A296,Ucto_HK_summ!$A$2:$G$963,7,FALSE)</f>
        <v>-1852890.7</v>
      </c>
    </row>
    <row r="297" spans="1:5">
      <c r="A297" s="578" t="s">
        <v>1674</v>
      </c>
      <c r="C297" s="513">
        <v>-21586677.350000001</v>
      </c>
      <c r="D297" s="513">
        <v>-25152292.559999999</v>
      </c>
      <c r="E297">
        <f>VLOOKUP(A297,Ucto_HK_summ!$A$2:$G$963,7,FALSE)</f>
        <v>-25152292.559999999</v>
      </c>
    </row>
    <row r="298" spans="1:5">
      <c r="A298" s="577" t="s">
        <v>1675</v>
      </c>
      <c r="C298" s="579">
        <v>-21781951.66</v>
      </c>
      <c r="D298" s="579">
        <v>-25270089.890000001</v>
      </c>
      <c r="E298">
        <f>VLOOKUP(A298,Ucto_HK_summ!$A$2:$G$963,7,FALSE)</f>
        <v>-25270089.890000001</v>
      </c>
    </row>
    <row r="300" spans="1:5">
      <c r="A300" s="578" t="s">
        <v>1676</v>
      </c>
      <c r="B300" s="578" t="s">
        <v>1677</v>
      </c>
      <c r="C300" s="513">
        <v>31993.05</v>
      </c>
      <c r="D300" s="513">
        <v>18963.919999999998</v>
      </c>
      <c r="E300">
        <f>VLOOKUP(A300,Ucto_HK_summ!$A$2:$G$963,7,FALSE)</f>
        <v>18963.919999999998</v>
      </c>
    </row>
    <row r="301" spans="1:5">
      <c r="A301" s="578" t="s">
        <v>1678</v>
      </c>
      <c r="C301" s="513">
        <v>31993.05</v>
      </c>
      <c r="D301" s="513">
        <v>18963.919999999998</v>
      </c>
      <c r="E301">
        <f>VLOOKUP(A301,Ucto_HK_summ!$A$2:$G$963,7,FALSE)</f>
        <v>18963.919999999998</v>
      </c>
    </row>
    <row r="302" spans="1:5">
      <c r="A302" s="578" t="s">
        <v>1679</v>
      </c>
      <c r="B302" s="578" t="s">
        <v>1680</v>
      </c>
      <c r="C302" s="513">
        <v>-213980.42</v>
      </c>
      <c r="D302" s="513">
        <v>-384259.41</v>
      </c>
      <c r="E302">
        <f>VLOOKUP(A302,Ucto_HK_summ!$A$2:$G$963,7,FALSE)</f>
        <v>-384259.41</v>
      </c>
    </row>
    <row r="303" spans="1:5">
      <c r="A303" s="578" t="s">
        <v>1681</v>
      </c>
      <c r="B303" s="578" t="s">
        <v>1682</v>
      </c>
      <c r="C303" s="513">
        <v>-10439.58</v>
      </c>
      <c r="D303" s="513">
        <v>-6142.01</v>
      </c>
      <c r="E303">
        <f>VLOOKUP(A303,Ucto_HK_summ!$A$2:$G$963,7,FALSE)</f>
        <v>-6142.01</v>
      </c>
    </row>
    <row r="304" spans="1:5">
      <c r="A304" s="578" t="s">
        <v>1683</v>
      </c>
      <c r="C304" s="550">
        <v>-224420</v>
      </c>
      <c r="D304" s="513">
        <v>-390401.42</v>
      </c>
      <c r="E304">
        <f>VLOOKUP(A304,Ucto_HK_summ!$A$2:$G$963,7,FALSE)</f>
        <v>-390401.42</v>
      </c>
    </row>
    <row r="305" spans="1:5">
      <c r="A305" s="578" t="s">
        <v>1684</v>
      </c>
      <c r="B305" s="578" t="s">
        <v>1685</v>
      </c>
      <c r="C305">
        <v>0</v>
      </c>
      <c r="D305" s="513">
        <v>1603166.25</v>
      </c>
      <c r="E305">
        <f>VLOOKUP(A305,Ucto_HK_summ!$A$2:$G$963,7,FALSE)</f>
        <v>1603166.25</v>
      </c>
    </row>
    <row r="306" spans="1:5">
      <c r="A306" s="578" t="s">
        <v>1686</v>
      </c>
      <c r="C306">
        <v>0</v>
      </c>
      <c r="D306" s="513">
        <v>1603166.25</v>
      </c>
      <c r="E306">
        <f>VLOOKUP(A306,Ucto_HK_summ!$A$2:$G$963,7,FALSE)</f>
        <v>1603166.25</v>
      </c>
    </row>
    <row r="307" spans="1:5">
      <c r="A307" s="577" t="s">
        <v>1687</v>
      </c>
      <c r="C307" s="579">
        <v>-192426.95</v>
      </c>
      <c r="D307" s="579">
        <v>1231728.75</v>
      </c>
      <c r="E307">
        <f>VLOOKUP(A307,Ucto_HK_summ!$A$2:$G$963,7,FALSE)</f>
        <v>1231728.75</v>
      </c>
    </row>
    <row r="309" spans="1:5">
      <c r="A309" s="578" t="s">
        <v>1688</v>
      </c>
      <c r="B309" s="578" t="s">
        <v>1689</v>
      </c>
      <c r="C309" s="513">
        <v>-190569.32</v>
      </c>
      <c r="D309">
        <v>0</v>
      </c>
      <c r="E309">
        <f>VLOOKUP(A309,Ucto_HK_summ!$A$2:$G$963,7,FALSE)</f>
        <v>0</v>
      </c>
    </row>
    <row r="310" spans="1:5">
      <c r="A310" s="578" t="s">
        <v>1690</v>
      </c>
      <c r="B310" s="578" t="s">
        <v>1691</v>
      </c>
      <c r="C310" s="513">
        <v>-198588.74</v>
      </c>
      <c r="D310" s="513">
        <v>-281965.09000000003</v>
      </c>
      <c r="E310">
        <f>VLOOKUP(A310,Ucto_HK_summ!$A$2:$G$963,7,FALSE)</f>
        <v>-281965.09000000003</v>
      </c>
    </row>
    <row r="311" spans="1:5">
      <c r="A311" s="578" t="s">
        <v>1692</v>
      </c>
      <c r="B311" s="578" t="s">
        <v>1693</v>
      </c>
      <c r="C311" s="513">
        <v>-12320.92</v>
      </c>
      <c r="D311" s="513">
        <v>-12320.92</v>
      </c>
      <c r="E311">
        <f>VLOOKUP(A311,Ucto_HK_summ!$A$2:$G$963,7,FALSE)</f>
        <v>-12320.92</v>
      </c>
    </row>
    <row r="312" spans="1:5">
      <c r="A312" s="578" t="s">
        <v>1694</v>
      </c>
      <c r="C312" s="513">
        <v>-401478.98</v>
      </c>
      <c r="D312" s="513">
        <v>-294286.01</v>
      </c>
      <c r="E312">
        <f>VLOOKUP(A312,Ucto_HK_summ!$A$2:$G$963,7,FALSE)</f>
        <v>-294286.01</v>
      </c>
    </row>
    <row r="313" spans="1:5">
      <c r="A313" s="578" t="s">
        <v>1695</v>
      </c>
      <c r="B313" s="578" t="s">
        <v>1696</v>
      </c>
      <c r="C313">
        <v>0</v>
      </c>
      <c r="D313">
        <v>0</v>
      </c>
      <c r="E313">
        <f>VLOOKUP(A313,Ucto_HK_summ!$A$2:$G$963,7,FALSE)</f>
        <v>0</v>
      </c>
    </row>
    <row r="314" spans="1:5">
      <c r="A314" s="578" t="s">
        <v>1697</v>
      </c>
      <c r="B314" s="578" t="s">
        <v>1698</v>
      </c>
      <c r="C314">
        <v>0</v>
      </c>
      <c r="D314">
        <v>0</v>
      </c>
      <c r="E314">
        <f>VLOOKUP(A314,Ucto_HK_summ!$A$2:$G$963,7,FALSE)</f>
        <v>0</v>
      </c>
    </row>
    <row r="315" spans="1:5">
      <c r="A315" s="578" t="s">
        <v>1699</v>
      </c>
      <c r="B315" s="578" t="s">
        <v>1700</v>
      </c>
      <c r="C315">
        <v>0</v>
      </c>
      <c r="D315">
        <v>0</v>
      </c>
      <c r="E315">
        <f>VLOOKUP(A315,Ucto_HK_summ!$A$2:$G$963,7,FALSE)</f>
        <v>0</v>
      </c>
    </row>
    <row r="316" spans="1:5">
      <c r="A316" s="578" t="s">
        <v>1701</v>
      </c>
      <c r="B316" s="578" t="s">
        <v>1702</v>
      </c>
      <c r="C316">
        <v>0</v>
      </c>
      <c r="D316">
        <v>0</v>
      </c>
      <c r="E316">
        <f>VLOOKUP(A316,Ucto_HK_summ!$A$2:$G$963,7,FALSE)</f>
        <v>0</v>
      </c>
    </row>
    <row r="317" spans="1:5">
      <c r="A317" s="578" t="s">
        <v>1703</v>
      </c>
      <c r="B317" s="578" t="s">
        <v>1704</v>
      </c>
      <c r="C317">
        <v>0</v>
      </c>
      <c r="D317">
        <v>0</v>
      </c>
      <c r="E317">
        <f>VLOOKUP(A317,Ucto_HK_summ!$A$2:$G$963,7,FALSE)</f>
        <v>0</v>
      </c>
    </row>
    <row r="318" spans="1:5">
      <c r="A318" s="578" t="s">
        <v>1705</v>
      </c>
      <c r="B318" s="578" t="s">
        <v>1706</v>
      </c>
      <c r="C318">
        <v>0</v>
      </c>
      <c r="D318">
        <v>0</v>
      </c>
      <c r="E318">
        <f>VLOOKUP(A318,Ucto_HK_summ!$A$2:$G$963,7,FALSE)</f>
        <v>0</v>
      </c>
    </row>
    <row r="319" spans="1:5">
      <c r="A319" s="578" t="s">
        <v>1707</v>
      </c>
      <c r="C319">
        <v>0</v>
      </c>
      <c r="D319">
        <v>0</v>
      </c>
      <c r="E319">
        <f>VLOOKUP(A319,Ucto_HK_summ!$A$2:$G$963,7,FALSE)</f>
        <v>0</v>
      </c>
    </row>
    <row r="320" spans="1:5">
      <c r="A320" s="577" t="s">
        <v>1708</v>
      </c>
      <c r="C320" s="579">
        <v>-401478.98</v>
      </c>
      <c r="D320" s="579">
        <v>-294286.01</v>
      </c>
      <c r="E320">
        <f>VLOOKUP(A320,Ucto_HK_summ!$A$2:$G$963,7,FALSE)</f>
        <v>-294286.01</v>
      </c>
    </row>
    <row r="322" spans="1:5">
      <c r="A322" s="577" t="s">
        <v>1709</v>
      </c>
      <c r="C322" s="579">
        <v>-140008351.81</v>
      </c>
      <c r="D322" s="579">
        <v>-172768202.38</v>
      </c>
      <c r="E322">
        <f>VLOOKUP(A322,Ucto_HK_summ!$A$2:$G$963,7,FALSE)</f>
        <v>-172768202.38</v>
      </c>
    </row>
    <row r="325" spans="1:5">
      <c r="A325" s="578" t="s">
        <v>1710</v>
      </c>
      <c r="B325" s="578" t="s">
        <v>1711</v>
      </c>
      <c r="C325" s="513">
        <v>68802116.540000007</v>
      </c>
      <c r="D325" s="513">
        <v>69911174.849999994</v>
      </c>
      <c r="E325">
        <f>VLOOKUP(A325,Ucto_HK_summ!$A$2:$G$963,7,FALSE)</f>
        <v>69911174.849999994</v>
      </c>
    </row>
    <row r="326" spans="1:5">
      <c r="A326" s="578" t="s">
        <v>1712</v>
      </c>
      <c r="C326" s="513">
        <v>68802116.540000007</v>
      </c>
      <c r="D326" s="513">
        <v>69911174.849999994</v>
      </c>
      <c r="E326">
        <f>VLOOKUP(A326,Ucto_HK_summ!$A$2:$G$963,7,FALSE)</f>
        <v>69911174.849999994</v>
      </c>
    </row>
    <row r="327" spans="1:5">
      <c r="A327" s="577" t="s">
        <v>1713</v>
      </c>
      <c r="C327" s="579">
        <v>68802116.540000007</v>
      </c>
      <c r="D327" s="579">
        <v>69911174.849999994</v>
      </c>
      <c r="E327">
        <f>VLOOKUP(A327,Ucto_HK_summ!$A$2:$G$963,7,FALSE)</f>
        <v>69911174.849999994</v>
      </c>
    </row>
    <row r="329" spans="1:5">
      <c r="A329" s="578" t="s">
        <v>1714</v>
      </c>
      <c r="B329" s="578" t="s">
        <v>1715</v>
      </c>
      <c r="C329" s="513">
        <v>341663.31</v>
      </c>
      <c r="D329">
        <v>0</v>
      </c>
      <c r="E329">
        <f>VLOOKUP(A329,Ucto_HK_summ!$A$2:$G$963,7,FALSE)</f>
        <v>0</v>
      </c>
    </row>
    <row r="330" spans="1:5">
      <c r="A330" s="578" t="s">
        <v>1716</v>
      </c>
      <c r="C330" s="513">
        <v>341663.31</v>
      </c>
      <c r="D330">
        <v>0</v>
      </c>
      <c r="E330">
        <f>VLOOKUP(A330,Ucto_HK_summ!$A$2:$G$963,7,FALSE)</f>
        <v>0</v>
      </c>
    </row>
    <row r="331" spans="1:5">
      <c r="A331" s="577" t="s">
        <v>1717</v>
      </c>
      <c r="C331" s="579">
        <v>341663.31</v>
      </c>
      <c r="D331" s="369">
        <v>0</v>
      </c>
      <c r="E331">
        <f>VLOOKUP(A331,Ucto_HK_summ!$A$2:$G$963,7,FALSE)</f>
        <v>0</v>
      </c>
    </row>
    <row r="333" spans="1:5">
      <c r="A333" s="578" t="s">
        <v>1718</v>
      </c>
      <c r="B333" s="578" t="s">
        <v>1719</v>
      </c>
      <c r="C333" s="513">
        <v>-107654.27</v>
      </c>
      <c r="D333" s="513">
        <v>-107654.27</v>
      </c>
      <c r="E333">
        <f>VLOOKUP(A333,Ucto_HK_summ!$A$2:$G$963,7,FALSE)</f>
        <v>-107654.27</v>
      </c>
    </row>
    <row r="334" spans="1:5">
      <c r="A334" s="578" t="s">
        <v>1720</v>
      </c>
      <c r="B334" s="578" t="s">
        <v>1721</v>
      </c>
      <c r="C334">
        <v>0</v>
      </c>
      <c r="D334" s="513">
        <v>-763600.97</v>
      </c>
      <c r="E334">
        <f>VLOOKUP(A334,Ucto_HK_summ!$A$2:$G$963,7,FALSE)</f>
        <v>-763600.97</v>
      </c>
    </row>
    <row r="335" spans="1:5">
      <c r="A335" s="578" t="s">
        <v>1722</v>
      </c>
      <c r="B335" s="578" t="s">
        <v>1723</v>
      </c>
      <c r="C335">
        <v>0</v>
      </c>
      <c r="D335" s="550">
        <v>2500</v>
      </c>
      <c r="E335">
        <f>VLOOKUP(A335,Ucto_HK_summ!$A$2:$G$963,7,FALSE)</f>
        <v>2500</v>
      </c>
    </row>
    <row r="336" spans="1:5">
      <c r="A336" s="578" t="s">
        <v>1724</v>
      </c>
      <c r="B336" s="578" t="s">
        <v>1725</v>
      </c>
      <c r="C336">
        <v>0</v>
      </c>
      <c r="D336" s="550">
        <v>44270</v>
      </c>
      <c r="E336">
        <f>VLOOKUP(A336,Ucto_HK_summ!$A$2:$G$963,7,FALSE)</f>
        <v>44270</v>
      </c>
    </row>
    <row r="337" spans="1:5">
      <c r="A337" s="578" t="s">
        <v>1726</v>
      </c>
      <c r="B337" s="578" t="s">
        <v>1727</v>
      </c>
      <c r="C337">
        <v>0</v>
      </c>
      <c r="D337" s="513">
        <v>651938.30000000005</v>
      </c>
      <c r="E337">
        <f>VLOOKUP(A337,Ucto_HK_summ!$A$2:$G$963,7,FALSE)</f>
        <v>651938.30000000005</v>
      </c>
    </row>
    <row r="338" spans="1:5">
      <c r="A338" s="578" t="s">
        <v>1728</v>
      </c>
      <c r="B338" s="578" t="s">
        <v>1729</v>
      </c>
      <c r="C338">
        <v>0</v>
      </c>
      <c r="D338" s="513">
        <v>51020.800000000003</v>
      </c>
      <c r="E338">
        <f>VLOOKUP(A338,Ucto_HK_summ!$A$2:$G$963,7,FALSE)</f>
        <v>51020.800000000003</v>
      </c>
    </row>
    <row r="339" spans="1:5">
      <c r="A339" s="578" t="s">
        <v>1730</v>
      </c>
      <c r="C339" s="513">
        <v>-107654.27</v>
      </c>
      <c r="D339" s="513">
        <v>-121526.14</v>
      </c>
      <c r="E339">
        <f>VLOOKUP(A339,Ucto_HK_summ!$A$2:$G$963,7,FALSE)</f>
        <v>-121526.14</v>
      </c>
    </row>
    <row r="340" spans="1:5">
      <c r="A340" s="578" t="s">
        <v>1731</v>
      </c>
      <c r="B340" s="578" t="s">
        <v>1732</v>
      </c>
      <c r="C340" s="513">
        <v>-194480.68</v>
      </c>
      <c r="D340" s="513">
        <v>-196412.08</v>
      </c>
      <c r="E340">
        <f>VLOOKUP(A340,Ucto_HK_summ!$A$2:$G$963,7,FALSE)</f>
        <v>-196412.08</v>
      </c>
    </row>
    <row r="341" spans="1:5">
      <c r="A341" s="578" t="s">
        <v>1733</v>
      </c>
      <c r="C341" s="513">
        <v>-194480.68</v>
      </c>
      <c r="D341" s="513">
        <v>-196412.08</v>
      </c>
      <c r="E341">
        <f>VLOOKUP(A341,Ucto_HK_summ!$A$2:$G$963,7,FALSE)</f>
        <v>-196412.08</v>
      </c>
    </row>
    <row r="342" spans="1:5">
      <c r="A342" s="577" t="s">
        <v>1734</v>
      </c>
      <c r="C342" s="579">
        <v>-302134.95</v>
      </c>
      <c r="D342" s="579">
        <v>-317938.21999999997</v>
      </c>
      <c r="E342">
        <f>VLOOKUP(A342,Ucto_HK_summ!$A$2:$G$963,7,FALSE)</f>
        <v>-317938.21999999997</v>
      </c>
    </row>
    <row r="344" spans="1:5">
      <c r="A344" s="577" t="s">
        <v>1735</v>
      </c>
      <c r="C344" s="579">
        <v>68841644.900000006</v>
      </c>
      <c r="D344" s="579">
        <v>69593236.629999995</v>
      </c>
      <c r="E344">
        <f>VLOOKUP(A344,Ucto_HK_summ!$A$2:$G$963,7,FALSE)</f>
        <v>69593236.629999995</v>
      </c>
    </row>
    <row r="347" spans="1:5">
      <c r="A347" s="578" t="s">
        <v>1736</v>
      </c>
      <c r="B347" s="578" t="s">
        <v>1737</v>
      </c>
      <c r="C347">
        <v>0</v>
      </c>
      <c r="D347" s="513">
        <v>381555.88</v>
      </c>
      <c r="E347">
        <f>VLOOKUP(A347,Ucto_HK_summ!$A$2:$G$963,7,FALSE)</f>
        <v>381555.88</v>
      </c>
    </row>
    <row r="348" spans="1:5">
      <c r="A348" s="578" t="s">
        <v>1738</v>
      </c>
      <c r="B348" s="578" t="s">
        <v>1739</v>
      </c>
      <c r="C348">
        <v>0</v>
      </c>
      <c r="D348" s="513">
        <v>1557902.81</v>
      </c>
      <c r="E348">
        <f>VLOOKUP(A348,Ucto_HK_summ!$A$2:$G$963,7,FALSE)</f>
        <v>1557902.81</v>
      </c>
    </row>
    <row r="349" spans="1:5">
      <c r="A349" s="578" t="s">
        <v>1740</v>
      </c>
      <c r="B349" s="578" t="s">
        <v>1741</v>
      </c>
      <c r="C349">
        <v>0</v>
      </c>
      <c r="D349" s="513">
        <v>145697.67000000001</v>
      </c>
      <c r="E349">
        <f>VLOOKUP(A349,Ucto_HK_summ!$A$2:$G$963,7,FALSE)</f>
        <v>145697.67000000001</v>
      </c>
    </row>
    <row r="350" spans="1:5">
      <c r="A350" s="578" t="s">
        <v>1742</v>
      </c>
      <c r="B350" s="578" t="s">
        <v>1743</v>
      </c>
      <c r="C350">
        <v>0</v>
      </c>
      <c r="D350" s="513">
        <v>14984.79</v>
      </c>
      <c r="E350">
        <f>VLOOKUP(A350,Ucto_HK_summ!$A$2:$G$963,7,FALSE)</f>
        <v>14984.79</v>
      </c>
    </row>
    <row r="351" spans="1:5">
      <c r="A351" s="578" t="s">
        <v>1744</v>
      </c>
      <c r="B351" s="578" t="s">
        <v>1745</v>
      </c>
      <c r="C351">
        <v>0</v>
      </c>
      <c r="D351" s="513">
        <v>9610.0300000000007</v>
      </c>
      <c r="E351">
        <f>VLOOKUP(A351,Ucto_HK_summ!$A$2:$G$963,7,FALSE)</f>
        <v>9610.0300000000007</v>
      </c>
    </row>
    <row r="352" spans="1:5">
      <c r="A352" s="578" t="s">
        <v>1746</v>
      </c>
      <c r="B352" s="578" t="s">
        <v>1747</v>
      </c>
      <c r="C352">
        <v>0</v>
      </c>
      <c r="D352" s="513">
        <v>186068.53</v>
      </c>
      <c r="E352">
        <f>VLOOKUP(A352,Ucto_HK_summ!$A$2:$G$963,7,FALSE)</f>
        <v>186068.53</v>
      </c>
    </row>
    <row r="353" spans="1:5">
      <c r="A353" s="578" t="s">
        <v>1748</v>
      </c>
      <c r="B353" s="578" t="s">
        <v>1749</v>
      </c>
      <c r="C353">
        <v>0</v>
      </c>
      <c r="D353" s="513">
        <v>2277529.0699999998</v>
      </c>
      <c r="E353">
        <f>VLOOKUP(A353,Ucto_HK_summ!$A$2:$G$963,7,FALSE)</f>
        <v>2277529.0699999998</v>
      </c>
    </row>
    <row r="354" spans="1:5">
      <c r="A354" s="578" t="s">
        <v>1750</v>
      </c>
      <c r="B354" s="578" t="s">
        <v>1751</v>
      </c>
      <c r="C354">
        <v>0</v>
      </c>
      <c r="D354" s="513">
        <v>4311918.1399999997</v>
      </c>
      <c r="E354">
        <f>VLOOKUP(A354,Ucto_HK_summ!$A$2:$G$963,7,FALSE)</f>
        <v>4311918.1399999997</v>
      </c>
    </row>
    <row r="355" spans="1:5">
      <c r="A355" s="578" t="s">
        <v>1752</v>
      </c>
      <c r="B355" s="578" t="s">
        <v>1753</v>
      </c>
      <c r="C355">
        <v>0</v>
      </c>
      <c r="D355" s="513">
        <v>249988.88</v>
      </c>
      <c r="E355">
        <f>VLOOKUP(A355,Ucto_HK_summ!$A$2:$G$963,7,FALSE)</f>
        <v>249988.88</v>
      </c>
    </row>
    <row r="356" spans="1:5">
      <c r="A356" s="578" t="s">
        <v>1754</v>
      </c>
      <c r="B356" s="578" t="s">
        <v>1755</v>
      </c>
      <c r="C356">
        <v>0</v>
      </c>
      <c r="D356" s="513">
        <v>496363.45</v>
      </c>
      <c r="E356">
        <f>VLOOKUP(A356,Ucto_HK_summ!$A$2:$G$963,7,FALSE)</f>
        <v>496363.45</v>
      </c>
    </row>
    <row r="357" spans="1:5">
      <c r="A357" s="578" t="s">
        <v>1756</v>
      </c>
      <c r="B357" s="578" t="s">
        <v>1757</v>
      </c>
      <c r="C357">
        <v>0</v>
      </c>
      <c r="D357">
        <v>592.75</v>
      </c>
      <c r="E357">
        <f>VLOOKUP(A357,Ucto_HK_summ!$A$2:$G$963,7,FALSE)</f>
        <v>592.75</v>
      </c>
    </row>
    <row r="358" spans="1:5">
      <c r="A358" s="578" t="s">
        <v>1758</v>
      </c>
      <c r="B358" s="578" t="s">
        <v>1759</v>
      </c>
      <c r="C358">
        <v>0</v>
      </c>
      <c r="D358" s="513">
        <v>75528.47</v>
      </c>
      <c r="E358">
        <f>VLOOKUP(A358,Ucto_HK_summ!$A$2:$G$963,7,FALSE)</f>
        <v>75528.47</v>
      </c>
    </row>
    <row r="359" spans="1:5">
      <c r="A359" s="578" t="s">
        <v>1760</v>
      </c>
      <c r="B359" s="578" t="s">
        <v>1761</v>
      </c>
      <c r="C359">
        <v>0</v>
      </c>
      <c r="D359" s="513">
        <v>929180.11</v>
      </c>
      <c r="E359">
        <f>VLOOKUP(A359,Ucto_HK_summ!$A$2:$G$963,7,FALSE)</f>
        <v>929180.11</v>
      </c>
    </row>
    <row r="360" spans="1:5">
      <c r="A360" s="578" t="s">
        <v>1762</v>
      </c>
      <c r="B360" s="578" t="s">
        <v>1763</v>
      </c>
      <c r="C360">
        <v>0</v>
      </c>
      <c r="D360" s="513">
        <v>4423164.33</v>
      </c>
      <c r="E360">
        <f>VLOOKUP(A360,Ucto_HK_summ!$A$2:$G$963,7,FALSE)</f>
        <v>4423164.33</v>
      </c>
    </row>
    <row r="361" spans="1:5">
      <c r="A361" s="578" t="s">
        <v>1764</v>
      </c>
      <c r="B361" s="578" t="s">
        <v>1765</v>
      </c>
      <c r="C361">
        <v>0</v>
      </c>
      <c r="D361" s="513">
        <v>107540.96</v>
      </c>
      <c r="E361">
        <f>VLOOKUP(A361,Ucto_HK_summ!$A$2:$G$963,7,FALSE)</f>
        <v>107540.96</v>
      </c>
    </row>
    <row r="362" spans="1:5">
      <c r="A362" s="578" t="s">
        <v>1766</v>
      </c>
      <c r="B362" s="578" t="s">
        <v>1767</v>
      </c>
      <c r="C362">
        <v>0</v>
      </c>
      <c r="D362" s="513">
        <v>234111.8</v>
      </c>
      <c r="E362">
        <f>VLOOKUP(A362,Ucto_HK_summ!$A$2:$G$963,7,FALSE)</f>
        <v>234111.8</v>
      </c>
    </row>
    <row r="363" spans="1:5">
      <c r="A363" s="578" t="s">
        <v>1768</v>
      </c>
      <c r="B363" s="578" t="s">
        <v>1769</v>
      </c>
      <c r="C363">
        <v>0</v>
      </c>
      <c r="D363" s="513">
        <v>199841.62</v>
      </c>
      <c r="E363">
        <f>VLOOKUP(A363,Ucto_HK_summ!$A$2:$G$963,7,FALSE)</f>
        <v>199841.62</v>
      </c>
    </row>
    <row r="364" spans="1:5">
      <c r="A364" s="578" t="s">
        <v>1770</v>
      </c>
      <c r="B364" s="578" t="s">
        <v>1771</v>
      </c>
      <c r="C364">
        <v>0</v>
      </c>
      <c r="D364">
        <v>883.54</v>
      </c>
      <c r="E364">
        <f>VLOOKUP(A364,Ucto_HK_summ!$A$2:$G$963,7,FALSE)</f>
        <v>883.54</v>
      </c>
    </row>
    <row r="365" spans="1:5">
      <c r="A365" s="578" t="s">
        <v>1772</v>
      </c>
      <c r="B365" s="578" t="s">
        <v>1773</v>
      </c>
      <c r="C365">
        <v>0</v>
      </c>
      <c r="D365" s="513">
        <v>38013.53</v>
      </c>
      <c r="E365">
        <f>VLOOKUP(A365,Ucto_HK_summ!$A$2:$G$963,7,FALSE)</f>
        <v>38013.53</v>
      </c>
    </row>
    <row r="366" spans="1:5">
      <c r="A366" s="578" t="s">
        <v>1774</v>
      </c>
      <c r="B366" s="578" t="s">
        <v>1775</v>
      </c>
      <c r="C366">
        <v>0</v>
      </c>
      <c r="D366" s="513">
        <v>86111.18</v>
      </c>
      <c r="E366">
        <f>VLOOKUP(A366,Ucto_HK_summ!$A$2:$G$963,7,FALSE)</f>
        <v>86111.18</v>
      </c>
    </row>
    <row r="367" spans="1:5">
      <c r="A367" s="578" t="s">
        <v>1776</v>
      </c>
      <c r="B367" s="578" t="s">
        <v>1292</v>
      </c>
      <c r="C367">
        <v>0</v>
      </c>
      <c r="D367" s="513">
        <v>1843687.9</v>
      </c>
      <c r="E367">
        <f>VLOOKUP(A367,Ucto_HK_summ!$A$2:$G$963,7,FALSE)</f>
        <v>1843687.9</v>
      </c>
    </row>
    <row r="368" spans="1:5">
      <c r="A368" s="578" t="s">
        <v>1777</v>
      </c>
      <c r="B368" s="578" t="s">
        <v>1778</v>
      </c>
      <c r="C368">
        <v>0</v>
      </c>
      <c r="D368" s="513">
        <v>4106303.69</v>
      </c>
      <c r="E368">
        <f>VLOOKUP(A368,Ucto_HK_summ!$A$2:$G$963,7,FALSE)</f>
        <v>4106303.69</v>
      </c>
    </row>
    <row r="369" spans="1:5">
      <c r="A369" s="578" t="s">
        <v>1779</v>
      </c>
      <c r="B369" s="578" t="s">
        <v>1780</v>
      </c>
      <c r="C369">
        <v>0</v>
      </c>
      <c r="D369" s="513">
        <v>7683526.0800000001</v>
      </c>
      <c r="E369">
        <f>VLOOKUP(A369,Ucto_HK_summ!$A$2:$G$963,7,FALSE)</f>
        <v>7683526.0800000001</v>
      </c>
    </row>
    <row r="370" spans="1:5">
      <c r="A370" s="578" t="s">
        <v>1781</v>
      </c>
      <c r="B370" s="578" t="s">
        <v>1782</v>
      </c>
      <c r="C370">
        <v>0</v>
      </c>
      <c r="D370" s="513">
        <v>2442.6999999999998</v>
      </c>
      <c r="E370">
        <f>VLOOKUP(A370,Ucto_HK_summ!$A$2:$G$963,7,FALSE)</f>
        <v>2442.6999999999998</v>
      </c>
    </row>
    <row r="371" spans="1:5">
      <c r="A371" s="578" t="s">
        <v>1783</v>
      </c>
      <c r="B371" s="578" t="s">
        <v>1784</v>
      </c>
      <c r="C371">
        <v>0</v>
      </c>
      <c r="D371" s="513">
        <v>188858.14</v>
      </c>
      <c r="E371">
        <f>VLOOKUP(A371,Ucto_HK_summ!$A$2:$G$963,7,FALSE)</f>
        <v>188858.14</v>
      </c>
    </row>
    <row r="372" spans="1:5">
      <c r="A372" s="578" t="s">
        <v>1785</v>
      </c>
      <c r="B372" s="578" t="s">
        <v>1786</v>
      </c>
      <c r="C372">
        <v>0</v>
      </c>
      <c r="D372" s="513">
        <v>1673402.14</v>
      </c>
      <c r="E372">
        <f>VLOOKUP(A372,Ucto_HK_summ!$A$2:$G$963,7,FALSE)</f>
        <v>1673402.14</v>
      </c>
    </row>
    <row r="373" spans="1:5">
      <c r="A373" s="578" t="s">
        <v>1787</v>
      </c>
      <c r="B373" s="578" t="s">
        <v>1788</v>
      </c>
      <c r="C373">
        <v>0</v>
      </c>
      <c r="D373" s="513">
        <v>709901.74</v>
      </c>
      <c r="E373">
        <f>VLOOKUP(A373,Ucto_HK_summ!$A$2:$G$963,7,FALSE)</f>
        <v>709901.74</v>
      </c>
    </row>
    <row r="374" spans="1:5">
      <c r="A374" s="578" t="s">
        <v>1789</v>
      </c>
      <c r="B374" s="578" t="s">
        <v>1790</v>
      </c>
      <c r="C374">
        <v>0</v>
      </c>
      <c r="D374" s="513">
        <v>330320.57</v>
      </c>
      <c r="E374">
        <f>VLOOKUP(A374,Ucto_HK_summ!$A$2:$G$963,7,FALSE)</f>
        <v>330320.57</v>
      </c>
    </row>
    <row r="375" spans="1:5">
      <c r="A375" s="578" t="s">
        <v>1791</v>
      </c>
      <c r="B375" s="578" t="s">
        <v>1778</v>
      </c>
      <c r="C375">
        <v>0</v>
      </c>
      <c r="D375" s="513">
        <v>69302.59</v>
      </c>
      <c r="E375">
        <f>VLOOKUP(A375,Ucto_HK_summ!$A$2:$G$963,7,FALSE)</f>
        <v>69302.59</v>
      </c>
    </row>
    <row r="376" spans="1:5">
      <c r="A376" s="578" t="s">
        <v>1792</v>
      </c>
      <c r="B376" s="578" t="s">
        <v>1780</v>
      </c>
      <c r="C376">
        <v>0</v>
      </c>
      <c r="D376" s="513">
        <v>92221.7</v>
      </c>
      <c r="E376">
        <f>VLOOKUP(A376,Ucto_HK_summ!$A$2:$G$963,7,FALSE)</f>
        <v>92221.7</v>
      </c>
    </row>
    <row r="377" spans="1:5">
      <c r="A377" s="578" t="s">
        <v>1793</v>
      </c>
      <c r="B377" s="578" t="s">
        <v>1794</v>
      </c>
      <c r="C377">
        <v>0</v>
      </c>
      <c r="D377" s="513">
        <v>169228.61</v>
      </c>
      <c r="E377">
        <f>VLOOKUP(A377,Ucto_HK_summ!$A$2:$G$963,7,FALSE)</f>
        <v>169228.61</v>
      </c>
    </row>
    <row r="378" spans="1:5">
      <c r="A378" s="578" t="s">
        <v>1795</v>
      </c>
      <c r="B378" s="578" t="s">
        <v>1782</v>
      </c>
      <c r="C378">
        <v>0</v>
      </c>
      <c r="D378" s="513">
        <v>123821.11</v>
      </c>
      <c r="E378">
        <f>VLOOKUP(A378,Ucto_HK_summ!$A$2:$G$963,7,FALSE)</f>
        <v>123821.11</v>
      </c>
    </row>
    <row r="379" spans="1:5">
      <c r="A379" s="578" t="s">
        <v>1796</v>
      </c>
      <c r="B379" s="578" t="s">
        <v>1784</v>
      </c>
      <c r="C379">
        <v>0</v>
      </c>
      <c r="D379" s="513">
        <v>90420.62</v>
      </c>
      <c r="E379">
        <f>VLOOKUP(A379,Ucto_HK_summ!$A$2:$G$963,7,FALSE)</f>
        <v>90420.62</v>
      </c>
    </row>
    <row r="380" spans="1:5">
      <c r="A380" s="578" t="s">
        <v>1797</v>
      </c>
      <c r="B380" s="578" t="s">
        <v>1798</v>
      </c>
      <c r="C380">
        <v>0</v>
      </c>
      <c r="D380" s="513">
        <v>8136.92</v>
      </c>
      <c r="E380">
        <f>VLOOKUP(A380,Ucto_HK_summ!$A$2:$G$963,7,FALSE)</f>
        <v>8136.92</v>
      </c>
    </row>
    <row r="381" spans="1:5">
      <c r="A381" s="578" t="s">
        <v>1799</v>
      </c>
      <c r="B381" s="578" t="s">
        <v>1800</v>
      </c>
      <c r="C381">
        <v>0</v>
      </c>
      <c r="D381" s="513">
        <v>5243009.3600000003</v>
      </c>
      <c r="E381">
        <f>VLOOKUP(A381,Ucto_HK_summ!$A$2:$G$963,7,FALSE)</f>
        <v>5243009.3600000003</v>
      </c>
    </row>
    <row r="382" spans="1:5">
      <c r="A382" s="578" t="s">
        <v>1801</v>
      </c>
      <c r="B382" s="578" t="s">
        <v>1802</v>
      </c>
      <c r="C382">
        <v>0</v>
      </c>
      <c r="D382" s="513">
        <v>1321682.1100000001</v>
      </c>
      <c r="E382">
        <f>VLOOKUP(A382,Ucto_HK_summ!$A$2:$G$963,7,FALSE)</f>
        <v>1321682.1100000001</v>
      </c>
    </row>
    <row r="383" spans="1:5">
      <c r="A383" s="578" t="s">
        <v>1803</v>
      </c>
      <c r="B383" s="578" t="s">
        <v>1804</v>
      </c>
      <c r="C383">
        <v>0</v>
      </c>
      <c r="D383" s="513">
        <v>4316.83</v>
      </c>
      <c r="E383">
        <f>VLOOKUP(A383,Ucto_HK_summ!$A$2:$G$963,7,FALSE)</f>
        <v>4316.83</v>
      </c>
    </row>
    <row r="384" spans="1:5">
      <c r="A384" s="578" t="s">
        <v>1805</v>
      </c>
      <c r="B384" s="578" t="s">
        <v>1806</v>
      </c>
      <c r="C384">
        <v>0</v>
      </c>
      <c r="D384" s="513">
        <v>51290.39</v>
      </c>
      <c r="E384">
        <f>VLOOKUP(A384,Ucto_HK_summ!$A$2:$G$963,7,FALSE)</f>
        <v>51290.39</v>
      </c>
    </row>
    <row r="385" spans="1:5">
      <c r="A385" s="578" t="s">
        <v>1807</v>
      </c>
      <c r="B385" s="578" t="s">
        <v>1808</v>
      </c>
      <c r="C385">
        <v>0</v>
      </c>
      <c r="D385" s="513">
        <v>203097.46</v>
      </c>
      <c r="E385">
        <f>VLOOKUP(A385,Ucto_HK_summ!$A$2:$G$963,7,FALSE)</f>
        <v>203097.46</v>
      </c>
    </row>
    <row r="386" spans="1:5">
      <c r="A386" s="578" t="s">
        <v>1809</v>
      </c>
      <c r="B386" s="578" t="s">
        <v>1810</v>
      </c>
      <c r="C386">
        <v>0</v>
      </c>
      <c r="D386" s="513">
        <v>288960.03999999998</v>
      </c>
      <c r="E386">
        <f>VLOOKUP(A386,Ucto_HK_summ!$A$2:$G$963,7,FALSE)</f>
        <v>288960.03999999998</v>
      </c>
    </row>
    <row r="387" spans="1:5">
      <c r="A387" s="578" t="s">
        <v>1811</v>
      </c>
      <c r="B387" s="578" t="s">
        <v>1812</v>
      </c>
      <c r="C387">
        <v>0</v>
      </c>
      <c r="D387" s="513">
        <v>316377.75</v>
      </c>
      <c r="E387">
        <f>VLOOKUP(A387,Ucto_HK_summ!$A$2:$G$963,7,FALSE)</f>
        <v>316377.75</v>
      </c>
    </row>
    <row r="388" spans="1:5">
      <c r="A388" s="578" t="s">
        <v>1813</v>
      </c>
      <c r="B388" s="578" t="s">
        <v>1814</v>
      </c>
      <c r="C388">
        <v>0</v>
      </c>
      <c r="D388" s="513">
        <v>79490.820000000007</v>
      </c>
      <c r="E388">
        <f>VLOOKUP(A388,Ucto_HK_summ!$A$2:$G$963,7,FALSE)</f>
        <v>79490.820000000007</v>
      </c>
    </row>
    <row r="389" spans="1:5">
      <c r="A389" s="578" t="s">
        <v>1815</v>
      </c>
      <c r="B389" s="578" t="s">
        <v>1816</v>
      </c>
      <c r="C389">
        <v>0</v>
      </c>
      <c r="D389" s="513">
        <v>95432.52</v>
      </c>
      <c r="E389">
        <f>VLOOKUP(A389,Ucto_HK_summ!$A$2:$G$963,7,FALSE)</f>
        <v>95432.52</v>
      </c>
    </row>
    <row r="390" spans="1:5">
      <c r="A390" s="578" t="s">
        <v>1817</v>
      </c>
      <c r="B390" s="578" t="s">
        <v>1818</v>
      </c>
      <c r="C390">
        <v>0</v>
      </c>
      <c r="D390">
        <v>281.52</v>
      </c>
      <c r="E390">
        <f>VLOOKUP(A390,Ucto_HK_summ!$A$2:$G$963,7,FALSE)</f>
        <v>281.52</v>
      </c>
    </row>
    <row r="391" spans="1:5">
      <c r="A391" s="578" t="s">
        <v>1819</v>
      </c>
      <c r="B391" s="578" t="s">
        <v>1820</v>
      </c>
      <c r="C391">
        <v>0</v>
      </c>
      <c r="D391">
        <v>681.73</v>
      </c>
      <c r="E391">
        <f>VLOOKUP(A391,Ucto_HK_summ!$A$2:$G$963,7,FALSE)</f>
        <v>681.73</v>
      </c>
    </row>
    <row r="392" spans="1:5">
      <c r="A392" s="578" t="s">
        <v>1821</v>
      </c>
      <c r="B392" s="578" t="s">
        <v>1822</v>
      </c>
      <c r="C392">
        <v>0</v>
      </c>
      <c r="D392">
        <v>41.37</v>
      </c>
      <c r="E392">
        <f>VLOOKUP(A392,Ucto_HK_summ!$A$2:$G$963,7,FALSE)</f>
        <v>41.37</v>
      </c>
    </row>
    <row r="393" spans="1:5">
      <c r="A393" s="578" t="s">
        <v>1823</v>
      </c>
      <c r="B393" s="578" t="s">
        <v>1824</v>
      </c>
      <c r="C393">
        <v>0</v>
      </c>
      <c r="D393" s="513">
        <v>120516.59</v>
      </c>
      <c r="E393">
        <f>VLOOKUP(A393,Ucto_HK_summ!$A$2:$G$963,7,FALSE)</f>
        <v>120516.59</v>
      </c>
    </row>
    <row r="394" spans="1:5">
      <c r="A394" s="578" t="s">
        <v>1825</v>
      </c>
      <c r="B394" s="578" t="s">
        <v>1826</v>
      </c>
      <c r="C394">
        <v>0</v>
      </c>
      <c r="D394" s="513">
        <v>444884.27</v>
      </c>
      <c r="E394">
        <f>VLOOKUP(A394,Ucto_HK_summ!$A$2:$G$963,7,FALSE)</f>
        <v>444884.27</v>
      </c>
    </row>
    <row r="395" spans="1:5">
      <c r="A395" s="578" t="s">
        <v>1827</v>
      </c>
      <c r="B395" s="578" t="s">
        <v>226</v>
      </c>
      <c r="C395">
        <v>0</v>
      </c>
      <c r="D395" s="513">
        <v>82735.210000000006</v>
      </c>
      <c r="E395">
        <f>VLOOKUP(A395,Ucto_HK_summ!$A$2:$G$963,7,FALSE)</f>
        <v>82735.210000000006</v>
      </c>
    </row>
    <row r="396" spans="1:5">
      <c r="A396" s="578" t="s">
        <v>1828</v>
      </c>
      <c r="B396" s="578" t="s">
        <v>1829</v>
      </c>
      <c r="C396">
        <v>0</v>
      </c>
      <c r="D396" s="513">
        <v>60407.32</v>
      </c>
      <c r="E396">
        <f>VLOOKUP(A396,Ucto_HK_summ!$A$2:$G$963,7,FALSE)</f>
        <v>60407.32</v>
      </c>
    </row>
    <row r="397" spans="1:5">
      <c r="A397" s="578" t="s">
        <v>1830</v>
      </c>
      <c r="B397" s="578" t="s">
        <v>1831</v>
      </c>
      <c r="C397">
        <v>0</v>
      </c>
      <c r="D397">
        <v>23.5</v>
      </c>
      <c r="E397">
        <f>VLOOKUP(A397,Ucto_HK_summ!$A$2:$G$963,7,FALSE)</f>
        <v>23.5</v>
      </c>
    </row>
    <row r="398" spans="1:5">
      <c r="A398" s="578" t="s">
        <v>1832</v>
      </c>
      <c r="B398" s="578" t="s">
        <v>1833</v>
      </c>
      <c r="C398">
        <v>0</v>
      </c>
      <c r="D398" s="513">
        <v>1010.35</v>
      </c>
      <c r="E398">
        <f>VLOOKUP(A398,Ucto_HK_summ!$A$2:$G$963,7,FALSE)</f>
        <v>1010.35</v>
      </c>
    </row>
    <row r="399" spans="1:5">
      <c r="A399" s="578" t="s">
        <v>1834</v>
      </c>
      <c r="B399" s="578" t="s">
        <v>1835</v>
      </c>
      <c r="C399">
        <v>0</v>
      </c>
      <c r="D399">
        <v>368.3</v>
      </c>
      <c r="E399">
        <f>VLOOKUP(A399,Ucto_HK_summ!$A$2:$G$963,7,FALSE)</f>
        <v>368.3</v>
      </c>
    </row>
    <row r="400" spans="1:5">
      <c r="A400" s="578" t="s">
        <v>1836</v>
      </c>
      <c r="B400" s="578" t="s">
        <v>1837</v>
      </c>
      <c r="C400">
        <v>0</v>
      </c>
      <c r="D400" s="513">
        <v>31572.720000000001</v>
      </c>
      <c r="E400">
        <f>VLOOKUP(A400,Ucto_HK_summ!$A$2:$G$963,7,FALSE)</f>
        <v>31572.720000000001</v>
      </c>
    </row>
    <row r="401" spans="1:5">
      <c r="A401" s="578" t="s">
        <v>1838</v>
      </c>
      <c r="B401" s="578" t="s">
        <v>1839</v>
      </c>
      <c r="C401">
        <v>0</v>
      </c>
      <c r="D401" s="513">
        <v>11192.61</v>
      </c>
      <c r="E401">
        <f>VLOOKUP(A401,Ucto_HK_summ!$A$2:$G$963,7,FALSE)</f>
        <v>11192.61</v>
      </c>
    </row>
    <row r="402" spans="1:5">
      <c r="A402" s="578" t="s">
        <v>1840</v>
      </c>
      <c r="B402" s="578" t="s">
        <v>1841</v>
      </c>
      <c r="C402">
        <v>0</v>
      </c>
      <c r="D402" s="550">
        <v>58294</v>
      </c>
      <c r="E402">
        <f>VLOOKUP(A402,Ucto_HK_summ!$A$2:$G$963,7,FALSE)</f>
        <v>58294</v>
      </c>
    </row>
    <row r="403" spans="1:5">
      <c r="A403" s="578" t="s">
        <v>1842</v>
      </c>
      <c r="B403" s="578" t="s">
        <v>1843</v>
      </c>
      <c r="C403">
        <v>0</v>
      </c>
      <c r="D403" s="513">
        <v>1281041.8999999999</v>
      </c>
      <c r="E403">
        <f>VLOOKUP(A403,Ucto_HK_summ!$A$2:$G$963,7,FALSE)</f>
        <v>1281041.8999999999</v>
      </c>
    </row>
    <row r="404" spans="1:5">
      <c r="A404" s="578" t="s">
        <v>1844</v>
      </c>
      <c r="B404" s="578" t="s">
        <v>1845</v>
      </c>
      <c r="C404">
        <v>0</v>
      </c>
      <c r="D404" s="513">
        <v>49513.01</v>
      </c>
      <c r="E404">
        <f>VLOOKUP(A404,Ucto_HK_summ!$A$2:$G$963,7,FALSE)</f>
        <v>49513.01</v>
      </c>
    </row>
    <row r="405" spans="1:5">
      <c r="A405" s="578" t="s">
        <v>1846</v>
      </c>
      <c r="B405" s="578" t="s">
        <v>1847</v>
      </c>
      <c r="C405">
        <v>0</v>
      </c>
      <c r="D405" s="513">
        <v>456925.93</v>
      </c>
      <c r="E405">
        <f>VLOOKUP(A405,Ucto_HK_summ!$A$2:$G$963,7,FALSE)</f>
        <v>456925.93</v>
      </c>
    </row>
    <row r="406" spans="1:5">
      <c r="A406" s="578" t="s">
        <v>1848</v>
      </c>
      <c r="B406" s="578" t="s">
        <v>1849</v>
      </c>
      <c r="C406">
        <v>0</v>
      </c>
      <c r="D406" s="513">
        <v>347346.46</v>
      </c>
      <c r="E406">
        <f>VLOOKUP(A406,Ucto_HK_summ!$A$2:$G$963,7,FALSE)</f>
        <v>347346.46</v>
      </c>
    </row>
    <row r="407" spans="1:5">
      <c r="A407" s="578" t="s">
        <v>1850</v>
      </c>
      <c r="B407" s="578" t="s">
        <v>1851</v>
      </c>
      <c r="C407">
        <v>0</v>
      </c>
      <c r="D407" s="513">
        <v>50495.87</v>
      </c>
      <c r="E407">
        <f>VLOOKUP(A407,Ucto_HK_summ!$A$2:$G$963,7,FALSE)</f>
        <v>50495.87</v>
      </c>
    </row>
    <row r="408" spans="1:5">
      <c r="A408" s="578" t="s">
        <v>1852</v>
      </c>
      <c r="B408" s="578" t="s">
        <v>1853</v>
      </c>
      <c r="C408">
        <v>0</v>
      </c>
      <c r="D408" s="513">
        <v>189348.48000000001</v>
      </c>
      <c r="E408">
        <f>VLOOKUP(A408,Ucto_HK_summ!$A$2:$G$963,7,FALSE)</f>
        <v>189348.48000000001</v>
      </c>
    </row>
    <row r="409" spans="1:5">
      <c r="A409" s="578" t="s">
        <v>1854</v>
      </c>
      <c r="B409" s="578" t="s">
        <v>1855</v>
      </c>
      <c r="C409">
        <v>0</v>
      </c>
      <c r="D409" s="513">
        <v>122439.27</v>
      </c>
      <c r="E409">
        <f>VLOOKUP(A409,Ucto_HK_summ!$A$2:$G$963,7,FALSE)</f>
        <v>122439.27</v>
      </c>
    </row>
    <row r="410" spans="1:5">
      <c r="A410" s="578" t="s">
        <v>1856</v>
      </c>
      <c r="B410" s="578" t="s">
        <v>1857</v>
      </c>
      <c r="C410">
        <v>0</v>
      </c>
      <c r="D410" s="513">
        <v>8511.83</v>
      </c>
      <c r="E410">
        <f>VLOOKUP(A410,Ucto_HK_summ!$A$2:$G$963,7,FALSE)</f>
        <v>8511.83</v>
      </c>
    </row>
    <row r="411" spans="1:5">
      <c r="A411" s="578" t="s">
        <v>1858</v>
      </c>
      <c r="B411" s="578" t="s">
        <v>1859</v>
      </c>
      <c r="C411">
        <v>0</v>
      </c>
      <c r="D411" s="513">
        <v>7970.82</v>
      </c>
      <c r="E411">
        <f>VLOOKUP(A411,Ucto_HK_summ!$A$2:$G$963,7,FALSE)</f>
        <v>7970.82</v>
      </c>
    </row>
    <row r="412" spans="1:5">
      <c r="A412" s="578" t="s">
        <v>1860</v>
      </c>
      <c r="B412" s="578" t="s">
        <v>1861</v>
      </c>
      <c r="C412">
        <v>0</v>
      </c>
      <c r="D412" s="513">
        <v>44080.86</v>
      </c>
      <c r="E412">
        <f>VLOOKUP(A412,Ucto_HK_summ!$A$2:$G$963,7,FALSE)</f>
        <v>44080.86</v>
      </c>
    </row>
    <row r="413" spans="1:5">
      <c r="A413" s="578" t="s">
        <v>1862</v>
      </c>
      <c r="B413" s="578" t="s">
        <v>1863</v>
      </c>
      <c r="C413">
        <v>0</v>
      </c>
      <c r="D413" s="513">
        <v>1886.75</v>
      </c>
      <c r="E413">
        <f>VLOOKUP(A413,Ucto_HK_summ!$A$2:$G$963,7,FALSE)</f>
        <v>1886.75</v>
      </c>
    </row>
    <row r="414" spans="1:5">
      <c r="A414" s="578" t="s">
        <v>1864</v>
      </c>
      <c r="B414" s="578" t="s">
        <v>1865</v>
      </c>
      <c r="C414">
        <v>0</v>
      </c>
      <c r="D414" s="513">
        <v>357255.79</v>
      </c>
      <c r="E414">
        <f>VLOOKUP(A414,Ucto_HK_summ!$A$2:$G$963,7,FALSE)</f>
        <v>357255.79</v>
      </c>
    </row>
    <row r="415" spans="1:5">
      <c r="A415" s="578" t="s">
        <v>1866</v>
      </c>
      <c r="B415" s="578" t="s">
        <v>1867</v>
      </c>
      <c r="C415">
        <v>0</v>
      </c>
      <c r="D415">
        <v>297.63</v>
      </c>
      <c r="E415">
        <f>VLOOKUP(A415,Ucto_HK_summ!$A$2:$G$963,7,FALSE)</f>
        <v>297.63</v>
      </c>
    </row>
    <row r="416" spans="1:5">
      <c r="A416" s="578" t="s">
        <v>1868</v>
      </c>
      <c r="B416" s="578" t="s">
        <v>1869</v>
      </c>
      <c r="C416">
        <v>0</v>
      </c>
      <c r="D416" s="513">
        <v>8737.2999999999993</v>
      </c>
      <c r="E416">
        <f>VLOOKUP(A416,Ucto_HK_summ!$A$2:$G$963,7,FALSE)</f>
        <v>8737.2999999999993</v>
      </c>
    </row>
    <row r="417" spans="1:5">
      <c r="A417" s="578" t="s">
        <v>1870</v>
      </c>
      <c r="B417" s="578" t="s">
        <v>1871</v>
      </c>
      <c r="C417">
        <v>0</v>
      </c>
      <c r="D417" s="513">
        <v>16025.81</v>
      </c>
      <c r="E417">
        <f>VLOOKUP(A417,Ucto_HK_summ!$A$2:$G$963,7,FALSE)</f>
        <v>16025.81</v>
      </c>
    </row>
    <row r="418" spans="1:5">
      <c r="A418" s="578" t="s">
        <v>1872</v>
      </c>
      <c r="B418" s="578" t="s">
        <v>1873</v>
      </c>
      <c r="C418">
        <v>0</v>
      </c>
      <c r="D418" s="513">
        <v>1207.3399999999999</v>
      </c>
      <c r="E418">
        <f>VLOOKUP(A418,Ucto_HK_summ!$A$2:$G$963,7,FALSE)</f>
        <v>1207.3399999999999</v>
      </c>
    </row>
    <row r="419" spans="1:5">
      <c r="A419" s="578" t="s">
        <v>1874</v>
      </c>
      <c r="B419" s="578" t="s">
        <v>1875</v>
      </c>
      <c r="C419">
        <v>0</v>
      </c>
      <c r="D419">
        <v>50.13</v>
      </c>
      <c r="E419">
        <f>VLOOKUP(A419,Ucto_HK_summ!$A$2:$G$963,7,FALSE)</f>
        <v>50.13</v>
      </c>
    </row>
    <row r="420" spans="1:5">
      <c r="A420" s="578" t="s">
        <v>1876</v>
      </c>
      <c r="B420" s="578" t="s">
        <v>1877</v>
      </c>
      <c r="C420">
        <v>0</v>
      </c>
      <c r="D420" s="513">
        <v>8668.16</v>
      </c>
      <c r="E420">
        <f>VLOOKUP(A420,Ucto_HK_summ!$A$2:$G$963,7,FALSE)</f>
        <v>8668.16</v>
      </c>
    </row>
    <row r="421" spans="1:5">
      <c r="A421" s="578" t="s">
        <v>1878</v>
      </c>
      <c r="B421" s="578" t="s">
        <v>1879</v>
      </c>
      <c r="C421">
        <v>0</v>
      </c>
      <c r="D421" s="513">
        <v>1105.72</v>
      </c>
      <c r="E421">
        <f>VLOOKUP(A421,Ucto_HK_summ!$A$2:$G$963,7,FALSE)</f>
        <v>1105.72</v>
      </c>
    </row>
    <row r="422" spans="1:5">
      <c r="A422" s="578" t="s">
        <v>1880</v>
      </c>
      <c r="B422" s="578" t="s">
        <v>1881</v>
      </c>
      <c r="C422">
        <v>0</v>
      </c>
      <c r="D422" s="513">
        <v>67086.320000000007</v>
      </c>
      <c r="E422">
        <f>VLOOKUP(A422,Ucto_HK_summ!$A$2:$G$963,7,FALSE)</f>
        <v>67086.320000000007</v>
      </c>
    </row>
    <row r="423" spans="1:5">
      <c r="A423" s="578" t="s">
        <v>1882</v>
      </c>
      <c r="B423" s="578" t="s">
        <v>1883</v>
      </c>
      <c r="C423">
        <v>0</v>
      </c>
      <c r="D423" s="513">
        <v>3141.34</v>
      </c>
      <c r="E423">
        <f>VLOOKUP(A423,Ucto_HK_summ!$A$2:$G$963,7,FALSE)</f>
        <v>3141.34</v>
      </c>
    </row>
    <row r="424" spans="1:5">
      <c r="A424" s="578" t="s">
        <v>1884</v>
      </c>
      <c r="B424" s="578" t="s">
        <v>1885</v>
      </c>
      <c r="C424">
        <v>0</v>
      </c>
      <c r="D424" s="513">
        <v>2384.11</v>
      </c>
      <c r="E424">
        <f>VLOOKUP(A424,Ucto_HK_summ!$A$2:$G$963,7,FALSE)</f>
        <v>2384.11</v>
      </c>
    </row>
    <row r="425" spans="1:5">
      <c r="A425" s="578" t="s">
        <v>1886</v>
      </c>
      <c r="B425" s="578" t="s">
        <v>1887</v>
      </c>
      <c r="C425">
        <v>0</v>
      </c>
      <c r="D425" s="513">
        <v>5870.77</v>
      </c>
      <c r="E425">
        <f>VLOOKUP(A425,Ucto_HK_summ!$A$2:$G$963,7,FALSE)</f>
        <v>5870.77</v>
      </c>
    </row>
    <row r="426" spans="1:5">
      <c r="A426" s="578" t="s">
        <v>803</v>
      </c>
      <c r="C426">
        <v>0</v>
      </c>
      <c r="D426" s="513">
        <v>44265220.420000002</v>
      </c>
      <c r="E426">
        <f>VLOOKUP(A426,Ucto_HK_summ!$A$2:$G$963,7,FALSE)</f>
        <v>44265220.420000002</v>
      </c>
    </row>
    <row r="427" spans="1:5">
      <c r="A427" s="578" t="s">
        <v>1888</v>
      </c>
      <c r="B427" s="578" t="s">
        <v>1889</v>
      </c>
      <c r="C427">
        <v>0</v>
      </c>
      <c r="D427" s="513">
        <v>2326585.79</v>
      </c>
      <c r="E427">
        <f>VLOOKUP(A427,Ucto_HK_summ!$A$2:$G$963,7,FALSE)</f>
        <v>2326585.79</v>
      </c>
    </row>
    <row r="428" spans="1:5">
      <c r="A428" s="578" t="s">
        <v>1890</v>
      </c>
      <c r="B428" s="578" t="s">
        <v>1891</v>
      </c>
      <c r="C428">
        <v>0</v>
      </c>
      <c r="D428" s="513">
        <v>1269677.05</v>
      </c>
      <c r="E428">
        <f>VLOOKUP(A428,Ucto_HK_summ!$A$2:$G$963,7,FALSE)</f>
        <v>1269677.05</v>
      </c>
    </row>
    <row r="429" spans="1:5">
      <c r="A429" s="578" t="s">
        <v>1892</v>
      </c>
      <c r="B429" s="578" t="s">
        <v>1893</v>
      </c>
      <c r="C429">
        <v>0</v>
      </c>
      <c r="D429" s="513">
        <v>332939.69</v>
      </c>
      <c r="E429">
        <f>VLOOKUP(A429,Ucto_HK_summ!$A$2:$G$963,7,FALSE)</f>
        <v>332939.69</v>
      </c>
    </row>
    <row r="430" spans="1:5">
      <c r="A430" s="578" t="s">
        <v>1894</v>
      </c>
      <c r="B430" s="578" t="s">
        <v>1895</v>
      </c>
      <c r="C430">
        <v>0</v>
      </c>
      <c r="D430" s="513">
        <v>1476260.38</v>
      </c>
      <c r="E430">
        <f>VLOOKUP(A430,Ucto_HK_summ!$A$2:$G$963,7,FALSE)</f>
        <v>1476260.38</v>
      </c>
    </row>
    <row r="431" spans="1:5">
      <c r="A431" s="578" t="s">
        <v>1896</v>
      </c>
      <c r="B431" s="578" t="s">
        <v>1897</v>
      </c>
      <c r="C431">
        <v>0</v>
      </c>
      <c r="D431" s="513">
        <v>3231.85</v>
      </c>
      <c r="E431">
        <f>VLOOKUP(A431,Ucto_HK_summ!$A$2:$G$963,7,FALSE)</f>
        <v>3231.85</v>
      </c>
    </row>
    <row r="432" spans="1:5">
      <c r="A432" s="578" t="s">
        <v>1898</v>
      </c>
      <c r="B432" s="578" t="s">
        <v>1899</v>
      </c>
      <c r="C432">
        <v>0</v>
      </c>
      <c r="D432" s="513">
        <v>14261.11</v>
      </c>
      <c r="E432">
        <f>VLOOKUP(A432,Ucto_HK_summ!$A$2:$G$963,7,FALSE)</f>
        <v>14261.11</v>
      </c>
    </row>
    <row r="433" spans="1:5">
      <c r="A433" s="578" t="s">
        <v>1900</v>
      </c>
      <c r="B433" s="578" t="s">
        <v>1901</v>
      </c>
      <c r="C433">
        <v>0</v>
      </c>
      <c r="D433" s="513">
        <v>11707.63</v>
      </c>
      <c r="E433">
        <f>VLOOKUP(A433,Ucto_HK_summ!$A$2:$G$963,7,FALSE)</f>
        <v>11707.63</v>
      </c>
    </row>
    <row r="434" spans="1:5">
      <c r="A434" s="578" t="s">
        <v>1902</v>
      </c>
      <c r="B434" s="578" t="s">
        <v>1903</v>
      </c>
      <c r="C434">
        <v>0</v>
      </c>
      <c r="D434" s="513">
        <v>5410.9</v>
      </c>
      <c r="E434">
        <f>VLOOKUP(A434,Ucto_HK_summ!$A$2:$G$963,7,FALSE)</f>
        <v>5410.9</v>
      </c>
    </row>
    <row r="435" spans="1:5">
      <c r="A435" s="578" t="s">
        <v>804</v>
      </c>
      <c r="C435">
        <v>0</v>
      </c>
      <c r="D435" s="513">
        <v>5440074.4000000004</v>
      </c>
      <c r="E435">
        <f>VLOOKUP(A435,Ucto_HK_summ!$A$2:$G$963,7,FALSE)</f>
        <v>5440074.4000000004</v>
      </c>
    </row>
    <row r="436" spans="1:5">
      <c r="A436" s="578" t="s">
        <v>1904</v>
      </c>
      <c r="B436" s="578" t="s">
        <v>1905</v>
      </c>
      <c r="C436">
        <v>0</v>
      </c>
      <c r="D436" s="513">
        <v>2006296.58</v>
      </c>
      <c r="E436">
        <f>VLOOKUP(A436,Ucto_HK_summ!$A$2:$G$963,7,FALSE)</f>
        <v>2006296.58</v>
      </c>
    </row>
    <row r="437" spans="1:5">
      <c r="A437" s="578" t="s">
        <v>1906</v>
      </c>
      <c r="B437" s="578" t="s">
        <v>1907</v>
      </c>
      <c r="C437">
        <v>0</v>
      </c>
      <c r="D437" s="513">
        <v>47191.65</v>
      </c>
      <c r="E437">
        <f>VLOOKUP(A437,Ucto_HK_summ!$A$2:$G$963,7,FALSE)</f>
        <v>47191.65</v>
      </c>
    </row>
    <row r="438" spans="1:5">
      <c r="A438" s="578" t="s">
        <v>1908</v>
      </c>
      <c r="B438" s="578" t="s">
        <v>1909</v>
      </c>
      <c r="C438">
        <v>0</v>
      </c>
      <c r="D438" s="513">
        <v>84698.55</v>
      </c>
      <c r="E438">
        <f>VLOOKUP(A438,Ucto_HK_summ!$A$2:$G$963,7,FALSE)</f>
        <v>84698.55</v>
      </c>
    </row>
    <row r="439" spans="1:5">
      <c r="A439" s="578" t="s">
        <v>1910</v>
      </c>
      <c r="C439">
        <v>0</v>
      </c>
      <c r="D439" s="513">
        <v>2138186.7799999998</v>
      </c>
      <c r="E439">
        <f>VLOOKUP(A439,Ucto_HK_summ!$A$2:$G$963,7,FALSE)</f>
        <v>2138186.7799999998</v>
      </c>
    </row>
    <row r="440" spans="1:5">
      <c r="A440" s="577" t="s">
        <v>1911</v>
      </c>
      <c r="C440" s="369">
        <v>0</v>
      </c>
      <c r="D440" s="579">
        <v>51843481.600000001</v>
      </c>
      <c r="E440">
        <f>VLOOKUP(A440,Ucto_HK_summ!$A$2:$G$963,7,FALSE)</f>
        <v>51843481.600000001</v>
      </c>
    </row>
    <row r="442" spans="1:5">
      <c r="A442" s="578" t="s">
        <v>1912</v>
      </c>
      <c r="B442" s="578" t="s">
        <v>1913</v>
      </c>
      <c r="C442">
        <v>0</v>
      </c>
      <c r="D442" s="513">
        <v>1283909.18</v>
      </c>
      <c r="E442">
        <f>VLOOKUP(A442,Ucto_HK_summ!$A$2:$G$963,7,FALSE)</f>
        <v>1283909.18</v>
      </c>
    </row>
    <row r="443" spans="1:5">
      <c r="A443" s="578" t="s">
        <v>1914</v>
      </c>
      <c r="B443" s="578" t="s">
        <v>1915</v>
      </c>
      <c r="C443">
        <v>0</v>
      </c>
      <c r="D443" s="513">
        <v>359133.48</v>
      </c>
      <c r="E443">
        <f>VLOOKUP(A443,Ucto_HK_summ!$A$2:$G$963,7,FALSE)</f>
        <v>359133.48</v>
      </c>
    </row>
    <row r="444" spans="1:5">
      <c r="A444" s="578" t="s">
        <v>1916</v>
      </c>
      <c r="B444" s="578" t="s">
        <v>1917</v>
      </c>
      <c r="C444">
        <v>0</v>
      </c>
      <c r="D444" s="513">
        <v>105171.94</v>
      </c>
      <c r="E444">
        <f>VLOOKUP(A444,Ucto_HK_summ!$A$2:$G$963,7,FALSE)</f>
        <v>105171.94</v>
      </c>
    </row>
    <row r="445" spans="1:5">
      <c r="A445" s="578" t="s">
        <v>1918</v>
      </c>
      <c r="B445" s="578" t="s">
        <v>1919</v>
      </c>
      <c r="C445">
        <v>0</v>
      </c>
      <c r="D445" s="513">
        <v>107365.04</v>
      </c>
      <c r="E445">
        <f>VLOOKUP(A445,Ucto_HK_summ!$A$2:$G$963,7,FALSE)</f>
        <v>107365.04</v>
      </c>
    </row>
    <row r="446" spans="1:5">
      <c r="A446" s="578" t="s">
        <v>1920</v>
      </c>
      <c r="B446" s="578" t="s">
        <v>1921</v>
      </c>
      <c r="C446">
        <v>0</v>
      </c>
      <c r="D446" s="513">
        <v>33622.949999999997</v>
      </c>
      <c r="E446">
        <f>VLOOKUP(A446,Ucto_HK_summ!$A$2:$G$963,7,FALSE)</f>
        <v>33622.949999999997</v>
      </c>
    </row>
    <row r="447" spans="1:5">
      <c r="A447" s="578" t="s">
        <v>1922</v>
      </c>
      <c r="B447" s="578" t="s">
        <v>1923</v>
      </c>
      <c r="C447">
        <v>0</v>
      </c>
      <c r="D447" s="513">
        <v>20363.919999999998</v>
      </c>
      <c r="E447">
        <f>VLOOKUP(A447,Ucto_HK_summ!$A$2:$G$963,7,FALSE)</f>
        <v>20363.919999999998</v>
      </c>
    </row>
    <row r="448" spans="1:5">
      <c r="A448" s="578" t="s">
        <v>1924</v>
      </c>
      <c r="B448" s="578" t="s">
        <v>1925</v>
      </c>
      <c r="C448">
        <v>0</v>
      </c>
      <c r="D448">
        <v>90</v>
      </c>
      <c r="E448">
        <f>VLOOKUP(A448,Ucto_HK_summ!$A$2:$G$963,7,FALSE)</f>
        <v>90</v>
      </c>
    </row>
    <row r="449" spans="1:5">
      <c r="A449" s="578" t="s">
        <v>1926</v>
      </c>
      <c r="B449" s="578" t="s">
        <v>1927</v>
      </c>
      <c r="C449">
        <v>0</v>
      </c>
      <c r="D449" s="513">
        <v>1972.48</v>
      </c>
      <c r="E449">
        <f>VLOOKUP(A449,Ucto_HK_summ!$A$2:$G$963,7,FALSE)</f>
        <v>1972.48</v>
      </c>
    </row>
    <row r="450" spans="1:5">
      <c r="A450" s="578" t="s">
        <v>1928</v>
      </c>
      <c r="B450" s="578" t="s">
        <v>1929</v>
      </c>
      <c r="C450">
        <v>0</v>
      </c>
      <c r="D450">
        <v>9.36</v>
      </c>
      <c r="E450">
        <f>VLOOKUP(A450,Ucto_HK_summ!$A$2:$G$963,7,FALSE)</f>
        <v>9.36</v>
      </c>
    </row>
    <row r="451" spans="1:5">
      <c r="A451" s="578" t="s">
        <v>811</v>
      </c>
      <c r="C451">
        <v>0</v>
      </c>
      <c r="D451" s="513">
        <v>1911638.35</v>
      </c>
      <c r="E451">
        <f>VLOOKUP(A451,Ucto_HK_summ!$A$2:$G$963,7,FALSE)</f>
        <v>1911638.35</v>
      </c>
    </row>
    <row r="452" spans="1:5">
      <c r="A452" s="578" t="s">
        <v>1930</v>
      </c>
      <c r="B452" s="578" t="s">
        <v>1931</v>
      </c>
      <c r="C452">
        <v>0</v>
      </c>
      <c r="D452" s="513">
        <v>1056.0999999999999</v>
      </c>
      <c r="E452">
        <f>VLOOKUP(A452,Ucto_HK_summ!$A$2:$G$963,7,FALSE)</f>
        <v>1056.0999999999999</v>
      </c>
    </row>
    <row r="453" spans="1:5">
      <c r="A453" s="578" t="s">
        <v>1932</v>
      </c>
      <c r="B453" s="578" t="s">
        <v>1933</v>
      </c>
      <c r="C453">
        <v>0</v>
      </c>
      <c r="D453" s="513">
        <v>3013.62</v>
      </c>
      <c r="E453">
        <f>VLOOKUP(A453,Ucto_HK_summ!$A$2:$G$963,7,FALSE)</f>
        <v>3013.62</v>
      </c>
    </row>
    <row r="454" spans="1:5">
      <c r="A454" s="578" t="s">
        <v>1934</v>
      </c>
      <c r="B454" s="578" t="s">
        <v>1935</v>
      </c>
      <c r="C454">
        <v>0</v>
      </c>
      <c r="D454" s="513">
        <v>1442.14</v>
      </c>
      <c r="E454">
        <f>VLOOKUP(A454,Ucto_HK_summ!$A$2:$G$963,7,FALSE)</f>
        <v>1442.14</v>
      </c>
    </row>
    <row r="455" spans="1:5">
      <c r="A455" s="578" t="s">
        <v>812</v>
      </c>
      <c r="C455">
        <v>0</v>
      </c>
      <c r="D455" s="513">
        <v>5511.86</v>
      </c>
      <c r="E455">
        <f>VLOOKUP(A455,Ucto_HK_summ!$A$2:$G$963,7,FALSE)</f>
        <v>5511.86</v>
      </c>
    </row>
    <row r="456" spans="1:5">
      <c r="A456" s="578" t="s">
        <v>1936</v>
      </c>
      <c r="B456" s="578" t="s">
        <v>814</v>
      </c>
      <c r="C456">
        <v>0</v>
      </c>
      <c r="D456" s="513">
        <v>2017.03</v>
      </c>
      <c r="E456">
        <f>VLOOKUP(A456,Ucto_HK_summ!$A$2:$G$963,7,FALSE)</f>
        <v>2017.03</v>
      </c>
    </row>
    <row r="457" spans="1:5">
      <c r="A457" s="578" t="s">
        <v>813</v>
      </c>
      <c r="C457">
        <v>0</v>
      </c>
      <c r="D457" s="513">
        <v>2017.03</v>
      </c>
      <c r="E457">
        <f>VLOOKUP(A457,Ucto_HK_summ!$A$2:$G$963,7,FALSE)</f>
        <v>2017.03</v>
      </c>
    </row>
    <row r="458" spans="1:5">
      <c r="A458" s="578" t="s">
        <v>1937</v>
      </c>
      <c r="B458" s="578" t="s">
        <v>1938</v>
      </c>
      <c r="C458">
        <v>0</v>
      </c>
      <c r="D458" s="513">
        <v>11647.29</v>
      </c>
      <c r="E458">
        <f>VLOOKUP(A458,Ucto_HK_summ!$A$2:$G$963,7,FALSE)</f>
        <v>11647.29</v>
      </c>
    </row>
    <row r="459" spans="1:5">
      <c r="A459" s="578" t="s">
        <v>1939</v>
      </c>
      <c r="B459" s="578" t="s">
        <v>1940</v>
      </c>
      <c r="C459">
        <v>0</v>
      </c>
      <c r="D459" s="513">
        <v>1091.3499999999999</v>
      </c>
      <c r="E459">
        <f>VLOOKUP(A459,Ucto_HK_summ!$A$2:$G$963,7,FALSE)</f>
        <v>1091.3499999999999</v>
      </c>
    </row>
    <row r="460" spans="1:5">
      <c r="A460" s="578" t="s">
        <v>1941</v>
      </c>
      <c r="B460" s="578" t="s">
        <v>1942</v>
      </c>
      <c r="C460">
        <v>0</v>
      </c>
      <c r="D460" s="513">
        <v>27226.01</v>
      </c>
      <c r="E460">
        <f>VLOOKUP(A460,Ucto_HK_summ!$A$2:$G$963,7,FALSE)</f>
        <v>27226.01</v>
      </c>
    </row>
    <row r="461" spans="1:5">
      <c r="A461" s="578" t="s">
        <v>1943</v>
      </c>
      <c r="B461" s="578" t="s">
        <v>1944</v>
      </c>
      <c r="C461">
        <v>0</v>
      </c>
      <c r="D461" s="513">
        <v>2219702.11</v>
      </c>
      <c r="E461">
        <f>VLOOKUP(A461,Ucto_HK_summ!$A$2:$G$963,7,FALSE)</f>
        <v>2219702.11</v>
      </c>
    </row>
    <row r="462" spans="1:5">
      <c r="A462" s="578" t="s">
        <v>1945</v>
      </c>
      <c r="B462" s="578" t="s">
        <v>1946</v>
      </c>
      <c r="C462">
        <v>0</v>
      </c>
      <c r="D462" s="513">
        <v>298209.83</v>
      </c>
      <c r="E462">
        <f>VLOOKUP(A462,Ucto_HK_summ!$A$2:$G$963,7,FALSE)</f>
        <v>298209.83</v>
      </c>
    </row>
    <row r="463" spans="1:5">
      <c r="A463" s="578" t="s">
        <v>1947</v>
      </c>
      <c r="B463" s="578" t="s">
        <v>1948</v>
      </c>
      <c r="C463">
        <v>0</v>
      </c>
      <c r="D463" s="513">
        <v>4279.78</v>
      </c>
      <c r="E463">
        <f>VLOOKUP(A463,Ucto_HK_summ!$A$2:$G$963,7,FALSE)</f>
        <v>4279.78</v>
      </c>
    </row>
    <row r="464" spans="1:5">
      <c r="A464" s="578" t="s">
        <v>1949</v>
      </c>
      <c r="B464" s="578" t="s">
        <v>1950</v>
      </c>
      <c r="C464">
        <v>0</v>
      </c>
      <c r="D464" s="513">
        <v>76142.559999999998</v>
      </c>
      <c r="E464">
        <f>VLOOKUP(A464,Ucto_HK_summ!$A$2:$G$963,7,FALSE)</f>
        <v>76142.559999999998</v>
      </c>
    </row>
    <row r="465" spans="1:5">
      <c r="A465" s="578" t="s">
        <v>1951</v>
      </c>
      <c r="B465" s="578" t="s">
        <v>1952</v>
      </c>
      <c r="C465">
        <v>0</v>
      </c>
      <c r="D465" s="513">
        <v>368530.63</v>
      </c>
      <c r="E465">
        <f>VLOOKUP(A465,Ucto_HK_summ!$A$2:$G$963,7,FALSE)</f>
        <v>368530.63</v>
      </c>
    </row>
    <row r="466" spans="1:5">
      <c r="A466" s="578" t="s">
        <v>1953</v>
      </c>
      <c r="B466" s="578" t="s">
        <v>1954</v>
      </c>
      <c r="C466">
        <v>0</v>
      </c>
      <c r="D466" s="513">
        <v>250150.36</v>
      </c>
      <c r="E466">
        <f>VLOOKUP(A466,Ucto_HK_summ!$A$2:$G$963,7,FALSE)</f>
        <v>250150.36</v>
      </c>
    </row>
    <row r="467" spans="1:5">
      <c r="A467" s="578" t="s">
        <v>1955</v>
      </c>
      <c r="B467" s="578" t="s">
        <v>1956</v>
      </c>
      <c r="C467">
        <v>0</v>
      </c>
      <c r="D467" s="513">
        <v>1735.1</v>
      </c>
      <c r="E467">
        <f>VLOOKUP(A467,Ucto_HK_summ!$A$2:$G$963,7,FALSE)</f>
        <v>1735.1</v>
      </c>
    </row>
    <row r="468" spans="1:5">
      <c r="A468" s="578" t="s">
        <v>1957</v>
      </c>
      <c r="B468" s="578" t="s">
        <v>1958</v>
      </c>
      <c r="C468">
        <v>0</v>
      </c>
      <c r="D468" s="513">
        <v>36262.629999999997</v>
      </c>
      <c r="E468">
        <f>VLOOKUP(A468,Ucto_HK_summ!$A$2:$G$963,7,FALSE)</f>
        <v>36262.629999999997</v>
      </c>
    </row>
    <row r="469" spans="1:5">
      <c r="A469" s="578" t="s">
        <v>1959</v>
      </c>
      <c r="B469" s="578" t="s">
        <v>1960</v>
      </c>
      <c r="C469">
        <v>0</v>
      </c>
      <c r="D469" s="513">
        <v>2247.67</v>
      </c>
      <c r="E469">
        <f>VLOOKUP(A469,Ucto_HK_summ!$A$2:$G$963,7,FALSE)</f>
        <v>2247.67</v>
      </c>
    </row>
    <row r="470" spans="1:5">
      <c r="A470" s="578" t="s">
        <v>1961</v>
      </c>
      <c r="B470" s="578" t="s">
        <v>1962</v>
      </c>
      <c r="C470">
        <v>0</v>
      </c>
      <c r="D470" s="550">
        <v>3000</v>
      </c>
      <c r="E470">
        <f>VLOOKUP(A470,Ucto_HK_summ!$A$2:$G$963,7,FALSE)</f>
        <v>3000</v>
      </c>
    </row>
    <row r="471" spans="1:5">
      <c r="A471" s="578" t="s">
        <v>1963</v>
      </c>
      <c r="B471" s="578" t="s">
        <v>1964</v>
      </c>
      <c r="C471">
        <v>0</v>
      </c>
      <c r="D471">
        <v>656.54</v>
      </c>
      <c r="E471">
        <f>VLOOKUP(A471,Ucto_HK_summ!$A$2:$G$963,7,FALSE)</f>
        <v>656.54</v>
      </c>
    </row>
    <row r="472" spans="1:5">
      <c r="A472" s="578" t="s">
        <v>1965</v>
      </c>
      <c r="B472" s="578" t="s">
        <v>1966</v>
      </c>
      <c r="C472">
        <v>0</v>
      </c>
      <c r="D472">
        <v>541.20000000000005</v>
      </c>
      <c r="E472">
        <f>VLOOKUP(A472,Ucto_HK_summ!$A$2:$G$963,7,FALSE)</f>
        <v>541.20000000000005</v>
      </c>
    </row>
    <row r="473" spans="1:5">
      <c r="A473" s="578" t="s">
        <v>1967</v>
      </c>
      <c r="B473" s="578" t="s">
        <v>1968</v>
      </c>
      <c r="C473">
        <v>0</v>
      </c>
      <c r="D473" s="513">
        <v>107773.79</v>
      </c>
      <c r="E473">
        <f>VLOOKUP(A473,Ucto_HK_summ!$A$2:$G$963,7,FALSE)</f>
        <v>107773.79</v>
      </c>
    </row>
    <row r="474" spans="1:5">
      <c r="A474" s="578" t="s">
        <v>1969</v>
      </c>
      <c r="B474" s="578" t="s">
        <v>1970</v>
      </c>
      <c r="C474">
        <v>0</v>
      </c>
      <c r="D474" s="513">
        <v>20031.810000000001</v>
      </c>
      <c r="E474">
        <f>VLOOKUP(A474,Ucto_HK_summ!$A$2:$G$963,7,FALSE)</f>
        <v>20031.810000000001</v>
      </c>
    </row>
    <row r="475" spans="1:5">
      <c r="A475" s="578" t="s">
        <v>1971</v>
      </c>
      <c r="B475" s="578" t="s">
        <v>1972</v>
      </c>
      <c r="C475">
        <v>0</v>
      </c>
      <c r="D475" s="513">
        <v>380229.97</v>
      </c>
      <c r="E475">
        <f>VLOOKUP(A475,Ucto_HK_summ!$A$2:$G$963,7,FALSE)</f>
        <v>380229.97</v>
      </c>
    </row>
    <row r="476" spans="1:5">
      <c r="A476" s="578" t="s">
        <v>1973</v>
      </c>
      <c r="B476" s="578" t="s">
        <v>229</v>
      </c>
      <c r="C476">
        <v>0</v>
      </c>
      <c r="D476" s="513">
        <v>38197.949999999997</v>
      </c>
      <c r="E476">
        <f>VLOOKUP(A476,Ucto_HK_summ!$A$2:$G$963,7,FALSE)</f>
        <v>38197.949999999997</v>
      </c>
    </row>
    <row r="477" spans="1:5">
      <c r="A477" s="578" t="s">
        <v>1974</v>
      </c>
      <c r="B477" s="578" t="s">
        <v>230</v>
      </c>
      <c r="C477">
        <v>0</v>
      </c>
      <c r="D477" s="513">
        <v>61373.97</v>
      </c>
      <c r="E477">
        <f>VLOOKUP(A477,Ucto_HK_summ!$A$2:$G$963,7,FALSE)</f>
        <v>61373.97</v>
      </c>
    </row>
    <row r="478" spans="1:5">
      <c r="A478" s="578" t="s">
        <v>1975</v>
      </c>
      <c r="B478" s="578" t="s">
        <v>1976</v>
      </c>
      <c r="C478">
        <v>0</v>
      </c>
      <c r="D478" s="513">
        <v>55825.74</v>
      </c>
      <c r="E478">
        <f>VLOOKUP(A478,Ucto_HK_summ!$A$2:$G$963,7,FALSE)</f>
        <v>55825.74</v>
      </c>
    </row>
    <row r="479" spans="1:5">
      <c r="A479" s="578" t="s">
        <v>1977</v>
      </c>
      <c r="B479" s="578" t="s">
        <v>1978</v>
      </c>
      <c r="C479">
        <v>0</v>
      </c>
      <c r="D479" s="513">
        <v>2007.38</v>
      </c>
      <c r="E479">
        <f>VLOOKUP(A479,Ucto_HK_summ!$A$2:$G$963,7,FALSE)</f>
        <v>2007.38</v>
      </c>
    </row>
    <row r="480" spans="1:5">
      <c r="A480" s="578" t="s">
        <v>1979</v>
      </c>
      <c r="B480" s="578" t="s">
        <v>1980</v>
      </c>
      <c r="C480">
        <v>0</v>
      </c>
      <c r="D480" s="513">
        <v>57162.15</v>
      </c>
      <c r="E480">
        <f>VLOOKUP(A480,Ucto_HK_summ!$A$2:$G$963,7,FALSE)</f>
        <v>57162.15</v>
      </c>
    </row>
    <row r="481" spans="1:5">
      <c r="A481" s="578" t="s">
        <v>1981</v>
      </c>
      <c r="B481" s="578" t="s">
        <v>1982</v>
      </c>
      <c r="C481">
        <v>0</v>
      </c>
      <c r="D481" s="513">
        <v>8442.33</v>
      </c>
      <c r="E481">
        <f>VLOOKUP(A481,Ucto_HK_summ!$A$2:$G$963,7,FALSE)</f>
        <v>8442.33</v>
      </c>
    </row>
    <row r="482" spans="1:5">
      <c r="A482" s="578" t="s">
        <v>1983</v>
      </c>
      <c r="B482" s="578" t="s">
        <v>1984</v>
      </c>
      <c r="C482">
        <v>0</v>
      </c>
      <c r="D482">
        <v>6</v>
      </c>
      <c r="E482">
        <f>VLOOKUP(A482,Ucto_HK_summ!$A$2:$G$963,7,FALSE)</f>
        <v>6</v>
      </c>
    </row>
    <row r="483" spans="1:5">
      <c r="A483" s="578" t="s">
        <v>1985</v>
      </c>
      <c r="B483" s="578" t="s">
        <v>1986</v>
      </c>
      <c r="C483">
        <v>0</v>
      </c>
      <c r="D483" s="513">
        <v>33787.4</v>
      </c>
      <c r="E483">
        <f>VLOOKUP(A483,Ucto_HK_summ!$A$2:$G$963,7,FALSE)</f>
        <v>33787.4</v>
      </c>
    </row>
    <row r="484" spans="1:5">
      <c r="A484" s="578" t="s">
        <v>1987</v>
      </c>
      <c r="B484" s="578" t="s">
        <v>1988</v>
      </c>
      <c r="C484">
        <v>0</v>
      </c>
      <c r="D484" s="550">
        <v>7104</v>
      </c>
      <c r="E484">
        <f>VLOOKUP(A484,Ucto_HK_summ!$A$2:$G$963,7,FALSE)</f>
        <v>7104</v>
      </c>
    </row>
    <row r="485" spans="1:5">
      <c r="A485" s="578" t="s">
        <v>1989</v>
      </c>
      <c r="B485" s="578" t="s">
        <v>1990</v>
      </c>
      <c r="C485">
        <v>0</v>
      </c>
      <c r="D485" s="513">
        <v>22359.73</v>
      </c>
      <c r="E485">
        <f>VLOOKUP(A485,Ucto_HK_summ!$A$2:$G$963,7,FALSE)</f>
        <v>22359.73</v>
      </c>
    </row>
    <row r="486" spans="1:5">
      <c r="A486" s="578" t="s">
        <v>1991</v>
      </c>
      <c r="B486" s="578" t="s">
        <v>1992</v>
      </c>
      <c r="C486">
        <v>0</v>
      </c>
      <c r="D486">
        <v>293.11</v>
      </c>
      <c r="E486">
        <f>VLOOKUP(A486,Ucto_HK_summ!$A$2:$G$963,7,FALSE)</f>
        <v>293.11</v>
      </c>
    </row>
    <row r="487" spans="1:5">
      <c r="A487" s="578" t="s">
        <v>1993</v>
      </c>
      <c r="B487" s="578" t="s">
        <v>1994</v>
      </c>
      <c r="C487">
        <v>0</v>
      </c>
      <c r="D487">
        <v>14.77</v>
      </c>
      <c r="E487">
        <f>VLOOKUP(A487,Ucto_HK_summ!$A$2:$G$963,7,FALSE)</f>
        <v>14.77</v>
      </c>
    </row>
    <row r="488" spans="1:5">
      <c r="A488" s="578" t="s">
        <v>1995</v>
      </c>
      <c r="B488" s="578" t="s">
        <v>1996</v>
      </c>
      <c r="C488">
        <v>0</v>
      </c>
      <c r="D488">
        <v>742.39</v>
      </c>
      <c r="E488">
        <f>VLOOKUP(A488,Ucto_HK_summ!$A$2:$G$963,7,FALSE)</f>
        <v>742.39</v>
      </c>
    </row>
    <row r="489" spans="1:5">
      <c r="A489" s="578" t="s">
        <v>1997</v>
      </c>
      <c r="B489" s="578" t="s">
        <v>1998</v>
      </c>
      <c r="C489">
        <v>0</v>
      </c>
      <c r="D489" s="513">
        <v>2378.16</v>
      </c>
      <c r="E489">
        <f>VLOOKUP(A489,Ucto_HK_summ!$A$2:$G$963,7,FALSE)</f>
        <v>2378.16</v>
      </c>
    </row>
    <row r="490" spans="1:5">
      <c r="A490" s="578" t="s">
        <v>815</v>
      </c>
      <c r="C490">
        <v>0</v>
      </c>
      <c r="D490" s="513">
        <v>4099153.71</v>
      </c>
      <c r="E490">
        <f>VLOOKUP(A490,Ucto_HK_summ!$A$2:$G$963,7,FALSE)</f>
        <v>4099153.71</v>
      </c>
    </row>
    <row r="491" spans="1:5">
      <c r="A491" s="577" t="s">
        <v>1999</v>
      </c>
      <c r="C491" s="369">
        <v>0</v>
      </c>
      <c r="D491" s="579">
        <v>6018320.9500000002</v>
      </c>
      <c r="E491">
        <f>VLOOKUP(A491,Ucto_HK_summ!$A$2:$G$963,7,FALSE)</f>
        <v>6018320.9500000002</v>
      </c>
    </row>
    <row r="493" spans="1:5">
      <c r="A493" s="578" t="s">
        <v>2000</v>
      </c>
      <c r="B493" s="578" t="s">
        <v>2001</v>
      </c>
      <c r="C493">
        <v>0</v>
      </c>
      <c r="D493" s="513">
        <v>21620056.02</v>
      </c>
      <c r="E493">
        <f>VLOOKUP(A493,Ucto_HK_summ!$A$2:$G$963,7,FALSE)</f>
        <v>21620056.02</v>
      </c>
    </row>
    <row r="494" spans="1:5">
      <c r="A494" s="578" t="s">
        <v>2002</v>
      </c>
      <c r="B494" s="578" t="s">
        <v>2003</v>
      </c>
      <c r="C494">
        <v>0</v>
      </c>
      <c r="D494" s="513">
        <v>8446490.9700000007</v>
      </c>
      <c r="E494">
        <f>VLOOKUP(A494,Ucto_HK_summ!$A$2:$G$963,7,FALSE)</f>
        <v>8446490.9700000007</v>
      </c>
    </row>
    <row r="495" spans="1:5">
      <c r="A495" s="578" t="s">
        <v>2004</v>
      </c>
      <c r="B495" s="578" t="s">
        <v>2005</v>
      </c>
      <c r="C495">
        <v>0</v>
      </c>
      <c r="D495" s="513">
        <v>7680724.04</v>
      </c>
      <c r="E495">
        <f>VLOOKUP(A495,Ucto_HK_summ!$A$2:$G$963,7,FALSE)</f>
        <v>7680724.04</v>
      </c>
    </row>
    <row r="496" spans="1:5">
      <c r="A496" s="578" t="s">
        <v>2006</v>
      </c>
      <c r="B496" s="578" t="s">
        <v>2007</v>
      </c>
      <c r="C496">
        <v>0</v>
      </c>
      <c r="D496" s="513">
        <v>18586979.59</v>
      </c>
      <c r="E496">
        <f>VLOOKUP(A496,Ucto_HK_summ!$A$2:$G$963,7,FALSE)</f>
        <v>18586979.59</v>
      </c>
    </row>
    <row r="497" spans="1:5">
      <c r="A497" s="578" t="s">
        <v>2008</v>
      </c>
      <c r="B497" s="578" t="s">
        <v>2009</v>
      </c>
      <c r="C497">
        <v>0</v>
      </c>
      <c r="D497" s="550">
        <v>2922382</v>
      </c>
      <c r="E497">
        <f>VLOOKUP(A497,Ucto_HK_summ!$A$2:$G$963,7,FALSE)</f>
        <v>2922382</v>
      </c>
    </row>
    <row r="498" spans="1:5">
      <c r="A498" s="578" t="s">
        <v>2010</v>
      </c>
      <c r="B498" s="578" t="s">
        <v>2011</v>
      </c>
      <c r="C498">
        <v>0</v>
      </c>
      <c r="D498" s="513">
        <v>14007.46</v>
      </c>
      <c r="E498">
        <f>VLOOKUP(A498,Ucto_HK_summ!$A$2:$G$963,7,FALSE)</f>
        <v>14007.46</v>
      </c>
    </row>
    <row r="499" spans="1:5">
      <c r="A499" s="578" t="s">
        <v>2012</v>
      </c>
      <c r="B499" s="578" t="s">
        <v>2013</v>
      </c>
      <c r="C499">
        <v>0</v>
      </c>
      <c r="D499" s="550">
        <v>3926</v>
      </c>
      <c r="E499">
        <f>VLOOKUP(A499,Ucto_HK_summ!$A$2:$G$963,7,FALSE)</f>
        <v>3926</v>
      </c>
    </row>
    <row r="500" spans="1:5">
      <c r="A500" s="578" t="s">
        <v>2014</v>
      </c>
      <c r="B500" s="578" t="s">
        <v>2015</v>
      </c>
      <c r="C500">
        <v>0</v>
      </c>
      <c r="D500" s="513">
        <v>364215.07</v>
      </c>
      <c r="E500">
        <f>VLOOKUP(A500,Ucto_HK_summ!$A$2:$G$963,7,FALSE)</f>
        <v>364215.07</v>
      </c>
    </row>
    <row r="501" spans="1:5">
      <c r="A501" s="578" t="s">
        <v>2016</v>
      </c>
      <c r="B501" s="578" t="s">
        <v>2017</v>
      </c>
      <c r="C501">
        <v>0</v>
      </c>
      <c r="D501" s="513">
        <v>913926.44</v>
      </c>
      <c r="E501">
        <f>VLOOKUP(A501,Ucto_HK_summ!$A$2:$G$963,7,FALSE)</f>
        <v>913926.44</v>
      </c>
    </row>
    <row r="502" spans="1:5">
      <c r="A502" s="578" t="s">
        <v>817</v>
      </c>
      <c r="C502">
        <v>0</v>
      </c>
      <c r="D502" s="513">
        <v>60552707.590000004</v>
      </c>
      <c r="E502">
        <f>VLOOKUP(A502,Ucto_HK_summ!$A$2:$G$963,7,FALSE)</f>
        <v>60552707.590000004</v>
      </c>
    </row>
    <row r="503" spans="1:5">
      <c r="A503" s="578" t="s">
        <v>2018</v>
      </c>
      <c r="B503" s="578" t="s">
        <v>2019</v>
      </c>
      <c r="C503">
        <v>0</v>
      </c>
      <c r="D503" s="513">
        <v>2162175.4700000002</v>
      </c>
      <c r="E503">
        <f>VLOOKUP(A503,Ucto_HK_summ!$A$2:$G$963,7,FALSE)</f>
        <v>2162175.4700000002</v>
      </c>
    </row>
    <row r="504" spans="1:5">
      <c r="A504" s="578" t="s">
        <v>2020</v>
      </c>
      <c r="B504" s="578" t="s">
        <v>2021</v>
      </c>
      <c r="C504">
        <v>0</v>
      </c>
      <c r="D504" s="513">
        <v>847618.08</v>
      </c>
      <c r="E504">
        <f>VLOOKUP(A504,Ucto_HK_summ!$A$2:$G$963,7,FALSE)</f>
        <v>847618.08</v>
      </c>
    </row>
    <row r="505" spans="1:5">
      <c r="A505" s="578" t="s">
        <v>2022</v>
      </c>
      <c r="B505" s="578" t="s">
        <v>2023</v>
      </c>
      <c r="C505">
        <v>0</v>
      </c>
      <c r="D505" s="513">
        <v>775635.98</v>
      </c>
      <c r="E505">
        <f>VLOOKUP(A505,Ucto_HK_summ!$A$2:$G$963,7,FALSE)</f>
        <v>775635.98</v>
      </c>
    </row>
    <row r="506" spans="1:5">
      <c r="A506" s="578" t="s">
        <v>2024</v>
      </c>
      <c r="B506" s="578" t="s">
        <v>2025</v>
      </c>
      <c r="C506">
        <v>0</v>
      </c>
      <c r="D506" s="513">
        <v>1871085.66</v>
      </c>
      <c r="E506">
        <f>VLOOKUP(A506,Ucto_HK_summ!$A$2:$G$963,7,FALSE)</f>
        <v>1871085.66</v>
      </c>
    </row>
    <row r="507" spans="1:5">
      <c r="A507" s="578" t="s">
        <v>2026</v>
      </c>
      <c r="B507" s="578" t="s">
        <v>2027</v>
      </c>
      <c r="C507">
        <v>0</v>
      </c>
      <c r="D507" s="513">
        <v>295958.24</v>
      </c>
      <c r="E507">
        <f>VLOOKUP(A507,Ucto_HK_summ!$A$2:$G$963,7,FALSE)</f>
        <v>295958.24</v>
      </c>
    </row>
    <row r="508" spans="1:5">
      <c r="A508" s="578" t="s">
        <v>2028</v>
      </c>
      <c r="B508" s="578" t="s">
        <v>2029</v>
      </c>
      <c r="C508">
        <v>0</v>
      </c>
      <c r="D508" s="513">
        <v>304140.23</v>
      </c>
      <c r="E508">
        <f>VLOOKUP(A508,Ucto_HK_summ!$A$2:$G$963,7,FALSE)</f>
        <v>304140.23</v>
      </c>
    </row>
    <row r="509" spans="1:5">
      <c r="A509" s="578" t="s">
        <v>2030</v>
      </c>
      <c r="B509" s="578" t="s">
        <v>2031</v>
      </c>
      <c r="C509">
        <v>0</v>
      </c>
      <c r="D509" s="513">
        <v>120368.9</v>
      </c>
      <c r="E509">
        <f>VLOOKUP(A509,Ucto_HK_summ!$A$2:$G$963,7,FALSE)</f>
        <v>120368.9</v>
      </c>
    </row>
    <row r="510" spans="1:5">
      <c r="A510" s="578" t="s">
        <v>2032</v>
      </c>
      <c r="B510" s="578" t="s">
        <v>2033</v>
      </c>
      <c r="C510">
        <v>0</v>
      </c>
      <c r="D510" s="513">
        <v>109623.54</v>
      </c>
      <c r="E510">
        <f>VLOOKUP(A510,Ucto_HK_summ!$A$2:$G$963,7,FALSE)</f>
        <v>109623.54</v>
      </c>
    </row>
    <row r="511" spans="1:5">
      <c r="A511" s="578" t="s">
        <v>2034</v>
      </c>
      <c r="B511" s="578" t="s">
        <v>2035</v>
      </c>
      <c r="C511">
        <v>0</v>
      </c>
      <c r="D511" s="513">
        <v>263447.46999999997</v>
      </c>
      <c r="E511">
        <f>VLOOKUP(A511,Ucto_HK_summ!$A$2:$G$963,7,FALSE)</f>
        <v>263447.46999999997</v>
      </c>
    </row>
    <row r="512" spans="1:5">
      <c r="A512" s="578" t="s">
        <v>2036</v>
      </c>
      <c r="B512" s="578" t="s">
        <v>2037</v>
      </c>
      <c r="C512">
        <v>0</v>
      </c>
      <c r="D512" s="513">
        <v>41476.83</v>
      </c>
      <c r="E512">
        <f>VLOOKUP(A512,Ucto_HK_summ!$A$2:$G$963,7,FALSE)</f>
        <v>41476.83</v>
      </c>
    </row>
    <row r="513" spans="1:5">
      <c r="A513" s="578" t="s">
        <v>2038</v>
      </c>
      <c r="B513" s="578" t="s">
        <v>2039</v>
      </c>
      <c r="C513">
        <v>0</v>
      </c>
      <c r="D513" s="513">
        <v>3041803.98</v>
      </c>
      <c r="E513">
        <f>VLOOKUP(A513,Ucto_HK_summ!$A$2:$G$963,7,FALSE)</f>
        <v>3041803.98</v>
      </c>
    </row>
    <row r="514" spans="1:5">
      <c r="A514" s="578" t="s">
        <v>2040</v>
      </c>
      <c r="B514" s="578" t="s">
        <v>2041</v>
      </c>
      <c r="C514">
        <v>0</v>
      </c>
      <c r="D514" s="513">
        <v>1203880.1499999999</v>
      </c>
      <c r="E514">
        <f>VLOOKUP(A514,Ucto_HK_summ!$A$2:$G$963,7,FALSE)</f>
        <v>1203880.1499999999</v>
      </c>
    </row>
    <row r="515" spans="1:5">
      <c r="A515" s="578" t="s">
        <v>2042</v>
      </c>
      <c r="B515" s="578" t="s">
        <v>2043</v>
      </c>
      <c r="C515">
        <v>0</v>
      </c>
      <c r="D515" s="513">
        <v>1109960.01</v>
      </c>
      <c r="E515">
        <f>VLOOKUP(A515,Ucto_HK_summ!$A$2:$G$963,7,FALSE)</f>
        <v>1109960.01</v>
      </c>
    </row>
    <row r="516" spans="1:5">
      <c r="A516" s="578" t="s">
        <v>2044</v>
      </c>
      <c r="B516" s="578" t="s">
        <v>2045</v>
      </c>
      <c r="C516">
        <v>0</v>
      </c>
      <c r="D516" s="513">
        <v>2635061.5099999998</v>
      </c>
      <c r="E516">
        <f>VLOOKUP(A516,Ucto_HK_summ!$A$2:$G$963,7,FALSE)</f>
        <v>2635061.5099999998</v>
      </c>
    </row>
    <row r="517" spans="1:5">
      <c r="A517" s="578" t="s">
        <v>2046</v>
      </c>
      <c r="B517" s="578" t="s">
        <v>2047</v>
      </c>
      <c r="C517">
        <v>0</v>
      </c>
      <c r="D517" s="513">
        <v>414899.12</v>
      </c>
      <c r="E517">
        <f>VLOOKUP(A517,Ucto_HK_summ!$A$2:$G$963,7,FALSE)</f>
        <v>414899.12</v>
      </c>
    </row>
    <row r="518" spans="1:5">
      <c r="A518" s="578" t="s">
        <v>2048</v>
      </c>
      <c r="B518" s="578" t="s">
        <v>2049</v>
      </c>
      <c r="C518">
        <v>0</v>
      </c>
      <c r="D518" s="513">
        <v>196107.86</v>
      </c>
      <c r="E518">
        <f>VLOOKUP(A518,Ucto_HK_summ!$A$2:$G$963,7,FALSE)</f>
        <v>196107.86</v>
      </c>
    </row>
    <row r="519" spans="1:5">
      <c r="A519" s="578" t="s">
        <v>2050</v>
      </c>
      <c r="B519" s="578" t="s">
        <v>2051</v>
      </c>
      <c r="C519">
        <v>0</v>
      </c>
      <c r="D519" s="513">
        <v>80249.649999999994</v>
      </c>
      <c r="E519">
        <f>VLOOKUP(A519,Ucto_HK_summ!$A$2:$G$963,7,FALSE)</f>
        <v>80249.649999999994</v>
      </c>
    </row>
    <row r="520" spans="1:5">
      <c r="A520" s="578" t="s">
        <v>2052</v>
      </c>
      <c r="B520" s="578" t="s">
        <v>2053</v>
      </c>
      <c r="C520">
        <v>0</v>
      </c>
      <c r="D520" s="513">
        <v>69266.740000000005</v>
      </c>
      <c r="E520">
        <f>VLOOKUP(A520,Ucto_HK_summ!$A$2:$G$963,7,FALSE)</f>
        <v>69266.740000000005</v>
      </c>
    </row>
    <row r="521" spans="1:5">
      <c r="A521" s="578" t="s">
        <v>2054</v>
      </c>
      <c r="B521" s="578" t="s">
        <v>2055</v>
      </c>
      <c r="C521">
        <v>0</v>
      </c>
      <c r="D521" s="513">
        <v>181887.05</v>
      </c>
      <c r="E521">
        <f>VLOOKUP(A521,Ucto_HK_summ!$A$2:$G$963,7,FALSE)</f>
        <v>181887.05</v>
      </c>
    </row>
    <row r="522" spans="1:5">
      <c r="A522" s="578" t="s">
        <v>2056</v>
      </c>
      <c r="B522" s="578" t="s">
        <v>2057</v>
      </c>
      <c r="C522">
        <v>0</v>
      </c>
      <c r="D522" s="550">
        <v>28242</v>
      </c>
      <c r="E522">
        <f>VLOOKUP(A522,Ucto_HK_summ!$A$2:$G$963,7,FALSE)</f>
        <v>28242</v>
      </c>
    </row>
    <row r="523" spans="1:5">
      <c r="A523" s="578" t="s">
        <v>2058</v>
      </c>
      <c r="B523" s="578" t="s">
        <v>2059</v>
      </c>
      <c r="C523">
        <v>0</v>
      </c>
      <c r="D523" s="513">
        <v>590825.49</v>
      </c>
      <c r="E523">
        <f>VLOOKUP(A523,Ucto_HK_summ!$A$2:$G$963,7,FALSE)</f>
        <v>590825.49</v>
      </c>
    </row>
    <row r="524" spans="1:5">
      <c r="A524" s="578" t="s">
        <v>2060</v>
      </c>
      <c r="B524" s="578" t="s">
        <v>2061</v>
      </c>
      <c r="C524">
        <v>0</v>
      </c>
      <c r="D524" s="513">
        <v>241955.15</v>
      </c>
      <c r="E524">
        <f>VLOOKUP(A524,Ucto_HK_summ!$A$2:$G$963,7,FALSE)</f>
        <v>241955.15</v>
      </c>
    </row>
    <row r="525" spans="1:5">
      <c r="A525" s="578" t="s">
        <v>2062</v>
      </c>
      <c r="B525" s="578" t="s">
        <v>2063</v>
      </c>
      <c r="C525">
        <v>0</v>
      </c>
      <c r="D525" s="513">
        <v>211578.73</v>
      </c>
      <c r="E525">
        <f>VLOOKUP(A525,Ucto_HK_summ!$A$2:$G$963,7,FALSE)</f>
        <v>211578.73</v>
      </c>
    </row>
    <row r="526" spans="1:5">
      <c r="A526" s="578" t="s">
        <v>2064</v>
      </c>
      <c r="B526" s="578" t="s">
        <v>2065</v>
      </c>
      <c r="C526">
        <v>0</v>
      </c>
      <c r="D526" s="513">
        <v>547104.94999999995</v>
      </c>
      <c r="E526">
        <f>VLOOKUP(A526,Ucto_HK_summ!$A$2:$G$963,7,FALSE)</f>
        <v>547104.94999999995</v>
      </c>
    </row>
    <row r="527" spans="1:5">
      <c r="A527" s="578" t="s">
        <v>2066</v>
      </c>
      <c r="B527" s="578" t="s">
        <v>2067</v>
      </c>
      <c r="C527">
        <v>0</v>
      </c>
      <c r="D527" s="513">
        <v>87760.68</v>
      </c>
      <c r="E527">
        <f>VLOOKUP(A527,Ucto_HK_summ!$A$2:$G$963,7,FALSE)</f>
        <v>87760.68</v>
      </c>
    </row>
    <row r="528" spans="1:5">
      <c r="A528" s="578" t="s">
        <v>2068</v>
      </c>
      <c r="B528" s="578" t="s">
        <v>2069</v>
      </c>
      <c r="C528">
        <v>0</v>
      </c>
      <c r="D528" s="513">
        <v>174224.1</v>
      </c>
      <c r="E528">
        <f>VLOOKUP(A528,Ucto_HK_summ!$A$2:$G$963,7,FALSE)</f>
        <v>174224.1</v>
      </c>
    </row>
    <row r="529" spans="1:5">
      <c r="A529" s="578" t="s">
        <v>2070</v>
      </c>
      <c r="B529" s="578" t="s">
        <v>2071</v>
      </c>
      <c r="C529">
        <v>0</v>
      </c>
      <c r="D529" s="513">
        <v>68946.13</v>
      </c>
      <c r="E529">
        <f>VLOOKUP(A529,Ucto_HK_summ!$A$2:$G$963,7,FALSE)</f>
        <v>68946.13</v>
      </c>
    </row>
    <row r="530" spans="1:5">
      <c r="A530" s="578" t="s">
        <v>2072</v>
      </c>
      <c r="B530" s="578" t="s">
        <v>2073</v>
      </c>
      <c r="C530">
        <v>0</v>
      </c>
      <c r="D530" s="513">
        <v>65918.83</v>
      </c>
      <c r="E530">
        <f>VLOOKUP(A530,Ucto_HK_summ!$A$2:$G$963,7,FALSE)</f>
        <v>65918.83</v>
      </c>
    </row>
    <row r="531" spans="1:5">
      <c r="A531" s="578" t="s">
        <v>2074</v>
      </c>
      <c r="B531" s="578" t="s">
        <v>2075</v>
      </c>
      <c r="C531">
        <v>0</v>
      </c>
      <c r="D531" s="513">
        <v>151135.87</v>
      </c>
      <c r="E531">
        <f>VLOOKUP(A531,Ucto_HK_summ!$A$2:$G$963,7,FALSE)</f>
        <v>151135.87</v>
      </c>
    </row>
    <row r="532" spans="1:5">
      <c r="A532" s="578" t="s">
        <v>2076</v>
      </c>
      <c r="B532" s="578" t="s">
        <v>2077</v>
      </c>
      <c r="C532">
        <v>0</v>
      </c>
      <c r="D532" s="513">
        <v>23724.47</v>
      </c>
      <c r="E532">
        <f>VLOOKUP(A532,Ucto_HK_summ!$A$2:$G$963,7,FALSE)</f>
        <v>23724.47</v>
      </c>
    </row>
    <row r="533" spans="1:5">
      <c r="A533" s="578" t="s">
        <v>2078</v>
      </c>
      <c r="B533" s="578" t="s">
        <v>2079</v>
      </c>
      <c r="C533">
        <v>0</v>
      </c>
      <c r="D533" s="513">
        <v>1032019.23</v>
      </c>
      <c r="E533">
        <f>VLOOKUP(A533,Ucto_HK_summ!$A$2:$G$963,7,FALSE)</f>
        <v>1032019.23</v>
      </c>
    </row>
    <row r="534" spans="1:5">
      <c r="A534" s="578" t="s">
        <v>2080</v>
      </c>
      <c r="B534" s="578" t="s">
        <v>2081</v>
      </c>
      <c r="C534">
        <v>0</v>
      </c>
      <c r="D534" s="513">
        <v>408513.09</v>
      </c>
      <c r="E534">
        <f>VLOOKUP(A534,Ucto_HK_summ!$A$2:$G$963,7,FALSE)</f>
        <v>408513.09</v>
      </c>
    </row>
    <row r="535" spans="1:5">
      <c r="A535" s="578" t="s">
        <v>2082</v>
      </c>
      <c r="B535" s="578" t="s">
        <v>2083</v>
      </c>
      <c r="C535">
        <v>0</v>
      </c>
      <c r="D535" s="513">
        <v>376803.63</v>
      </c>
      <c r="E535">
        <f>VLOOKUP(A535,Ucto_HK_summ!$A$2:$G$963,7,FALSE)</f>
        <v>376803.63</v>
      </c>
    </row>
    <row r="536" spans="1:5">
      <c r="A536" s="578" t="s">
        <v>2084</v>
      </c>
      <c r="B536" s="578" t="s">
        <v>2085</v>
      </c>
      <c r="C536">
        <v>0</v>
      </c>
      <c r="D536" s="513">
        <v>893995.74</v>
      </c>
      <c r="E536">
        <f>VLOOKUP(A536,Ucto_HK_summ!$A$2:$G$963,7,FALSE)</f>
        <v>893995.74</v>
      </c>
    </row>
    <row r="537" spans="1:5">
      <c r="A537" s="578" t="s">
        <v>2086</v>
      </c>
      <c r="B537" s="578" t="s">
        <v>2087</v>
      </c>
      <c r="C537">
        <v>0</v>
      </c>
      <c r="D537" s="513">
        <v>140761.39000000001</v>
      </c>
      <c r="E537">
        <f>VLOOKUP(A537,Ucto_HK_summ!$A$2:$G$963,7,FALSE)</f>
        <v>140761.39000000001</v>
      </c>
    </row>
    <row r="538" spans="1:5">
      <c r="A538" s="578" t="s">
        <v>2088</v>
      </c>
      <c r="B538" s="578" t="s">
        <v>2089</v>
      </c>
      <c r="C538">
        <v>0</v>
      </c>
      <c r="D538" s="513">
        <v>92652.24</v>
      </c>
      <c r="E538">
        <f>VLOOKUP(A538,Ucto_HK_summ!$A$2:$G$963,7,FALSE)</f>
        <v>92652.24</v>
      </c>
    </row>
    <row r="539" spans="1:5">
      <c r="A539" s="578" t="s">
        <v>2090</v>
      </c>
      <c r="B539" s="578" t="s">
        <v>2091</v>
      </c>
      <c r="C539">
        <v>0</v>
      </c>
      <c r="D539" s="513">
        <v>14135.31</v>
      </c>
      <c r="E539">
        <f>VLOOKUP(A539,Ucto_HK_summ!$A$2:$G$963,7,FALSE)</f>
        <v>14135.31</v>
      </c>
    </row>
    <row r="540" spans="1:5">
      <c r="A540" s="578" t="s">
        <v>2092</v>
      </c>
      <c r="B540" s="578" t="s">
        <v>2093</v>
      </c>
      <c r="C540">
        <v>0</v>
      </c>
      <c r="D540" s="513">
        <v>132572.01999999999</v>
      </c>
      <c r="E540">
        <f>VLOOKUP(A540,Ucto_HK_summ!$A$2:$G$963,7,FALSE)</f>
        <v>132572.01999999999</v>
      </c>
    </row>
    <row r="541" spans="1:5">
      <c r="A541" s="578" t="s">
        <v>2094</v>
      </c>
      <c r="B541" s="578" t="s">
        <v>2095</v>
      </c>
      <c r="C541">
        <v>0</v>
      </c>
      <c r="D541" s="513">
        <v>8288.81</v>
      </c>
      <c r="E541">
        <f>VLOOKUP(A541,Ucto_HK_summ!$A$2:$G$963,7,FALSE)</f>
        <v>8288.81</v>
      </c>
    </row>
    <row r="542" spans="1:5">
      <c r="A542" s="578" t="s">
        <v>2096</v>
      </c>
      <c r="B542" s="578" t="s">
        <v>2097</v>
      </c>
      <c r="C542">
        <v>0</v>
      </c>
      <c r="D542" s="513">
        <v>25252.639999999999</v>
      </c>
      <c r="E542">
        <f>VLOOKUP(A542,Ucto_HK_summ!$A$2:$G$963,7,FALSE)</f>
        <v>25252.639999999999</v>
      </c>
    </row>
    <row r="543" spans="1:5">
      <c r="A543" s="578" t="s">
        <v>2098</v>
      </c>
      <c r="B543" s="578" t="s">
        <v>2099</v>
      </c>
      <c r="C543">
        <v>0</v>
      </c>
      <c r="D543" s="513">
        <v>7512.39</v>
      </c>
      <c r="E543">
        <f>VLOOKUP(A543,Ucto_HK_summ!$A$2:$G$963,7,FALSE)</f>
        <v>7512.39</v>
      </c>
    </row>
    <row r="544" spans="1:5">
      <c r="A544" s="578" t="s">
        <v>2100</v>
      </c>
      <c r="B544" s="578" t="s">
        <v>2101</v>
      </c>
      <c r="C544">
        <v>0</v>
      </c>
      <c r="D544" s="513">
        <v>44227.21</v>
      </c>
      <c r="E544">
        <f>VLOOKUP(A544,Ucto_HK_summ!$A$2:$G$963,7,FALSE)</f>
        <v>44227.21</v>
      </c>
    </row>
    <row r="545" spans="1:5">
      <c r="A545" s="578" t="s">
        <v>818</v>
      </c>
      <c r="C545">
        <v>0</v>
      </c>
      <c r="D545" s="513">
        <v>21092796.57</v>
      </c>
      <c r="E545">
        <f>VLOOKUP(A545,Ucto_HK_summ!$A$2:$G$963,7,FALSE)</f>
        <v>21092796.57</v>
      </c>
    </row>
    <row r="546" spans="1:5">
      <c r="A546" s="578" t="s">
        <v>2102</v>
      </c>
      <c r="B546" s="578" t="s">
        <v>2103</v>
      </c>
      <c r="C546">
        <v>0</v>
      </c>
      <c r="D546" s="513">
        <v>117683.06</v>
      </c>
      <c r="E546">
        <f>VLOOKUP(A546,Ucto_HK_summ!$A$2:$G$963,7,FALSE)</f>
        <v>117683.06</v>
      </c>
    </row>
    <row r="547" spans="1:5">
      <c r="A547" s="578" t="s">
        <v>2104</v>
      </c>
      <c r="B547" s="578" t="s">
        <v>2105</v>
      </c>
      <c r="C547">
        <v>0</v>
      </c>
      <c r="D547" s="513">
        <v>99411.54</v>
      </c>
      <c r="E547">
        <f>VLOOKUP(A547,Ucto_HK_summ!$A$2:$G$963,7,FALSE)</f>
        <v>99411.54</v>
      </c>
    </row>
    <row r="548" spans="1:5">
      <c r="A548" s="578" t="s">
        <v>2106</v>
      </c>
      <c r="B548" s="578" t="s">
        <v>2107</v>
      </c>
      <c r="C548">
        <v>0</v>
      </c>
      <c r="D548" s="513">
        <v>74630.59</v>
      </c>
      <c r="E548">
        <f>VLOOKUP(A548,Ucto_HK_summ!$A$2:$G$963,7,FALSE)</f>
        <v>74630.59</v>
      </c>
    </row>
    <row r="549" spans="1:5">
      <c r="A549" s="578" t="s">
        <v>2108</v>
      </c>
      <c r="B549" s="578" t="s">
        <v>2109</v>
      </c>
      <c r="C549">
        <v>0</v>
      </c>
      <c r="D549" s="513">
        <v>186398.09</v>
      </c>
      <c r="E549">
        <f>VLOOKUP(A549,Ucto_HK_summ!$A$2:$G$963,7,FALSE)</f>
        <v>186398.09</v>
      </c>
    </row>
    <row r="550" spans="1:5">
      <c r="A550" s="578" t="s">
        <v>2110</v>
      </c>
      <c r="B550" s="578" t="s">
        <v>2111</v>
      </c>
      <c r="C550">
        <v>0</v>
      </c>
      <c r="D550" s="513">
        <v>14409.47</v>
      </c>
      <c r="E550">
        <f>VLOOKUP(A550,Ucto_HK_summ!$A$2:$G$963,7,FALSE)</f>
        <v>14409.47</v>
      </c>
    </row>
    <row r="551" spans="1:5">
      <c r="A551" s="578" t="s">
        <v>2112</v>
      </c>
      <c r="B551" s="578" t="s">
        <v>2113</v>
      </c>
      <c r="C551">
        <v>0</v>
      </c>
      <c r="D551" s="513">
        <v>5702.29</v>
      </c>
      <c r="E551">
        <f>VLOOKUP(A551,Ucto_HK_summ!$A$2:$G$963,7,FALSE)</f>
        <v>5702.29</v>
      </c>
    </row>
    <row r="552" spans="1:5">
      <c r="A552" s="578" t="s">
        <v>820</v>
      </c>
      <c r="C552">
        <v>0</v>
      </c>
      <c r="D552" s="513">
        <v>498235.04</v>
      </c>
      <c r="E552">
        <f>VLOOKUP(A552,Ucto_HK_summ!$A$2:$G$963,7,FALSE)</f>
        <v>498235.04</v>
      </c>
    </row>
    <row r="553" spans="1:5">
      <c r="A553" s="578" t="s">
        <v>2114</v>
      </c>
      <c r="B553" s="578" t="s">
        <v>2115</v>
      </c>
      <c r="C553">
        <v>0</v>
      </c>
      <c r="D553" s="513">
        <v>260692.28</v>
      </c>
      <c r="E553">
        <f>VLOOKUP(A553,Ucto_HK_summ!$A$2:$G$963,7,FALSE)</f>
        <v>260692.28</v>
      </c>
    </row>
    <row r="554" spans="1:5">
      <c r="A554" s="578" t="s">
        <v>2116</v>
      </c>
      <c r="B554" s="578" t="s">
        <v>2117</v>
      </c>
      <c r="C554">
        <v>0</v>
      </c>
      <c r="D554" s="513">
        <v>108074.5</v>
      </c>
      <c r="E554">
        <f>VLOOKUP(A554,Ucto_HK_summ!$A$2:$G$963,7,FALSE)</f>
        <v>108074.5</v>
      </c>
    </row>
    <row r="555" spans="1:5">
      <c r="A555" s="578" t="s">
        <v>2118</v>
      </c>
      <c r="B555" s="578" t="s">
        <v>2119</v>
      </c>
      <c r="C555">
        <v>0</v>
      </c>
      <c r="D555" s="513">
        <v>110265.67</v>
      </c>
      <c r="E555">
        <f>VLOOKUP(A555,Ucto_HK_summ!$A$2:$G$963,7,FALSE)</f>
        <v>110265.67</v>
      </c>
    </row>
    <row r="556" spans="1:5">
      <c r="A556" s="578" t="s">
        <v>2120</v>
      </c>
      <c r="B556" s="578" t="s">
        <v>2121</v>
      </c>
      <c r="C556">
        <v>0</v>
      </c>
      <c r="D556" s="513">
        <v>244990.62</v>
      </c>
      <c r="E556">
        <f>VLOOKUP(A556,Ucto_HK_summ!$A$2:$G$963,7,FALSE)</f>
        <v>244990.62</v>
      </c>
    </row>
    <row r="557" spans="1:5">
      <c r="A557" s="578" t="s">
        <v>2122</v>
      </c>
      <c r="B557" s="578" t="s">
        <v>2123</v>
      </c>
      <c r="C557">
        <v>0</v>
      </c>
      <c r="D557" s="513">
        <v>38373.67</v>
      </c>
      <c r="E557">
        <f>VLOOKUP(A557,Ucto_HK_summ!$A$2:$G$963,7,FALSE)</f>
        <v>38373.67</v>
      </c>
    </row>
    <row r="558" spans="1:5">
      <c r="A558" s="578" t="s">
        <v>2124</v>
      </c>
      <c r="B558" s="578" t="s">
        <v>2125</v>
      </c>
      <c r="C558">
        <v>0</v>
      </c>
      <c r="D558" s="513">
        <v>107497.85</v>
      </c>
      <c r="E558">
        <f>VLOOKUP(A558,Ucto_HK_summ!$A$2:$G$963,7,FALSE)</f>
        <v>107497.85</v>
      </c>
    </row>
    <row r="559" spans="1:5">
      <c r="A559" s="578" t="s">
        <v>2126</v>
      </c>
      <c r="B559" s="578" t="s">
        <v>2127</v>
      </c>
      <c r="C559">
        <v>0</v>
      </c>
      <c r="D559" s="513">
        <v>142596.47</v>
      </c>
      <c r="E559">
        <f>VLOOKUP(A559,Ucto_HK_summ!$A$2:$G$963,7,FALSE)</f>
        <v>142596.47</v>
      </c>
    </row>
    <row r="560" spans="1:5">
      <c r="A560" s="578" t="s">
        <v>2128</v>
      </c>
      <c r="B560" s="578" t="s">
        <v>2129</v>
      </c>
      <c r="C560">
        <v>0</v>
      </c>
      <c r="D560" s="513">
        <v>91113.81</v>
      </c>
      <c r="E560">
        <f>VLOOKUP(A560,Ucto_HK_summ!$A$2:$G$963,7,FALSE)</f>
        <v>91113.81</v>
      </c>
    </row>
    <row r="561" spans="1:5">
      <c r="A561" s="578" t="s">
        <v>2130</v>
      </c>
      <c r="B561" s="578" t="s">
        <v>2131</v>
      </c>
      <c r="C561">
        <v>0</v>
      </c>
      <c r="D561" s="550">
        <v>122872</v>
      </c>
      <c r="E561">
        <f>VLOOKUP(A561,Ucto_HK_summ!$A$2:$G$963,7,FALSE)</f>
        <v>122872</v>
      </c>
    </row>
    <row r="562" spans="1:5">
      <c r="A562" s="578" t="s">
        <v>2132</v>
      </c>
      <c r="B562" s="578" t="s">
        <v>2133</v>
      </c>
      <c r="C562">
        <v>0</v>
      </c>
      <c r="D562" s="513">
        <v>23328.54</v>
      </c>
      <c r="E562">
        <f>VLOOKUP(A562,Ucto_HK_summ!$A$2:$G$963,7,FALSE)</f>
        <v>23328.54</v>
      </c>
    </row>
    <row r="563" spans="1:5">
      <c r="A563" s="578" t="s">
        <v>2134</v>
      </c>
      <c r="B563" s="578" t="s">
        <v>2135</v>
      </c>
      <c r="C563">
        <v>0</v>
      </c>
      <c r="D563" s="513">
        <v>6817.59</v>
      </c>
      <c r="E563">
        <f>VLOOKUP(A563,Ucto_HK_summ!$A$2:$G$963,7,FALSE)</f>
        <v>6817.59</v>
      </c>
    </row>
    <row r="564" spans="1:5">
      <c r="A564" s="578" t="s">
        <v>2136</v>
      </c>
      <c r="B564" s="578" t="s">
        <v>2137</v>
      </c>
      <c r="C564">
        <v>0</v>
      </c>
      <c r="D564" s="513">
        <v>48500.08</v>
      </c>
      <c r="E564">
        <f>VLOOKUP(A564,Ucto_HK_summ!$A$2:$G$963,7,FALSE)</f>
        <v>48500.08</v>
      </c>
    </row>
    <row r="565" spans="1:5">
      <c r="A565" s="578" t="s">
        <v>2138</v>
      </c>
      <c r="B565" s="578" t="s">
        <v>2139</v>
      </c>
      <c r="C565">
        <v>0</v>
      </c>
      <c r="D565" s="513">
        <v>23553.119999999999</v>
      </c>
      <c r="E565">
        <f>VLOOKUP(A565,Ucto_HK_summ!$A$2:$G$963,7,FALSE)</f>
        <v>23553.119999999999</v>
      </c>
    </row>
    <row r="566" spans="1:5">
      <c r="A566" s="578" t="s">
        <v>2140</v>
      </c>
      <c r="B566" s="578" t="s">
        <v>2141</v>
      </c>
      <c r="C566">
        <v>0</v>
      </c>
      <c r="D566" s="513">
        <v>24134.66</v>
      </c>
      <c r="E566">
        <f>VLOOKUP(A566,Ucto_HK_summ!$A$2:$G$963,7,FALSE)</f>
        <v>24134.66</v>
      </c>
    </row>
    <row r="567" spans="1:5">
      <c r="A567" s="578" t="s">
        <v>2142</v>
      </c>
      <c r="B567" s="578" t="s">
        <v>2143</v>
      </c>
      <c r="C567">
        <v>0</v>
      </c>
      <c r="D567" s="513">
        <v>40701.730000000003</v>
      </c>
      <c r="E567">
        <f>VLOOKUP(A567,Ucto_HK_summ!$A$2:$G$963,7,FALSE)</f>
        <v>40701.730000000003</v>
      </c>
    </row>
    <row r="568" spans="1:5">
      <c r="A568" s="578" t="s">
        <v>2144</v>
      </c>
      <c r="B568" s="578" t="s">
        <v>2145</v>
      </c>
      <c r="C568">
        <v>0</v>
      </c>
      <c r="D568" s="513">
        <v>37489.14</v>
      </c>
      <c r="E568">
        <f>VLOOKUP(A568,Ucto_HK_summ!$A$2:$G$963,7,FALSE)</f>
        <v>37489.14</v>
      </c>
    </row>
    <row r="569" spans="1:5">
      <c r="A569" s="578" t="s">
        <v>2146</v>
      </c>
      <c r="B569" s="578" t="s">
        <v>2147</v>
      </c>
      <c r="C569">
        <v>0</v>
      </c>
      <c r="D569" s="513">
        <v>42911.19</v>
      </c>
      <c r="E569">
        <f>VLOOKUP(A569,Ucto_HK_summ!$A$2:$G$963,7,FALSE)</f>
        <v>42911.19</v>
      </c>
    </row>
    <row r="570" spans="1:5">
      <c r="A570" s="578" t="s">
        <v>2148</v>
      </c>
      <c r="B570" s="578" t="s">
        <v>2149</v>
      </c>
      <c r="C570">
        <v>0</v>
      </c>
      <c r="D570" s="513">
        <v>59878.27</v>
      </c>
      <c r="E570">
        <f>VLOOKUP(A570,Ucto_HK_summ!$A$2:$G$963,7,FALSE)</f>
        <v>59878.27</v>
      </c>
    </row>
    <row r="571" spans="1:5">
      <c r="A571" s="578" t="s">
        <v>2150</v>
      </c>
      <c r="B571" s="578" t="s">
        <v>2151</v>
      </c>
      <c r="C571">
        <v>0</v>
      </c>
      <c r="D571" s="513">
        <v>51245.82</v>
      </c>
      <c r="E571">
        <f>VLOOKUP(A571,Ucto_HK_summ!$A$2:$G$963,7,FALSE)</f>
        <v>51245.82</v>
      </c>
    </row>
    <row r="572" spans="1:5">
      <c r="A572" s="578" t="s">
        <v>2152</v>
      </c>
      <c r="B572" s="578" t="s">
        <v>2153</v>
      </c>
      <c r="C572">
        <v>0</v>
      </c>
      <c r="D572" s="513">
        <v>28423.61</v>
      </c>
      <c r="E572">
        <f>VLOOKUP(A572,Ucto_HK_summ!$A$2:$G$963,7,FALSE)</f>
        <v>28423.61</v>
      </c>
    </row>
    <row r="573" spans="1:5">
      <c r="A573" s="578" t="s">
        <v>2154</v>
      </c>
      <c r="B573" s="578" t="s">
        <v>2155</v>
      </c>
      <c r="C573">
        <v>0</v>
      </c>
      <c r="D573" s="513">
        <v>89349.1</v>
      </c>
      <c r="E573">
        <f>VLOOKUP(A573,Ucto_HK_summ!$A$2:$G$963,7,FALSE)</f>
        <v>89349.1</v>
      </c>
    </row>
    <row r="574" spans="1:5">
      <c r="A574" s="578" t="s">
        <v>2156</v>
      </c>
      <c r="B574" s="578" t="s">
        <v>2157</v>
      </c>
      <c r="C574">
        <v>0</v>
      </c>
      <c r="D574" s="513">
        <v>16403.189999999999</v>
      </c>
      <c r="E574">
        <f>VLOOKUP(A574,Ucto_HK_summ!$A$2:$G$963,7,FALSE)</f>
        <v>16403.189999999999</v>
      </c>
    </row>
    <row r="575" spans="1:5">
      <c r="A575" s="578" t="s">
        <v>2158</v>
      </c>
      <c r="B575" s="578" t="s">
        <v>2159</v>
      </c>
      <c r="C575">
        <v>0</v>
      </c>
      <c r="D575" s="513">
        <v>1373722.53</v>
      </c>
      <c r="E575">
        <f>VLOOKUP(A575,Ucto_HK_summ!$A$2:$G$963,7,FALSE)</f>
        <v>1373722.53</v>
      </c>
    </row>
    <row r="576" spans="1:5">
      <c r="A576" s="578" t="s">
        <v>2160</v>
      </c>
      <c r="B576" s="578" t="s">
        <v>2161</v>
      </c>
      <c r="C576">
        <v>0</v>
      </c>
      <c r="D576" s="513">
        <v>11541.43</v>
      </c>
      <c r="E576">
        <f>VLOOKUP(A576,Ucto_HK_summ!$A$2:$G$963,7,FALSE)</f>
        <v>11541.43</v>
      </c>
    </row>
    <row r="577" spans="1:5">
      <c r="A577" s="578" t="s">
        <v>2162</v>
      </c>
      <c r="B577" s="578" t="s">
        <v>2163</v>
      </c>
      <c r="C577">
        <v>0</v>
      </c>
      <c r="D577" s="513">
        <v>236971.01</v>
      </c>
      <c r="E577">
        <f>VLOOKUP(A577,Ucto_HK_summ!$A$2:$G$963,7,FALSE)</f>
        <v>236971.01</v>
      </c>
    </row>
    <row r="578" spans="1:5">
      <c r="A578" s="578" t="s">
        <v>2164</v>
      </c>
      <c r="B578" s="578" t="s">
        <v>2165</v>
      </c>
      <c r="C578">
        <v>0</v>
      </c>
      <c r="D578" s="513">
        <v>1389165.03</v>
      </c>
      <c r="E578">
        <f>VLOOKUP(A578,Ucto_HK_summ!$A$2:$G$963,7,FALSE)</f>
        <v>1389165.03</v>
      </c>
    </row>
    <row r="579" spans="1:5">
      <c r="A579" s="578" t="s">
        <v>2166</v>
      </c>
      <c r="B579" s="578" t="s">
        <v>2167</v>
      </c>
      <c r="C579">
        <v>0</v>
      </c>
      <c r="D579" s="513">
        <v>44515.9</v>
      </c>
      <c r="E579">
        <f>VLOOKUP(A579,Ucto_HK_summ!$A$2:$G$963,7,FALSE)</f>
        <v>44515.9</v>
      </c>
    </row>
    <row r="580" spans="1:5">
      <c r="A580" s="578" t="s">
        <v>2168</v>
      </c>
      <c r="B580" s="578" t="s">
        <v>2169</v>
      </c>
      <c r="C580">
        <v>0</v>
      </c>
      <c r="D580" s="513">
        <v>30925.61</v>
      </c>
      <c r="E580">
        <f>VLOOKUP(A580,Ucto_HK_summ!$A$2:$G$963,7,FALSE)</f>
        <v>30925.61</v>
      </c>
    </row>
    <row r="581" spans="1:5">
      <c r="A581" s="578" t="s">
        <v>2170</v>
      </c>
      <c r="B581" s="578" t="s">
        <v>2171</v>
      </c>
      <c r="C581">
        <v>0</v>
      </c>
      <c r="D581" s="513">
        <v>22765.56</v>
      </c>
      <c r="E581">
        <f>VLOOKUP(A581,Ucto_HK_summ!$A$2:$G$963,7,FALSE)</f>
        <v>22765.56</v>
      </c>
    </row>
    <row r="582" spans="1:5">
      <c r="A582" s="578" t="s">
        <v>2172</v>
      </c>
      <c r="B582" s="578" t="s">
        <v>2173</v>
      </c>
      <c r="C582">
        <v>0</v>
      </c>
      <c r="D582" s="513">
        <v>69925.789999999994</v>
      </c>
      <c r="E582">
        <f>VLOOKUP(A582,Ucto_HK_summ!$A$2:$G$963,7,FALSE)</f>
        <v>69925.789999999994</v>
      </c>
    </row>
    <row r="583" spans="1:5">
      <c r="A583" s="578" t="s">
        <v>2174</v>
      </c>
      <c r="B583" s="578" t="s">
        <v>2175</v>
      </c>
      <c r="C583">
        <v>0</v>
      </c>
      <c r="D583" s="513">
        <v>8406.8799999999992</v>
      </c>
      <c r="E583">
        <f>VLOOKUP(A583,Ucto_HK_summ!$A$2:$G$963,7,FALSE)</f>
        <v>8406.8799999999992</v>
      </c>
    </row>
    <row r="584" spans="1:5">
      <c r="A584" s="578" t="s">
        <v>2176</v>
      </c>
      <c r="B584" s="578" t="s">
        <v>2177</v>
      </c>
      <c r="C584">
        <v>0</v>
      </c>
      <c r="D584" s="513">
        <v>21185.77</v>
      </c>
      <c r="E584">
        <f>VLOOKUP(A584,Ucto_HK_summ!$A$2:$G$963,7,FALSE)</f>
        <v>21185.77</v>
      </c>
    </row>
    <row r="585" spans="1:5">
      <c r="A585" s="578" t="s">
        <v>2178</v>
      </c>
      <c r="B585" s="578" t="s">
        <v>2179</v>
      </c>
      <c r="C585">
        <v>0</v>
      </c>
      <c r="D585" s="513">
        <v>1204.23</v>
      </c>
      <c r="E585">
        <f>VLOOKUP(A585,Ucto_HK_summ!$A$2:$G$963,7,FALSE)</f>
        <v>1204.23</v>
      </c>
    </row>
    <row r="586" spans="1:5">
      <c r="A586" s="578" t="s">
        <v>2180</v>
      </c>
      <c r="B586" s="578" t="s">
        <v>2181</v>
      </c>
      <c r="C586">
        <v>0</v>
      </c>
      <c r="D586" s="550">
        <v>2912</v>
      </c>
      <c r="E586">
        <f>VLOOKUP(A586,Ucto_HK_summ!$A$2:$G$963,7,FALSE)</f>
        <v>2912</v>
      </c>
    </row>
    <row r="587" spans="1:5">
      <c r="A587" s="578" t="s">
        <v>2182</v>
      </c>
      <c r="B587" s="578" t="s">
        <v>2183</v>
      </c>
      <c r="C587">
        <v>0</v>
      </c>
      <c r="D587" s="550">
        <v>4913</v>
      </c>
      <c r="E587">
        <f>VLOOKUP(A587,Ucto_HK_summ!$A$2:$G$963,7,FALSE)</f>
        <v>4913</v>
      </c>
    </row>
    <row r="588" spans="1:5">
      <c r="A588" s="578" t="s">
        <v>2184</v>
      </c>
      <c r="B588" s="578" t="s">
        <v>2185</v>
      </c>
      <c r="C588">
        <v>0</v>
      </c>
      <c r="D588" s="513">
        <v>1321.54</v>
      </c>
      <c r="E588">
        <f>VLOOKUP(A588,Ucto_HK_summ!$A$2:$G$963,7,FALSE)</f>
        <v>1321.54</v>
      </c>
    </row>
    <row r="589" spans="1:5">
      <c r="A589" s="578" t="s">
        <v>2186</v>
      </c>
      <c r="B589" s="578" t="s">
        <v>2187</v>
      </c>
      <c r="C589">
        <v>0</v>
      </c>
      <c r="D589">
        <v>331.92</v>
      </c>
      <c r="E589">
        <f>VLOOKUP(A589,Ucto_HK_summ!$A$2:$G$963,7,FALSE)</f>
        <v>331.92</v>
      </c>
    </row>
    <row r="590" spans="1:5">
      <c r="A590" s="578" t="s">
        <v>822</v>
      </c>
      <c r="C590">
        <v>0</v>
      </c>
      <c r="D590" s="513">
        <v>4939021.1100000003</v>
      </c>
      <c r="E590">
        <f>VLOOKUP(A590,Ucto_HK_summ!$A$2:$G$963,7,FALSE)</f>
        <v>4939021.1100000003</v>
      </c>
    </row>
    <row r="591" spans="1:5">
      <c r="A591" s="577" t="s">
        <v>2188</v>
      </c>
      <c r="C591" s="369">
        <v>0</v>
      </c>
      <c r="D591" s="579">
        <v>87082760.310000002</v>
      </c>
      <c r="E591">
        <f>VLOOKUP(A591,Ucto_HK_summ!$A$2:$G$963,7,FALSE)</f>
        <v>87082760.310000002</v>
      </c>
    </row>
    <row r="593" spans="1:5">
      <c r="A593" s="578" t="s">
        <v>2189</v>
      </c>
      <c r="B593" s="578" t="s">
        <v>235</v>
      </c>
      <c r="C593">
        <v>0</v>
      </c>
      <c r="D593" s="513">
        <v>3772.64</v>
      </c>
      <c r="E593">
        <f>VLOOKUP(A593,Ucto_HK_summ!$A$2:$G$963,7,FALSE)</f>
        <v>3772.64</v>
      </c>
    </row>
    <row r="594" spans="1:5">
      <c r="A594" s="578" t="s">
        <v>825</v>
      </c>
      <c r="C594">
        <v>0</v>
      </c>
      <c r="D594" s="513">
        <v>3772.64</v>
      </c>
      <c r="E594">
        <f>VLOOKUP(A594,Ucto_HK_summ!$A$2:$G$963,7,FALSE)</f>
        <v>3772.64</v>
      </c>
    </row>
    <row r="595" spans="1:5">
      <c r="A595" s="578" t="s">
        <v>2190</v>
      </c>
      <c r="B595" s="578" t="s">
        <v>827</v>
      </c>
      <c r="C595">
        <v>0</v>
      </c>
      <c r="D595" s="513">
        <v>181301.36</v>
      </c>
      <c r="E595">
        <f>VLOOKUP(A595,Ucto_HK_summ!$A$2:$G$963,7,FALSE)</f>
        <v>181301.36</v>
      </c>
    </row>
    <row r="596" spans="1:5">
      <c r="A596" s="578" t="s">
        <v>2191</v>
      </c>
      <c r="B596" s="578" t="s">
        <v>2192</v>
      </c>
      <c r="C596">
        <v>0</v>
      </c>
      <c r="D596" s="513">
        <v>87845.86</v>
      </c>
      <c r="E596">
        <f>VLOOKUP(A596,Ucto_HK_summ!$A$2:$G$963,7,FALSE)</f>
        <v>87845.86</v>
      </c>
    </row>
    <row r="597" spans="1:5">
      <c r="A597" s="578" t="s">
        <v>826</v>
      </c>
      <c r="C597">
        <v>0</v>
      </c>
      <c r="D597" s="513">
        <v>269147.21999999997</v>
      </c>
      <c r="E597">
        <f>VLOOKUP(A597,Ucto_HK_summ!$A$2:$G$963,7,FALSE)</f>
        <v>269147.21999999997</v>
      </c>
    </row>
    <row r="598" spans="1:5">
      <c r="A598" s="578" t="s">
        <v>2193</v>
      </c>
      <c r="B598" s="578" t="s">
        <v>2194</v>
      </c>
      <c r="C598">
        <v>0</v>
      </c>
      <c r="D598" s="513">
        <v>77765.64</v>
      </c>
      <c r="E598">
        <f>VLOOKUP(A598,Ucto_HK_summ!$A$2:$G$963,7,FALSE)</f>
        <v>77765.64</v>
      </c>
    </row>
    <row r="599" spans="1:5">
      <c r="A599" s="578" t="s">
        <v>828</v>
      </c>
      <c r="C599">
        <v>0</v>
      </c>
      <c r="D599" s="513">
        <v>77765.64</v>
      </c>
      <c r="E599">
        <f>VLOOKUP(A599,Ucto_HK_summ!$A$2:$G$963,7,FALSE)</f>
        <v>77765.64</v>
      </c>
    </row>
    <row r="600" spans="1:5">
      <c r="A600" s="577" t="s">
        <v>2195</v>
      </c>
      <c r="C600" s="369">
        <v>0</v>
      </c>
      <c r="D600" s="579">
        <v>350685.5</v>
      </c>
      <c r="E600">
        <f>VLOOKUP(A600,Ucto_HK_summ!$A$2:$G$963,7,FALSE)</f>
        <v>350685.5</v>
      </c>
    </row>
    <row r="602" spans="1:5">
      <c r="A602" s="578" t="s">
        <v>2196</v>
      </c>
      <c r="B602" s="578" t="s">
        <v>2197</v>
      </c>
      <c r="C602">
        <v>0</v>
      </c>
      <c r="D602" s="513">
        <v>4625.8999999999996</v>
      </c>
      <c r="E602">
        <f>VLOOKUP(A602,Ucto_HK_summ!$A$2:$G$963,7,FALSE)</f>
        <v>4625.8999999999996</v>
      </c>
    </row>
    <row r="603" spans="1:5">
      <c r="A603" s="578" t="s">
        <v>830</v>
      </c>
      <c r="C603">
        <v>0</v>
      </c>
      <c r="D603" s="513">
        <v>4625.8999999999996</v>
      </c>
      <c r="E603">
        <f>VLOOKUP(A603,Ucto_HK_summ!$A$2:$G$963,7,FALSE)</f>
        <v>4625.8999999999996</v>
      </c>
    </row>
    <row r="604" spans="1:5">
      <c r="A604" s="578" t="s">
        <v>2198</v>
      </c>
      <c r="B604" s="578" t="s">
        <v>833</v>
      </c>
      <c r="C604">
        <v>0</v>
      </c>
      <c r="D604" s="513">
        <v>1599.7</v>
      </c>
      <c r="E604">
        <f>VLOOKUP(A604,Ucto_HK_summ!$A$2:$G$963,7,FALSE)</f>
        <v>1599.7</v>
      </c>
    </row>
    <row r="605" spans="1:5">
      <c r="A605" s="578" t="s">
        <v>832</v>
      </c>
      <c r="C605">
        <v>0</v>
      </c>
      <c r="D605" s="513">
        <v>1599.7</v>
      </c>
      <c r="E605">
        <f>VLOOKUP(A605,Ucto_HK_summ!$A$2:$G$963,7,FALSE)</f>
        <v>1599.7</v>
      </c>
    </row>
    <row r="606" spans="1:5">
      <c r="A606" s="578" t="s">
        <v>2199</v>
      </c>
      <c r="B606" s="578" t="s">
        <v>2200</v>
      </c>
      <c r="C606">
        <v>0</v>
      </c>
      <c r="D606" s="513">
        <v>16231.46</v>
      </c>
      <c r="E606">
        <f>VLOOKUP(A606,Ucto_HK_summ!$A$2:$G$963,7,FALSE)</f>
        <v>16231.46</v>
      </c>
    </row>
    <row r="607" spans="1:5">
      <c r="A607" s="578" t="s">
        <v>2201</v>
      </c>
      <c r="B607" s="578" t="s">
        <v>2202</v>
      </c>
      <c r="C607">
        <v>0</v>
      </c>
      <c r="D607" s="513">
        <v>8581800.4299999997</v>
      </c>
      <c r="E607">
        <f>VLOOKUP(A607,Ucto_HK_summ!$A$2:$G$963,7,FALSE)</f>
        <v>8581800.4299999997</v>
      </c>
    </row>
    <row r="608" spans="1:5">
      <c r="A608" s="578" t="s">
        <v>834</v>
      </c>
      <c r="C608">
        <v>0</v>
      </c>
      <c r="D608" s="513">
        <v>8598031.8900000006</v>
      </c>
      <c r="E608">
        <f>VLOOKUP(A608,Ucto_HK_summ!$A$2:$G$963,7,FALSE)</f>
        <v>8598031.8900000006</v>
      </c>
    </row>
    <row r="609" spans="1:5">
      <c r="A609" s="578" t="s">
        <v>2203</v>
      </c>
      <c r="B609" s="578" t="s">
        <v>2204</v>
      </c>
      <c r="C609">
        <v>0</v>
      </c>
      <c r="D609" s="513">
        <v>258755.1</v>
      </c>
      <c r="E609">
        <f>VLOOKUP(A609,Ucto_HK_summ!$A$2:$G$963,7,FALSE)</f>
        <v>258755.1</v>
      </c>
    </row>
    <row r="610" spans="1:5">
      <c r="A610" s="578" t="s">
        <v>2205</v>
      </c>
      <c r="B610" s="578" t="s">
        <v>2206</v>
      </c>
      <c r="C610">
        <v>0</v>
      </c>
      <c r="D610" s="513">
        <v>321129.46000000002</v>
      </c>
      <c r="E610">
        <f>VLOOKUP(A610,Ucto_HK_summ!$A$2:$G$963,7,FALSE)</f>
        <v>321129.46000000002</v>
      </c>
    </row>
    <row r="611" spans="1:5">
      <c r="A611" s="578" t="s">
        <v>2207</v>
      </c>
      <c r="B611" s="578" t="s">
        <v>2208</v>
      </c>
      <c r="C611">
        <v>0</v>
      </c>
      <c r="D611" s="513">
        <v>21239.45</v>
      </c>
      <c r="E611">
        <f>VLOOKUP(A611,Ucto_HK_summ!$A$2:$G$963,7,FALSE)</f>
        <v>21239.45</v>
      </c>
    </row>
    <row r="612" spans="1:5">
      <c r="A612" s="578" t="s">
        <v>836</v>
      </c>
      <c r="C612">
        <v>0</v>
      </c>
      <c r="D612" s="513">
        <v>601124.01</v>
      </c>
      <c r="E612">
        <f>VLOOKUP(A612,Ucto_HK_summ!$A$2:$G$963,7,FALSE)</f>
        <v>601124.01</v>
      </c>
    </row>
    <row r="613" spans="1:5">
      <c r="A613" s="578" t="s">
        <v>2209</v>
      </c>
      <c r="B613" s="578" t="s">
        <v>243</v>
      </c>
      <c r="C613">
        <v>0</v>
      </c>
      <c r="D613" s="513">
        <v>31421.119999999999</v>
      </c>
      <c r="E613">
        <f>VLOOKUP(A613,Ucto_HK_summ!$A$2:$G$963,7,FALSE)</f>
        <v>31421.119999999999</v>
      </c>
    </row>
    <row r="614" spans="1:5">
      <c r="A614" s="578" t="s">
        <v>838</v>
      </c>
      <c r="C614">
        <v>0</v>
      </c>
      <c r="D614" s="513">
        <v>31421.119999999999</v>
      </c>
      <c r="E614">
        <f>VLOOKUP(A614,Ucto_HK_summ!$A$2:$G$963,7,FALSE)</f>
        <v>31421.119999999999</v>
      </c>
    </row>
    <row r="615" spans="1:5">
      <c r="A615" s="578" t="s">
        <v>2210</v>
      </c>
      <c r="B615" s="578" t="s">
        <v>2211</v>
      </c>
      <c r="C615">
        <v>0</v>
      </c>
      <c r="D615" s="513">
        <v>1785685.05</v>
      </c>
      <c r="E615">
        <f>VLOOKUP(A615,Ucto_HK_summ!$A$2:$G$963,7,FALSE)</f>
        <v>1785685.05</v>
      </c>
    </row>
    <row r="616" spans="1:5">
      <c r="A616" s="578" t="s">
        <v>2212</v>
      </c>
      <c r="B616" s="578" t="s">
        <v>2213</v>
      </c>
      <c r="C616">
        <v>0</v>
      </c>
      <c r="D616" s="550">
        <v>1000</v>
      </c>
      <c r="E616">
        <f>VLOOKUP(A616,Ucto_HK_summ!$A$2:$G$963,7,FALSE)</f>
        <v>1000</v>
      </c>
    </row>
    <row r="617" spans="1:5">
      <c r="A617" s="578" t="s">
        <v>2214</v>
      </c>
      <c r="B617" s="578" t="s">
        <v>2215</v>
      </c>
      <c r="C617">
        <v>0</v>
      </c>
      <c r="D617">
        <v>167.78</v>
      </c>
      <c r="E617">
        <f>VLOOKUP(A617,Ucto_HK_summ!$A$2:$G$963,7,FALSE)</f>
        <v>167.78</v>
      </c>
    </row>
    <row r="618" spans="1:5">
      <c r="A618" s="578" t="s">
        <v>2216</v>
      </c>
      <c r="B618" s="578" t="s">
        <v>2217</v>
      </c>
      <c r="C618">
        <v>0</v>
      </c>
      <c r="D618" s="550">
        <v>2720</v>
      </c>
      <c r="E618">
        <f>VLOOKUP(A618,Ucto_HK_summ!$A$2:$G$963,7,FALSE)</f>
        <v>2720</v>
      </c>
    </row>
    <row r="619" spans="1:5">
      <c r="A619" s="578" t="s">
        <v>2218</v>
      </c>
      <c r="B619" s="578" t="s">
        <v>244</v>
      </c>
      <c r="C619">
        <v>0</v>
      </c>
      <c r="D619" s="513">
        <v>35117.800000000003</v>
      </c>
      <c r="E619">
        <f>VLOOKUP(A619,Ucto_HK_summ!$A$2:$G$963,7,FALSE)</f>
        <v>35117.800000000003</v>
      </c>
    </row>
    <row r="620" spans="1:5">
      <c r="A620" s="578" t="s">
        <v>2219</v>
      </c>
      <c r="B620" s="578" t="s">
        <v>2220</v>
      </c>
      <c r="C620">
        <v>0</v>
      </c>
      <c r="D620" s="513">
        <v>9944.57</v>
      </c>
      <c r="E620">
        <f>VLOOKUP(A620,Ucto_HK_summ!$A$2:$G$963,7,FALSE)</f>
        <v>9944.57</v>
      </c>
    </row>
    <row r="621" spans="1:5">
      <c r="A621" s="578" t="s">
        <v>2221</v>
      </c>
      <c r="B621" s="578" t="s">
        <v>2222</v>
      </c>
      <c r="C621">
        <v>0</v>
      </c>
      <c r="D621">
        <v>53.09</v>
      </c>
      <c r="E621">
        <f>VLOOKUP(A621,Ucto_HK_summ!$A$2:$G$963,7,FALSE)</f>
        <v>53.09</v>
      </c>
    </row>
    <row r="622" spans="1:5">
      <c r="A622" s="578" t="s">
        <v>839</v>
      </c>
      <c r="C622">
        <v>0</v>
      </c>
      <c r="D622" s="513">
        <v>1834688.29</v>
      </c>
      <c r="E622">
        <f>VLOOKUP(A622,Ucto_HK_summ!$A$2:$G$963,7,FALSE)</f>
        <v>1834688.29</v>
      </c>
    </row>
    <row r="623" spans="1:5">
      <c r="A623" s="578" t="s">
        <v>2223</v>
      </c>
      <c r="B623" s="578" t="s">
        <v>842</v>
      </c>
      <c r="C623">
        <v>0</v>
      </c>
      <c r="D623" s="513">
        <v>42483.43</v>
      </c>
      <c r="E623">
        <f>VLOOKUP(A623,Ucto_HK_summ!$A$2:$G$963,7,FALSE)</f>
        <v>42483.43</v>
      </c>
    </row>
    <row r="624" spans="1:5">
      <c r="A624" s="578" t="s">
        <v>2224</v>
      </c>
      <c r="B624" s="578" t="s">
        <v>2225</v>
      </c>
      <c r="C624">
        <v>0</v>
      </c>
      <c r="D624">
        <v>208.06</v>
      </c>
      <c r="E624">
        <f>VLOOKUP(A624,Ucto_HK_summ!$A$2:$G$963,7,FALSE)</f>
        <v>208.06</v>
      </c>
    </row>
    <row r="625" spans="1:5">
      <c r="A625" s="578" t="s">
        <v>841</v>
      </c>
      <c r="C625">
        <v>0</v>
      </c>
      <c r="D625" s="513">
        <v>42691.49</v>
      </c>
      <c r="E625">
        <f>VLOOKUP(A625,Ucto_HK_summ!$A$2:$G$963,7,FALSE)</f>
        <v>42691.49</v>
      </c>
    </row>
    <row r="626" spans="1:5">
      <c r="A626" s="577" t="s">
        <v>2226</v>
      </c>
      <c r="C626" s="369">
        <v>0</v>
      </c>
      <c r="D626" s="579">
        <v>11114182.4</v>
      </c>
      <c r="E626">
        <f>VLOOKUP(A626,Ucto_HK_summ!$A$2:$G$963,7,FALSE)</f>
        <v>11114182.4</v>
      </c>
    </row>
    <row r="628" spans="1:5">
      <c r="A628" s="578" t="s">
        <v>2227</v>
      </c>
      <c r="B628" s="578" t="s">
        <v>2228</v>
      </c>
      <c r="C628">
        <v>0</v>
      </c>
      <c r="D628" s="513">
        <v>51286.82</v>
      </c>
      <c r="E628">
        <f>VLOOKUP(A628,Ucto_HK_summ!$A$2:$G$963,7,FALSE)</f>
        <v>51286.82</v>
      </c>
    </row>
    <row r="629" spans="1:5">
      <c r="A629" s="578" t="s">
        <v>2229</v>
      </c>
      <c r="B629" s="578" t="s">
        <v>2230</v>
      </c>
      <c r="C629">
        <v>0</v>
      </c>
      <c r="D629" s="513">
        <v>1917.09</v>
      </c>
      <c r="E629">
        <f>VLOOKUP(A629,Ucto_HK_summ!$A$2:$G$963,7,FALSE)</f>
        <v>1917.09</v>
      </c>
    </row>
    <row r="630" spans="1:5">
      <c r="A630" s="578" t="s">
        <v>2231</v>
      </c>
      <c r="B630" s="578" t="s">
        <v>2232</v>
      </c>
      <c r="C630">
        <v>0</v>
      </c>
      <c r="D630" s="513">
        <v>2240143.0699999998</v>
      </c>
      <c r="E630">
        <f>VLOOKUP(A630,Ucto_HK_summ!$A$2:$G$963,7,FALSE)</f>
        <v>2240143.0699999998</v>
      </c>
    </row>
    <row r="631" spans="1:5">
      <c r="A631" s="578" t="s">
        <v>2233</v>
      </c>
      <c r="B631" s="578" t="s">
        <v>2234</v>
      </c>
      <c r="C631">
        <v>0</v>
      </c>
      <c r="D631" s="513">
        <v>87105.52</v>
      </c>
      <c r="E631">
        <f>VLOOKUP(A631,Ucto_HK_summ!$A$2:$G$963,7,FALSE)</f>
        <v>87105.52</v>
      </c>
    </row>
    <row r="632" spans="1:5">
      <c r="A632" s="578" t="s">
        <v>2235</v>
      </c>
      <c r="B632" s="578" t="s">
        <v>2236</v>
      </c>
      <c r="C632">
        <v>0</v>
      </c>
      <c r="D632" s="513">
        <v>1590243.07</v>
      </c>
      <c r="E632">
        <f>VLOOKUP(A632,Ucto_HK_summ!$A$2:$G$963,7,FALSE)</f>
        <v>1590243.07</v>
      </c>
    </row>
    <row r="633" spans="1:5">
      <c r="A633" s="578" t="s">
        <v>844</v>
      </c>
      <c r="C633">
        <v>0</v>
      </c>
      <c r="D633" s="513">
        <v>3970695.57</v>
      </c>
      <c r="E633">
        <f>VLOOKUP(A633,Ucto_HK_summ!$A$2:$G$963,7,FALSE)</f>
        <v>3970695.57</v>
      </c>
    </row>
    <row r="634" spans="1:5">
      <c r="A634" s="578" t="s">
        <v>2237</v>
      </c>
      <c r="B634" s="578" t="s">
        <v>2238</v>
      </c>
      <c r="C634">
        <v>0</v>
      </c>
      <c r="D634" s="513">
        <v>286709.33</v>
      </c>
      <c r="E634">
        <f>VLOOKUP(A634,Ucto_HK_summ!$A$2:$G$963,7,FALSE)</f>
        <v>286709.33</v>
      </c>
    </row>
    <row r="635" spans="1:5">
      <c r="A635" s="578" t="s">
        <v>847</v>
      </c>
      <c r="C635">
        <v>0</v>
      </c>
      <c r="D635" s="513">
        <v>286709.33</v>
      </c>
      <c r="E635">
        <f>VLOOKUP(A635,Ucto_HK_summ!$A$2:$G$963,7,FALSE)</f>
        <v>286709.33</v>
      </c>
    </row>
    <row r="636" spans="1:5">
      <c r="A636" s="578" t="s">
        <v>2239</v>
      </c>
      <c r="B636" s="578" t="s">
        <v>2240</v>
      </c>
      <c r="C636">
        <v>0</v>
      </c>
      <c r="D636" s="513">
        <v>17417202.969999999</v>
      </c>
      <c r="E636">
        <f>VLOOKUP(A636,Ucto_HK_summ!$A$2:$G$963,7,FALSE)</f>
        <v>17417202.969999999</v>
      </c>
    </row>
    <row r="637" spans="1:5">
      <c r="A637" s="578" t="s">
        <v>849</v>
      </c>
      <c r="C637">
        <v>0</v>
      </c>
      <c r="D637" s="513">
        <v>17417202.969999999</v>
      </c>
      <c r="E637">
        <f>VLOOKUP(A637,Ucto_HK_summ!$A$2:$G$963,7,FALSE)</f>
        <v>17417202.969999999</v>
      </c>
    </row>
    <row r="638" spans="1:5">
      <c r="A638" s="578" t="s">
        <v>2241</v>
      </c>
      <c r="B638" s="578" t="s">
        <v>2242</v>
      </c>
      <c r="C638">
        <v>0</v>
      </c>
      <c r="D638" s="513">
        <v>114931.48</v>
      </c>
      <c r="E638">
        <f>VLOOKUP(A638,Ucto_HK_summ!$A$2:$G$963,7,FALSE)</f>
        <v>114931.48</v>
      </c>
    </row>
    <row r="639" spans="1:5">
      <c r="A639" s="578" t="s">
        <v>853</v>
      </c>
      <c r="C639">
        <v>0</v>
      </c>
      <c r="D639" s="513">
        <v>114931.48</v>
      </c>
      <c r="E639">
        <f>VLOOKUP(A639,Ucto_HK_summ!$A$2:$G$963,7,FALSE)</f>
        <v>114931.48</v>
      </c>
    </row>
    <row r="640" spans="1:5">
      <c r="A640" s="577" t="s">
        <v>2243</v>
      </c>
      <c r="C640" s="369">
        <v>0</v>
      </c>
      <c r="D640" s="579">
        <v>21789539.350000001</v>
      </c>
      <c r="E640">
        <f>VLOOKUP(A640,Ucto_HK_summ!$A$2:$G$963,7,FALSE)</f>
        <v>21789539.350000001</v>
      </c>
    </row>
    <row r="642" spans="1:5">
      <c r="A642" s="578" t="s">
        <v>2244</v>
      </c>
      <c r="B642" s="578" t="s">
        <v>238</v>
      </c>
      <c r="C642">
        <v>0</v>
      </c>
      <c r="D642">
        <v>26.22</v>
      </c>
      <c r="E642">
        <f>VLOOKUP(A642,Ucto_HK_summ!$A$2:$G$963,7,FALSE)</f>
        <v>26.22</v>
      </c>
    </row>
    <row r="643" spans="1:5">
      <c r="A643" s="578" t="s">
        <v>865</v>
      </c>
      <c r="C643">
        <v>0</v>
      </c>
      <c r="D643">
        <v>26.22</v>
      </c>
      <c r="E643">
        <f>VLOOKUP(A643,Ucto_HK_summ!$A$2:$G$963,7,FALSE)</f>
        <v>26.22</v>
      </c>
    </row>
    <row r="644" spans="1:5">
      <c r="A644" s="578" t="s">
        <v>2245</v>
      </c>
      <c r="B644" s="578" t="s">
        <v>2246</v>
      </c>
      <c r="C644">
        <v>0</v>
      </c>
      <c r="D644">
        <v>0.96</v>
      </c>
      <c r="E644">
        <f>VLOOKUP(A644,Ucto_HK_summ!$A$2:$G$963,7,FALSE)</f>
        <v>0.96</v>
      </c>
    </row>
    <row r="645" spans="1:5">
      <c r="A645" s="578" t="s">
        <v>866</v>
      </c>
      <c r="C645">
        <v>0</v>
      </c>
      <c r="D645">
        <v>0.96</v>
      </c>
      <c r="E645">
        <f>VLOOKUP(A645,Ucto_HK_summ!$A$2:$G$963,7,FALSE)</f>
        <v>0.96</v>
      </c>
    </row>
    <row r="646" spans="1:5">
      <c r="A646" s="578" t="s">
        <v>2247</v>
      </c>
      <c r="B646" s="578" t="s">
        <v>245</v>
      </c>
      <c r="C646">
        <v>0</v>
      </c>
      <c r="D646" s="513">
        <v>4526.66</v>
      </c>
      <c r="E646">
        <f>VLOOKUP(A646,Ucto_HK_summ!$A$2:$G$963,7,FALSE)</f>
        <v>4526.66</v>
      </c>
    </row>
    <row r="647" spans="1:5">
      <c r="A647" s="578" t="s">
        <v>2248</v>
      </c>
      <c r="B647" s="578" t="s">
        <v>2249</v>
      </c>
      <c r="C647">
        <v>0</v>
      </c>
      <c r="D647" s="513">
        <v>3537.27</v>
      </c>
      <c r="E647">
        <f>VLOOKUP(A647,Ucto_HK_summ!$A$2:$G$963,7,FALSE)</f>
        <v>3537.27</v>
      </c>
    </row>
    <row r="648" spans="1:5">
      <c r="A648" s="578" t="s">
        <v>2250</v>
      </c>
      <c r="B648" s="578" t="s">
        <v>2251</v>
      </c>
      <c r="C648">
        <v>0</v>
      </c>
      <c r="D648" s="513">
        <v>8959.14</v>
      </c>
      <c r="E648">
        <f>VLOOKUP(A648,Ucto_HK_summ!$A$2:$G$963,7,FALSE)</f>
        <v>8959.14</v>
      </c>
    </row>
    <row r="649" spans="1:5">
      <c r="A649" s="578" t="s">
        <v>2252</v>
      </c>
      <c r="B649" s="578" t="s">
        <v>2253</v>
      </c>
      <c r="C649">
        <v>0</v>
      </c>
      <c r="D649" s="513">
        <v>9340.7999999999993</v>
      </c>
      <c r="E649">
        <f>VLOOKUP(A649,Ucto_HK_summ!$A$2:$G$963,7,FALSE)</f>
        <v>9340.7999999999993</v>
      </c>
    </row>
    <row r="650" spans="1:5">
      <c r="A650" s="578" t="s">
        <v>2254</v>
      </c>
      <c r="B650" s="578" t="s">
        <v>2255</v>
      </c>
      <c r="C650">
        <v>0</v>
      </c>
      <c r="D650" s="513">
        <v>88423.26</v>
      </c>
      <c r="E650">
        <f>VLOOKUP(A650,Ucto_HK_summ!$A$2:$G$963,7,FALSE)</f>
        <v>88423.26</v>
      </c>
    </row>
    <row r="651" spans="1:5">
      <c r="A651" s="578" t="s">
        <v>2256</v>
      </c>
      <c r="B651" s="578" t="s">
        <v>2257</v>
      </c>
      <c r="C651">
        <v>0</v>
      </c>
      <c r="D651">
        <v>0.25</v>
      </c>
      <c r="E651">
        <f>VLOOKUP(A651,Ucto_HK_summ!$A$2:$G$963,7,FALSE)</f>
        <v>0</v>
      </c>
    </row>
    <row r="652" spans="1:5">
      <c r="A652" s="578" t="s">
        <v>873</v>
      </c>
      <c r="C652">
        <v>0</v>
      </c>
      <c r="D652" s="513">
        <v>114787.38</v>
      </c>
      <c r="E652">
        <f>VLOOKUP(A652,Ucto_HK_summ!$A$2:$G$963,7,FALSE)</f>
        <v>114787.38</v>
      </c>
    </row>
    <row r="653" spans="1:5">
      <c r="A653" s="577" t="s">
        <v>2258</v>
      </c>
      <c r="C653" s="369">
        <v>0</v>
      </c>
      <c r="D653" s="579">
        <v>114814.56</v>
      </c>
      <c r="E653">
        <f>VLOOKUP(A653,Ucto_HK_summ!$A$2:$G$963,7,FALSE)</f>
        <v>114814.56</v>
      </c>
    </row>
    <row r="655" spans="1:5">
      <c r="A655" s="578" t="s">
        <v>2259</v>
      </c>
      <c r="B655" s="578" t="s">
        <v>2260</v>
      </c>
      <c r="C655">
        <v>0</v>
      </c>
      <c r="D655" s="513">
        <v>371449.38</v>
      </c>
      <c r="E655">
        <f>VLOOKUP(A655,Ucto_HK_summ!$A$2:$G$963,7,FALSE)</f>
        <v>371449.38</v>
      </c>
    </row>
    <row r="656" spans="1:5">
      <c r="A656" s="578" t="s">
        <v>898</v>
      </c>
      <c r="C656">
        <v>0</v>
      </c>
      <c r="D656" s="513">
        <v>371449.38</v>
      </c>
      <c r="E656">
        <f>VLOOKUP(A656,Ucto_HK_summ!$A$2:$G$963,7,FALSE)</f>
        <v>371449.38</v>
      </c>
    </row>
    <row r="657" spans="1:5">
      <c r="A657" s="577" t="s">
        <v>2261</v>
      </c>
      <c r="C657" s="369">
        <v>0</v>
      </c>
      <c r="D657" s="579">
        <v>371449.38</v>
      </c>
      <c r="E657">
        <f>VLOOKUP(A657,Ucto_HK_summ!$A$2:$G$963,7,FALSE)</f>
        <v>371449.38</v>
      </c>
    </row>
    <row r="659" spans="1:5">
      <c r="A659" s="578" t="s">
        <v>2262</v>
      </c>
      <c r="B659" s="578" t="s">
        <v>1581</v>
      </c>
      <c r="C659">
        <v>0</v>
      </c>
      <c r="D659">
        <v>100.34</v>
      </c>
      <c r="E659">
        <f>VLOOKUP(A659,Ucto_HK_summ!$A$2:$G$963,7,FALSE)</f>
        <v>100.34</v>
      </c>
    </row>
    <row r="660" spans="1:5">
      <c r="A660" s="578" t="s">
        <v>2263</v>
      </c>
      <c r="B660" s="578" t="s">
        <v>2264</v>
      </c>
      <c r="C660">
        <v>0</v>
      </c>
      <c r="D660" s="513">
        <v>1476.99</v>
      </c>
      <c r="E660">
        <f>VLOOKUP(A660,Ucto_HK_summ!$A$2:$G$963,7,FALSE)</f>
        <v>1476.99</v>
      </c>
    </row>
    <row r="661" spans="1:5">
      <c r="A661" s="578" t="s">
        <v>1028</v>
      </c>
      <c r="C661">
        <v>0</v>
      </c>
      <c r="D661" s="513">
        <v>1577.33</v>
      </c>
      <c r="E661">
        <f>VLOOKUP(A661,Ucto_HK_summ!$A$2:$G$963,7,FALSE)</f>
        <v>1577.33</v>
      </c>
    </row>
    <row r="662" spans="1:5">
      <c r="A662" s="577" t="s">
        <v>2265</v>
      </c>
      <c r="C662" s="369">
        <v>0</v>
      </c>
      <c r="D662" s="579">
        <v>1577.33</v>
      </c>
      <c r="E662">
        <f>VLOOKUP(A662,Ucto_HK_summ!$A$2:$G$963,7,FALSE)</f>
        <v>1577.33</v>
      </c>
    </row>
    <row r="664" spans="1:5">
      <c r="A664" s="577" t="s">
        <v>2266</v>
      </c>
      <c r="C664" s="369">
        <v>0</v>
      </c>
      <c r="D664" s="579">
        <v>178686811.38</v>
      </c>
      <c r="E664">
        <f>VLOOKUP(A664,Ucto_HK_summ!$A$2:$G$963,7,FALSE)</f>
        <v>178686811.38</v>
      </c>
    </row>
    <row r="667" spans="1:5">
      <c r="A667" s="578" t="s">
        <v>2267</v>
      </c>
      <c r="B667" s="578" t="s">
        <v>2268</v>
      </c>
      <c r="C667">
        <v>0</v>
      </c>
      <c r="D667" s="513">
        <v>-35078443.82</v>
      </c>
      <c r="E667">
        <f>VLOOKUP(A667,Ucto_HK_summ!$A$2:$G$963,7,FALSE)</f>
        <v>-35078443.82</v>
      </c>
    </row>
    <row r="668" spans="1:5">
      <c r="A668" s="578" t="s">
        <v>2269</v>
      </c>
      <c r="B668" s="578" t="s">
        <v>2270</v>
      </c>
      <c r="C668">
        <v>0</v>
      </c>
      <c r="D668" s="513">
        <v>-1693936.02</v>
      </c>
      <c r="E668">
        <f>VLOOKUP(A668,Ucto_HK_summ!$A$2:$G$963,7,FALSE)</f>
        <v>-1693936.02</v>
      </c>
    </row>
    <row r="669" spans="1:5">
      <c r="A669" s="578" t="s">
        <v>2271</v>
      </c>
      <c r="B669" s="578" t="s">
        <v>2272</v>
      </c>
      <c r="C669">
        <v>0</v>
      </c>
      <c r="D669" s="513">
        <v>-4273756.32</v>
      </c>
      <c r="E669">
        <f>VLOOKUP(A669,Ucto_HK_summ!$A$2:$G$963,7,FALSE)</f>
        <v>-4273756.32</v>
      </c>
    </row>
    <row r="670" spans="1:5">
      <c r="A670" s="578" t="s">
        <v>2273</v>
      </c>
      <c r="B670" s="578" t="s">
        <v>2274</v>
      </c>
      <c r="C670">
        <v>0</v>
      </c>
      <c r="D670" s="513">
        <v>-956506.15</v>
      </c>
      <c r="E670">
        <f>VLOOKUP(A670,Ucto_HK_summ!$A$2:$G$963,7,FALSE)</f>
        <v>-956506.15</v>
      </c>
    </row>
    <row r="671" spans="1:5">
      <c r="A671" s="578" t="s">
        <v>2275</v>
      </c>
      <c r="B671" s="578" t="s">
        <v>2276</v>
      </c>
      <c r="C671">
        <v>0</v>
      </c>
      <c r="D671" s="513">
        <v>-98816.75</v>
      </c>
      <c r="E671">
        <f>VLOOKUP(A671,Ucto_HK_summ!$A$2:$G$963,7,FALSE)</f>
        <v>-98816.75</v>
      </c>
    </row>
    <row r="672" spans="1:5">
      <c r="A672" s="578" t="s">
        <v>2277</v>
      </c>
      <c r="B672" s="578" t="s">
        <v>2278</v>
      </c>
      <c r="C672">
        <v>0</v>
      </c>
      <c r="D672" s="513">
        <v>-389228.9</v>
      </c>
      <c r="E672">
        <f>VLOOKUP(A672,Ucto_HK_summ!$A$2:$G$963,7,FALSE)</f>
        <v>-389228.9</v>
      </c>
    </row>
    <row r="673" spans="1:5">
      <c r="A673" s="578" t="s">
        <v>2279</v>
      </c>
      <c r="B673" s="578" t="s">
        <v>2280</v>
      </c>
      <c r="C673">
        <v>0</v>
      </c>
      <c r="D673" s="513">
        <v>-6899048.0899999999</v>
      </c>
      <c r="E673">
        <f>VLOOKUP(A673,Ucto_HK_summ!$A$2:$G$963,7,FALSE)</f>
        <v>-6899048.0899999999</v>
      </c>
    </row>
    <row r="674" spans="1:5">
      <c r="A674" s="578" t="s">
        <v>2281</v>
      </c>
      <c r="B674" s="578" t="s">
        <v>2282</v>
      </c>
      <c r="C674">
        <v>0</v>
      </c>
      <c r="D674" s="513">
        <v>-473566.54</v>
      </c>
      <c r="E674">
        <f>VLOOKUP(A674,Ucto_HK_summ!$A$2:$G$963,7,FALSE)</f>
        <v>-473566.54</v>
      </c>
    </row>
    <row r="675" spans="1:5">
      <c r="A675" s="578" t="s">
        <v>2283</v>
      </c>
      <c r="B675" s="578" t="s">
        <v>2284</v>
      </c>
      <c r="C675">
        <v>0</v>
      </c>
      <c r="D675" s="513">
        <v>-1041433.84</v>
      </c>
      <c r="E675">
        <f>VLOOKUP(A675,Ucto_HK_summ!$A$2:$G$963,7,FALSE)</f>
        <v>-1041433.84</v>
      </c>
    </row>
    <row r="676" spans="1:5">
      <c r="A676" s="578" t="s">
        <v>2285</v>
      </c>
      <c r="B676" s="578" t="s">
        <v>2286</v>
      </c>
      <c r="C676">
        <v>0</v>
      </c>
      <c r="D676" s="513">
        <v>-191891.43</v>
      </c>
      <c r="E676">
        <f>VLOOKUP(A676,Ucto_HK_summ!$A$2:$G$963,7,FALSE)</f>
        <v>-191891.43</v>
      </c>
    </row>
    <row r="677" spans="1:5">
      <c r="A677" s="578" t="s">
        <v>2287</v>
      </c>
      <c r="B677" s="578" t="s">
        <v>2288</v>
      </c>
      <c r="C677">
        <v>0</v>
      </c>
      <c r="D677" s="513">
        <v>-53702.37</v>
      </c>
      <c r="E677">
        <f>VLOOKUP(A677,Ucto_HK_summ!$A$2:$G$963,7,FALSE)</f>
        <v>-53702.37</v>
      </c>
    </row>
    <row r="678" spans="1:5">
      <c r="A678" s="578" t="s">
        <v>2289</v>
      </c>
      <c r="B678" s="578" t="s">
        <v>2290</v>
      </c>
      <c r="C678">
        <v>0</v>
      </c>
      <c r="D678" s="513">
        <v>-471107.03</v>
      </c>
      <c r="E678">
        <f>VLOOKUP(A678,Ucto_HK_summ!$A$2:$G$963,7,FALSE)</f>
        <v>-471107.03</v>
      </c>
    </row>
    <row r="679" spans="1:5">
      <c r="A679" s="578" t="s">
        <v>2291</v>
      </c>
      <c r="B679" s="578" t="s">
        <v>2292</v>
      </c>
      <c r="C679">
        <v>0</v>
      </c>
      <c r="D679" s="513">
        <v>-2360553.42</v>
      </c>
      <c r="E679">
        <f>VLOOKUP(A679,Ucto_HK_summ!$A$2:$G$963,7,FALSE)</f>
        <v>-2360553.42</v>
      </c>
    </row>
    <row r="680" spans="1:5">
      <c r="A680" s="578" t="s">
        <v>2293</v>
      </c>
      <c r="B680" s="578" t="s">
        <v>2294</v>
      </c>
      <c r="C680">
        <v>0</v>
      </c>
      <c r="D680" s="513">
        <v>-895825.64</v>
      </c>
      <c r="E680">
        <f>VLOOKUP(A680,Ucto_HK_summ!$A$2:$G$963,7,FALSE)</f>
        <v>-895825.64</v>
      </c>
    </row>
    <row r="681" spans="1:5">
      <c r="A681" s="578" t="s">
        <v>2295</v>
      </c>
      <c r="B681" s="578" t="s">
        <v>2296</v>
      </c>
      <c r="C681">
        <v>0</v>
      </c>
      <c r="D681" s="513">
        <v>-2902017.64</v>
      </c>
      <c r="E681">
        <f>VLOOKUP(A681,Ucto_HK_summ!$A$2:$G$963,7,FALSE)</f>
        <v>-2902017.64</v>
      </c>
    </row>
    <row r="682" spans="1:5">
      <c r="A682" s="578" t="s">
        <v>2297</v>
      </c>
      <c r="B682" s="578" t="s">
        <v>2298</v>
      </c>
      <c r="C682">
        <v>0</v>
      </c>
      <c r="D682" s="513">
        <v>-61468.28</v>
      </c>
      <c r="E682">
        <f>VLOOKUP(A682,Ucto_HK_summ!$A$2:$G$963,7,FALSE)</f>
        <v>-61468.28</v>
      </c>
    </row>
    <row r="683" spans="1:5">
      <c r="A683" s="578" t="s">
        <v>2299</v>
      </c>
      <c r="B683" s="578" t="s">
        <v>2300</v>
      </c>
      <c r="C683">
        <v>0</v>
      </c>
      <c r="D683" s="513">
        <v>-336412.28</v>
      </c>
      <c r="E683">
        <f>VLOOKUP(A683,Ucto_HK_summ!$A$2:$G$963,7,FALSE)</f>
        <v>-336412.28</v>
      </c>
    </row>
    <row r="684" spans="1:5">
      <c r="A684" s="578" t="s">
        <v>2301</v>
      </c>
      <c r="B684" s="578" t="s">
        <v>2302</v>
      </c>
      <c r="C684">
        <v>0</v>
      </c>
      <c r="D684" s="513">
        <v>-7538848.4199999999</v>
      </c>
      <c r="E684">
        <f>VLOOKUP(A684,Ucto_HK_summ!$A$2:$G$963,7,FALSE)</f>
        <v>-7538848.4199999999</v>
      </c>
    </row>
    <row r="685" spans="1:5">
      <c r="A685" s="578" t="s">
        <v>2303</v>
      </c>
      <c r="B685" s="578" t="s">
        <v>2304</v>
      </c>
      <c r="C685">
        <v>0</v>
      </c>
      <c r="D685" s="513">
        <v>-16847.830000000002</v>
      </c>
      <c r="E685">
        <f>VLOOKUP(A685,Ucto_HK_summ!$A$2:$G$963,7,FALSE)</f>
        <v>-16847.830000000002</v>
      </c>
    </row>
    <row r="686" spans="1:5">
      <c r="A686" s="578" t="s">
        <v>2305</v>
      </c>
      <c r="B686" s="578" t="s">
        <v>2306</v>
      </c>
      <c r="C686">
        <v>0</v>
      </c>
      <c r="D686" s="513">
        <v>-21520636.210000001</v>
      </c>
      <c r="E686">
        <f>VLOOKUP(A686,Ucto_HK_summ!$A$2:$G$963,7,FALSE)</f>
        <v>-21520636.210000001</v>
      </c>
    </row>
    <row r="687" spans="1:5">
      <c r="A687" s="578" t="s">
        <v>2307</v>
      </c>
      <c r="B687" s="578" t="s">
        <v>2308</v>
      </c>
      <c r="C687">
        <v>0</v>
      </c>
      <c r="D687" s="513">
        <v>-4580.91</v>
      </c>
      <c r="E687">
        <f>VLOOKUP(A687,Ucto_HK_summ!$A$2:$G$963,7,FALSE)</f>
        <v>-4580.91</v>
      </c>
    </row>
    <row r="688" spans="1:5">
      <c r="A688" s="578" t="s">
        <v>2309</v>
      </c>
      <c r="B688" s="578" t="s">
        <v>2310</v>
      </c>
      <c r="C688">
        <v>0</v>
      </c>
      <c r="D688" s="513">
        <v>-1668502.17</v>
      </c>
      <c r="E688">
        <f>VLOOKUP(A688,Ucto_HK_summ!$A$2:$G$963,7,FALSE)</f>
        <v>-1668502.17</v>
      </c>
    </row>
    <row r="689" spans="1:5">
      <c r="A689" s="578" t="s">
        <v>2311</v>
      </c>
      <c r="B689" s="578" t="s">
        <v>2312</v>
      </c>
      <c r="C689">
        <v>0</v>
      </c>
      <c r="D689" s="513">
        <v>-655550.79</v>
      </c>
      <c r="E689">
        <f>VLOOKUP(A689,Ucto_HK_summ!$A$2:$G$963,7,FALSE)</f>
        <v>-655550.79</v>
      </c>
    </row>
    <row r="690" spans="1:5">
      <c r="A690" s="578" t="s">
        <v>2313</v>
      </c>
      <c r="B690" s="578" t="s">
        <v>2314</v>
      </c>
      <c r="C690">
        <v>0</v>
      </c>
      <c r="D690" s="513">
        <v>-31862.5</v>
      </c>
      <c r="E690">
        <f>VLOOKUP(A690,Ucto_HK_summ!$A$2:$G$963,7,FALSE)</f>
        <v>-31862.5</v>
      </c>
    </row>
    <row r="691" spans="1:5">
      <c r="A691" s="578" t="s">
        <v>2315</v>
      </c>
      <c r="B691" s="578" t="s">
        <v>2316</v>
      </c>
      <c r="C691">
        <v>0</v>
      </c>
      <c r="D691" s="513">
        <v>-164294.39000000001</v>
      </c>
      <c r="E691">
        <f>VLOOKUP(A691,Ucto_HK_summ!$A$2:$G$963,7,FALSE)</f>
        <v>-164294.39000000001</v>
      </c>
    </row>
    <row r="692" spans="1:5">
      <c r="A692" s="578" t="s">
        <v>2317</v>
      </c>
      <c r="B692" s="578" t="s">
        <v>2318</v>
      </c>
      <c r="C692">
        <v>0</v>
      </c>
      <c r="D692" s="513">
        <v>-2321779.33</v>
      </c>
      <c r="E692">
        <f>VLOOKUP(A692,Ucto_HK_summ!$A$2:$G$963,7,FALSE)</f>
        <v>-2321779.33</v>
      </c>
    </row>
    <row r="693" spans="1:5">
      <c r="A693" s="578" t="s">
        <v>2319</v>
      </c>
      <c r="B693" s="578" t="s">
        <v>2320</v>
      </c>
      <c r="C693">
        <v>0</v>
      </c>
      <c r="D693" s="513">
        <v>-257501.59</v>
      </c>
      <c r="E693">
        <f>VLOOKUP(A693,Ucto_HK_summ!$A$2:$G$963,7,FALSE)</f>
        <v>-257501.59</v>
      </c>
    </row>
    <row r="694" spans="1:5">
      <c r="A694" s="578" t="s">
        <v>2321</v>
      </c>
      <c r="B694" s="578" t="s">
        <v>2322</v>
      </c>
      <c r="C694">
        <v>0</v>
      </c>
      <c r="D694" s="513">
        <v>-385725.33</v>
      </c>
      <c r="E694">
        <f>VLOOKUP(A694,Ucto_HK_summ!$A$2:$G$963,7,FALSE)</f>
        <v>-385725.33</v>
      </c>
    </row>
    <row r="695" spans="1:5">
      <c r="A695" s="578" t="s">
        <v>2323</v>
      </c>
      <c r="B695" s="578" t="s">
        <v>2324</v>
      </c>
      <c r="C695">
        <v>0</v>
      </c>
      <c r="D695" s="513">
        <v>-41358.06</v>
      </c>
      <c r="E695">
        <f>VLOOKUP(A695,Ucto_HK_summ!$A$2:$G$963,7,FALSE)</f>
        <v>-41358.06</v>
      </c>
    </row>
    <row r="696" spans="1:5">
      <c r="A696" s="578" t="s">
        <v>2325</v>
      </c>
      <c r="B696" s="578" t="s">
        <v>2326</v>
      </c>
      <c r="C696">
        <v>0</v>
      </c>
      <c r="D696" s="513">
        <v>-39294.36</v>
      </c>
      <c r="E696">
        <f>VLOOKUP(A696,Ucto_HK_summ!$A$2:$G$963,7,FALSE)</f>
        <v>-39294.36</v>
      </c>
    </row>
    <row r="697" spans="1:5">
      <c r="A697" s="578" t="s">
        <v>2327</v>
      </c>
      <c r="B697" s="578" t="s">
        <v>2328</v>
      </c>
      <c r="C697">
        <v>0</v>
      </c>
      <c r="D697" s="513">
        <v>-1725322.85</v>
      </c>
      <c r="E697">
        <f>VLOOKUP(A697,Ucto_HK_summ!$A$2:$G$963,7,FALSE)</f>
        <v>-1725322.85</v>
      </c>
    </row>
    <row r="698" spans="1:5">
      <c r="A698" s="578" t="s">
        <v>2329</v>
      </c>
      <c r="B698" s="578" t="s">
        <v>2330</v>
      </c>
      <c r="C698">
        <v>0</v>
      </c>
      <c r="D698" s="513">
        <v>-56900.49</v>
      </c>
      <c r="E698">
        <f>VLOOKUP(A698,Ucto_HK_summ!$A$2:$G$963,7,FALSE)</f>
        <v>-56900.49</v>
      </c>
    </row>
    <row r="699" spans="1:5">
      <c r="A699" s="578" t="s">
        <v>2331</v>
      </c>
      <c r="B699" s="578" t="s">
        <v>2332</v>
      </c>
      <c r="C699">
        <v>0</v>
      </c>
      <c r="D699" s="513">
        <v>-1473873.22</v>
      </c>
      <c r="E699">
        <f>VLOOKUP(A699,Ucto_HK_summ!$A$2:$G$963,7,FALSE)</f>
        <v>-1473873.22</v>
      </c>
    </row>
    <row r="700" spans="1:5">
      <c r="A700" s="578" t="s">
        <v>2333</v>
      </c>
      <c r="B700" s="578" t="s">
        <v>2334</v>
      </c>
      <c r="C700">
        <v>0</v>
      </c>
      <c r="D700" s="513">
        <v>-49424.69</v>
      </c>
      <c r="E700">
        <f>VLOOKUP(A700,Ucto_HK_summ!$A$2:$G$963,7,FALSE)</f>
        <v>-49424.69</v>
      </c>
    </row>
    <row r="701" spans="1:5">
      <c r="A701" s="578" t="s">
        <v>2335</v>
      </c>
      <c r="B701" s="578" t="s">
        <v>2336</v>
      </c>
      <c r="C701">
        <v>0</v>
      </c>
      <c r="D701" s="513">
        <v>-1655907.96</v>
      </c>
      <c r="E701">
        <f>VLOOKUP(A701,Ucto_HK_summ!$A$2:$G$963,7,FALSE)</f>
        <v>-1655907.96</v>
      </c>
    </row>
    <row r="702" spans="1:5">
      <c r="A702" s="578" t="s">
        <v>2337</v>
      </c>
      <c r="B702" s="578" t="s">
        <v>2338</v>
      </c>
      <c r="C702">
        <v>0</v>
      </c>
      <c r="D702" s="550">
        <v>-8946</v>
      </c>
      <c r="E702">
        <f>VLOOKUP(A702,Ucto_HK_summ!$A$2:$G$963,7,FALSE)</f>
        <v>-8946</v>
      </c>
    </row>
    <row r="703" spans="1:5">
      <c r="A703" s="578" t="s">
        <v>2339</v>
      </c>
      <c r="B703" s="578" t="s">
        <v>2340</v>
      </c>
      <c r="C703">
        <v>0</v>
      </c>
      <c r="D703" s="513">
        <v>-5154263.1399999997</v>
      </c>
      <c r="E703">
        <f>VLOOKUP(A703,Ucto_HK_summ!$A$2:$G$963,7,FALSE)</f>
        <v>-5154263.1399999997</v>
      </c>
    </row>
    <row r="704" spans="1:5">
      <c r="A704" s="578" t="s">
        <v>2341</v>
      </c>
      <c r="B704" s="578" t="s">
        <v>2342</v>
      </c>
      <c r="C704">
        <v>0</v>
      </c>
      <c r="D704">
        <v>-39.840000000000003</v>
      </c>
      <c r="E704">
        <f>VLOOKUP(A704,Ucto_HK_summ!$A$2:$G$963,7,FALSE)</f>
        <v>-39.840000000000003</v>
      </c>
    </row>
    <row r="705" spans="1:5">
      <c r="A705" s="578" t="s">
        <v>2343</v>
      </c>
      <c r="B705" s="578" t="s">
        <v>2344</v>
      </c>
      <c r="C705">
        <v>0</v>
      </c>
      <c r="D705" s="513">
        <v>-156573.62</v>
      </c>
      <c r="E705">
        <f>VLOOKUP(A705,Ucto_HK_summ!$A$2:$G$963,7,FALSE)</f>
        <v>-156573.62</v>
      </c>
    </row>
    <row r="706" spans="1:5">
      <c r="A706" s="578" t="s">
        <v>2345</v>
      </c>
      <c r="B706" s="578" t="s">
        <v>2346</v>
      </c>
      <c r="C706">
        <v>0</v>
      </c>
      <c r="D706" s="513">
        <v>-633094.04</v>
      </c>
      <c r="E706">
        <f>VLOOKUP(A706,Ucto_HK_summ!$A$2:$G$963,7,FALSE)</f>
        <v>-633094.04</v>
      </c>
    </row>
    <row r="707" spans="1:5">
      <c r="A707" s="578" t="s">
        <v>2347</v>
      </c>
      <c r="B707" s="578" t="s">
        <v>2348</v>
      </c>
      <c r="C707">
        <v>0</v>
      </c>
      <c r="D707" s="513">
        <v>-127280.83</v>
      </c>
      <c r="E707">
        <f>VLOOKUP(A707,Ucto_HK_summ!$A$2:$G$963,7,FALSE)</f>
        <v>-127280.83</v>
      </c>
    </row>
    <row r="708" spans="1:5">
      <c r="A708" s="578" t="s">
        <v>2349</v>
      </c>
      <c r="B708" s="578" t="s">
        <v>2350</v>
      </c>
      <c r="C708">
        <v>0</v>
      </c>
      <c r="D708" s="513">
        <v>-12132.67</v>
      </c>
      <c r="E708">
        <f>VLOOKUP(A708,Ucto_HK_summ!$A$2:$G$963,7,FALSE)</f>
        <v>-12132.67</v>
      </c>
    </row>
    <row r="709" spans="1:5">
      <c r="A709" s="578" t="s">
        <v>2351</v>
      </c>
      <c r="B709" s="578" t="s">
        <v>2352</v>
      </c>
      <c r="C709">
        <v>0</v>
      </c>
      <c r="D709" s="513">
        <v>-81270.37</v>
      </c>
      <c r="E709">
        <f>VLOOKUP(A709,Ucto_HK_summ!$A$2:$G$963,7,FALSE)</f>
        <v>-81270.37</v>
      </c>
    </row>
    <row r="710" spans="1:5">
      <c r="A710" s="578" t="s">
        <v>2353</v>
      </c>
      <c r="B710" s="578" t="s">
        <v>2354</v>
      </c>
      <c r="C710">
        <v>0</v>
      </c>
      <c r="D710" s="513">
        <v>-1028493.66</v>
      </c>
      <c r="E710">
        <f>VLOOKUP(A710,Ucto_HK_summ!$A$2:$G$963,7,FALSE)</f>
        <v>-1028493.66</v>
      </c>
    </row>
    <row r="711" spans="1:5">
      <c r="A711" s="578" t="s">
        <v>2355</v>
      </c>
      <c r="B711" s="578" t="s">
        <v>2356</v>
      </c>
      <c r="C711">
        <v>0</v>
      </c>
      <c r="D711" s="513">
        <v>-135952.98000000001</v>
      </c>
      <c r="E711">
        <f>VLOOKUP(A711,Ucto_HK_summ!$A$2:$G$963,7,FALSE)</f>
        <v>-135952.98000000001</v>
      </c>
    </row>
    <row r="712" spans="1:5">
      <c r="A712" s="578" t="s">
        <v>2357</v>
      </c>
      <c r="B712" s="578" t="s">
        <v>2358</v>
      </c>
      <c r="C712">
        <v>0</v>
      </c>
      <c r="D712" s="513">
        <v>-119062.68</v>
      </c>
      <c r="E712">
        <f>VLOOKUP(A712,Ucto_HK_summ!$A$2:$G$963,7,FALSE)</f>
        <v>-119062.68</v>
      </c>
    </row>
    <row r="713" spans="1:5">
      <c r="A713" s="578" t="s">
        <v>2359</v>
      </c>
      <c r="B713" s="578" t="s">
        <v>2360</v>
      </c>
      <c r="C713">
        <v>0</v>
      </c>
      <c r="D713" s="513">
        <v>-3049.59</v>
      </c>
      <c r="E713">
        <f>VLOOKUP(A713,Ucto_HK_summ!$A$2:$G$963,7,FALSE)</f>
        <v>-3049.59</v>
      </c>
    </row>
    <row r="714" spans="1:5">
      <c r="A714" s="578" t="s">
        <v>2361</v>
      </c>
      <c r="B714" s="578" t="s">
        <v>2362</v>
      </c>
      <c r="C714">
        <v>0</v>
      </c>
      <c r="D714" s="513">
        <v>-16855.77</v>
      </c>
      <c r="E714">
        <f>VLOOKUP(A714,Ucto_HK_summ!$A$2:$G$963,7,FALSE)</f>
        <v>-16855.77</v>
      </c>
    </row>
    <row r="715" spans="1:5">
      <c r="A715" s="578" t="s">
        <v>2363</v>
      </c>
      <c r="B715" s="578" t="s">
        <v>2364</v>
      </c>
      <c r="C715">
        <v>0</v>
      </c>
      <c r="D715" s="513">
        <v>-262022.93</v>
      </c>
      <c r="E715">
        <f>VLOOKUP(A715,Ucto_HK_summ!$A$2:$G$963,7,FALSE)</f>
        <v>-262022.93</v>
      </c>
    </row>
    <row r="716" spans="1:5">
      <c r="A716" s="578" t="s">
        <v>2365</v>
      </c>
      <c r="B716" s="578" t="s">
        <v>2366</v>
      </c>
      <c r="C716">
        <v>0</v>
      </c>
      <c r="D716" s="513">
        <v>-19214.310000000001</v>
      </c>
      <c r="E716">
        <f>VLOOKUP(A716,Ucto_HK_summ!$A$2:$G$963,7,FALSE)</f>
        <v>-19214.310000000001</v>
      </c>
    </row>
    <row r="717" spans="1:5">
      <c r="A717" s="578" t="s">
        <v>2367</v>
      </c>
      <c r="B717" s="578" t="s">
        <v>2368</v>
      </c>
      <c r="C717">
        <v>0</v>
      </c>
      <c r="D717" s="513">
        <v>-494887.76</v>
      </c>
      <c r="E717">
        <f>VLOOKUP(A717,Ucto_HK_summ!$A$2:$G$963,7,FALSE)</f>
        <v>-494887.76</v>
      </c>
    </row>
    <row r="718" spans="1:5">
      <c r="A718" s="578" t="s">
        <v>2369</v>
      </c>
      <c r="B718" s="578" t="s">
        <v>2370</v>
      </c>
      <c r="C718">
        <v>0</v>
      </c>
      <c r="D718" s="513">
        <v>-6901.34</v>
      </c>
      <c r="E718">
        <f>VLOOKUP(A718,Ucto_HK_summ!$A$2:$G$963,7,FALSE)</f>
        <v>-6901.34</v>
      </c>
    </row>
    <row r="719" spans="1:5">
      <c r="A719" s="578" t="s">
        <v>2371</v>
      </c>
      <c r="B719" s="578" t="s">
        <v>2372</v>
      </c>
      <c r="C719">
        <v>0</v>
      </c>
      <c r="D719" s="513">
        <v>-7822.68</v>
      </c>
      <c r="E719">
        <f>VLOOKUP(A719,Ucto_HK_summ!$A$2:$G$963,7,FALSE)</f>
        <v>-7822.68</v>
      </c>
    </row>
    <row r="720" spans="1:5">
      <c r="A720" s="578" t="s">
        <v>2373</v>
      </c>
      <c r="B720" s="578" t="s">
        <v>2374</v>
      </c>
      <c r="C720">
        <v>0</v>
      </c>
      <c r="D720" s="513">
        <v>-642980.92000000004</v>
      </c>
      <c r="E720">
        <f>VLOOKUP(A720,Ucto_HK_summ!$A$2:$G$963,7,FALSE)</f>
        <v>-642980.92000000004</v>
      </c>
    </row>
    <row r="721" spans="1:5">
      <c r="A721" s="578" t="s">
        <v>2375</v>
      </c>
      <c r="B721" s="578" t="s">
        <v>2376</v>
      </c>
      <c r="C721">
        <v>0</v>
      </c>
      <c r="D721" s="513">
        <v>-5687.94</v>
      </c>
      <c r="E721">
        <f>VLOOKUP(A721,Ucto_HK_summ!$A$2:$G$963,7,FALSE)</f>
        <v>-5687.94</v>
      </c>
    </row>
    <row r="722" spans="1:5">
      <c r="A722" s="578" t="s">
        <v>2377</v>
      </c>
      <c r="B722" s="578" t="s">
        <v>2378</v>
      </c>
      <c r="C722">
        <v>0</v>
      </c>
      <c r="D722" s="513">
        <v>-394010.3</v>
      </c>
      <c r="E722">
        <f>VLOOKUP(A722,Ucto_HK_summ!$A$2:$G$963,7,FALSE)</f>
        <v>-394010.3</v>
      </c>
    </row>
    <row r="723" spans="1:5">
      <c r="A723" s="578" t="s">
        <v>2379</v>
      </c>
      <c r="B723" s="578" t="s">
        <v>2380</v>
      </c>
      <c r="C723">
        <v>0</v>
      </c>
      <c r="D723" s="550">
        <v>-5576</v>
      </c>
      <c r="E723">
        <f>VLOOKUP(A723,Ucto_HK_summ!$A$2:$G$963,7,FALSE)</f>
        <v>-5576</v>
      </c>
    </row>
    <row r="724" spans="1:5">
      <c r="A724" s="578" t="s">
        <v>2381</v>
      </c>
      <c r="B724" s="578" t="s">
        <v>2382</v>
      </c>
      <c r="C724">
        <v>0</v>
      </c>
      <c r="D724" s="513">
        <v>-52413.59</v>
      </c>
      <c r="E724">
        <f>VLOOKUP(A724,Ucto_HK_summ!$A$2:$G$963,7,FALSE)</f>
        <v>-52413.59</v>
      </c>
    </row>
    <row r="725" spans="1:5">
      <c r="A725" s="578" t="s">
        <v>2383</v>
      </c>
      <c r="B725" s="578" t="s">
        <v>2384</v>
      </c>
      <c r="C725">
        <v>0</v>
      </c>
      <c r="D725" s="513">
        <v>-207478.81</v>
      </c>
      <c r="E725">
        <f>VLOOKUP(A725,Ucto_HK_summ!$A$2:$G$963,7,FALSE)</f>
        <v>-207478.81</v>
      </c>
    </row>
    <row r="726" spans="1:5">
      <c r="A726" s="578" t="s">
        <v>2385</v>
      </c>
      <c r="B726" s="578" t="s">
        <v>2386</v>
      </c>
      <c r="C726">
        <v>0</v>
      </c>
      <c r="D726" s="513">
        <v>-98135.27</v>
      </c>
      <c r="E726">
        <f>VLOOKUP(A726,Ucto_HK_summ!$A$2:$G$963,7,FALSE)</f>
        <v>-98135.27</v>
      </c>
    </row>
    <row r="727" spans="1:5">
      <c r="A727" s="578" t="s">
        <v>2387</v>
      </c>
      <c r="B727" s="578" t="s">
        <v>2388</v>
      </c>
      <c r="C727">
        <v>0</v>
      </c>
      <c r="D727" s="513">
        <v>-15385.22</v>
      </c>
      <c r="E727">
        <f>VLOOKUP(A727,Ucto_HK_summ!$A$2:$G$963,7,FALSE)</f>
        <v>-15385.22</v>
      </c>
    </row>
    <row r="728" spans="1:5">
      <c r="A728" s="578" t="s">
        <v>2389</v>
      </c>
      <c r="B728" s="578" t="s">
        <v>2390</v>
      </c>
      <c r="C728">
        <v>0</v>
      </c>
      <c r="D728" s="513">
        <v>-14692.19</v>
      </c>
      <c r="E728">
        <f>VLOOKUP(A728,Ucto_HK_summ!$A$2:$G$963,7,FALSE)</f>
        <v>-14692.19</v>
      </c>
    </row>
    <row r="729" spans="1:5">
      <c r="A729" s="578" t="s">
        <v>2391</v>
      </c>
      <c r="B729" s="578" t="s">
        <v>2392</v>
      </c>
      <c r="C729">
        <v>0</v>
      </c>
      <c r="D729" s="513">
        <v>-39097.18</v>
      </c>
      <c r="E729">
        <f>VLOOKUP(A729,Ucto_HK_summ!$A$2:$G$963,7,FALSE)</f>
        <v>-39097.18</v>
      </c>
    </row>
    <row r="730" spans="1:5">
      <c r="A730" s="578" t="s">
        <v>2393</v>
      </c>
      <c r="B730" s="578" t="s">
        <v>2394</v>
      </c>
      <c r="C730">
        <v>0</v>
      </c>
      <c r="D730" s="550">
        <v>-1494</v>
      </c>
      <c r="E730">
        <f>VLOOKUP(A730,Ucto_HK_summ!$A$2:$G$963,7,FALSE)</f>
        <v>-1494</v>
      </c>
    </row>
    <row r="731" spans="1:5">
      <c r="A731" s="578" t="s">
        <v>2395</v>
      </c>
      <c r="B731" s="578" t="s">
        <v>2396</v>
      </c>
      <c r="C731">
        <v>0</v>
      </c>
      <c r="D731" s="513">
        <v>-3624.23</v>
      </c>
      <c r="E731">
        <f>VLOOKUP(A731,Ucto_HK_summ!$A$2:$G$963,7,FALSE)</f>
        <v>-3624.23</v>
      </c>
    </row>
    <row r="732" spans="1:5">
      <c r="A732" s="578" t="s">
        <v>2397</v>
      </c>
      <c r="B732" s="578" t="s">
        <v>2398</v>
      </c>
      <c r="C732">
        <v>0</v>
      </c>
      <c r="D732" s="513">
        <v>-14114.7</v>
      </c>
      <c r="E732">
        <f>VLOOKUP(A732,Ucto_HK_summ!$A$2:$G$963,7,FALSE)</f>
        <v>-14114.7</v>
      </c>
    </row>
    <row r="733" spans="1:5" s="331" customFormat="1">
      <c r="A733" s="581" t="s">
        <v>2399</v>
      </c>
      <c r="B733" s="581" t="s">
        <v>2400</v>
      </c>
      <c r="C733" s="331">
        <v>0</v>
      </c>
      <c r="D733" s="582">
        <v>-4757.8599999999997</v>
      </c>
      <c r="E733">
        <f>VLOOKUP(A733,Ucto_HK_summ!$A$2:$G$963,7,FALSE)</f>
        <v>-4757.8599999999997</v>
      </c>
    </row>
    <row r="734" spans="1:5" s="331" customFormat="1">
      <c r="A734" s="581" t="s">
        <v>2401</v>
      </c>
      <c r="B734" s="581" t="s">
        <v>2402</v>
      </c>
      <c r="C734" s="331">
        <v>0</v>
      </c>
      <c r="D734" s="582">
        <v>-5719.04</v>
      </c>
      <c r="E734">
        <f>VLOOKUP(A734,Ucto_HK_summ!$A$2:$G$963,7,FALSE)</f>
        <v>-5719.04</v>
      </c>
    </row>
    <row r="735" spans="1:5" s="331" customFormat="1">
      <c r="A735" s="581" t="s">
        <v>2403</v>
      </c>
      <c r="B735" s="581" t="s">
        <v>2404</v>
      </c>
      <c r="C735" s="331">
        <v>0</v>
      </c>
      <c r="D735" s="331">
        <v>-30.12</v>
      </c>
      <c r="E735">
        <f>VLOOKUP(A735,Ucto_HK_summ!$A$2:$G$963,7,FALSE)</f>
        <v>-30.12</v>
      </c>
    </row>
    <row r="736" spans="1:5" s="331" customFormat="1">
      <c r="A736" s="581" t="s">
        <v>2405</v>
      </c>
      <c r="B736" s="581" t="s">
        <v>2406</v>
      </c>
      <c r="C736" s="331">
        <v>0</v>
      </c>
      <c r="D736" s="582">
        <v>-17787.419999999998</v>
      </c>
      <c r="E736">
        <f>VLOOKUP(A736,Ucto_HK_summ!$A$2:$G$963,7,FALSE)</f>
        <v>-17787.419999999998</v>
      </c>
    </row>
    <row r="737" spans="1:5" s="331" customFormat="1">
      <c r="A737" s="581" t="s">
        <v>2407</v>
      </c>
      <c r="B737" s="581" t="s">
        <v>2408</v>
      </c>
      <c r="C737" s="331">
        <v>0</v>
      </c>
      <c r="D737" s="582">
        <v>-210219.75</v>
      </c>
      <c r="E737">
        <f>VLOOKUP(A737,Ucto_HK_summ!$A$2:$G$963,7,FALSE)</f>
        <v>-210219.75</v>
      </c>
    </row>
    <row r="738" spans="1:5" s="331" customFormat="1">
      <c r="A738" s="581" t="s">
        <v>2409</v>
      </c>
      <c r="B738" s="581" t="s">
        <v>2410</v>
      </c>
      <c r="C738" s="331">
        <v>0</v>
      </c>
      <c r="D738" s="582">
        <v>-174006.93</v>
      </c>
      <c r="E738">
        <f>VLOOKUP(A738,Ucto_HK_summ!$A$2:$G$963,7,FALSE)</f>
        <v>-174006.93</v>
      </c>
    </row>
    <row r="739" spans="1:5" s="331" customFormat="1">
      <c r="A739" s="581" t="s">
        <v>2411</v>
      </c>
      <c r="B739" s="581" t="s">
        <v>2412</v>
      </c>
      <c r="C739" s="331">
        <v>0</v>
      </c>
      <c r="D739" s="583">
        <v>-19150</v>
      </c>
      <c r="E739">
        <f>VLOOKUP(A739,Ucto_HK_summ!$A$2:$G$963,7,FALSE)</f>
        <v>-19150</v>
      </c>
    </row>
    <row r="740" spans="1:5" s="331" customFormat="1">
      <c r="A740" s="581" t="s">
        <v>2413</v>
      </c>
      <c r="B740" s="581" t="s">
        <v>2414</v>
      </c>
      <c r="C740" s="331">
        <v>0</v>
      </c>
      <c r="D740" s="582">
        <v>-88883.64</v>
      </c>
      <c r="E740">
        <f>VLOOKUP(A740,Ucto_HK_summ!$A$2:$G$963,7,FALSE)</f>
        <v>-88883.64</v>
      </c>
    </row>
    <row r="741" spans="1:5" s="331" customFormat="1">
      <c r="A741" s="581" t="s">
        <v>2415</v>
      </c>
      <c r="B741" s="581" t="s">
        <v>2416</v>
      </c>
      <c r="C741" s="331">
        <v>0</v>
      </c>
      <c r="D741" s="582">
        <v>-161523.6</v>
      </c>
      <c r="E741">
        <f>VLOOKUP(A741,Ucto_HK_summ!$A$2:$G$963,7,FALSE)</f>
        <v>-161523.6</v>
      </c>
    </row>
    <row r="742" spans="1:5">
      <c r="A742" s="578" t="s">
        <v>2417</v>
      </c>
      <c r="B742" s="578" t="s">
        <v>2418</v>
      </c>
      <c r="C742">
        <v>0</v>
      </c>
      <c r="D742" s="513">
        <v>-723828.63</v>
      </c>
      <c r="E742">
        <f>VLOOKUP(A742,Ucto_HK_summ!$A$2:$G$963,7,FALSE)</f>
        <v>-723828.63</v>
      </c>
    </row>
    <row r="743" spans="1:5">
      <c r="A743" s="578" t="s">
        <v>2419</v>
      </c>
      <c r="B743" s="578" t="s">
        <v>2420</v>
      </c>
      <c r="C743">
        <v>0</v>
      </c>
      <c r="D743" s="550">
        <v>-16325</v>
      </c>
      <c r="E743">
        <f>VLOOKUP(A743,Ucto_HK_summ!$A$2:$G$963,7,FALSE)</f>
        <v>-16325</v>
      </c>
    </row>
    <row r="744" spans="1:5">
      <c r="A744" s="578" t="s">
        <v>2421</v>
      </c>
      <c r="B744" s="578" t="s">
        <v>2422</v>
      </c>
      <c r="C744">
        <v>0</v>
      </c>
      <c r="D744" s="550">
        <v>-35090</v>
      </c>
      <c r="E744">
        <f>VLOOKUP(A744,Ucto_HK_summ!$A$2:$G$963,7,FALSE)</f>
        <v>-35090</v>
      </c>
    </row>
    <row r="745" spans="1:5">
      <c r="A745" s="578" t="s">
        <v>2423</v>
      </c>
      <c r="B745" s="578" t="s">
        <v>2424</v>
      </c>
      <c r="C745">
        <v>0</v>
      </c>
      <c r="D745" s="513">
        <v>-783351.82</v>
      </c>
      <c r="E745">
        <f>VLOOKUP(A745,Ucto_HK_summ!$A$2:$G$963,7,FALSE)</f>
        <v>-783351.82</v>
      </c>
    </row>
    <row r="746" spans="1:5">
      <c r="A746" s="578" t="s">
        <v>2425</v>
      </c>
      <c r="B746" s="578" t="s">
        <v>2426</v>
      </c>
      <c r="C746">
        <v>0</v>
      </c>
      <c r="D746" s="513">
        <v>-3515.28</v>
      </c>
      <c r="E746">
        <f>VLOOKUP(A746,Ucto_HK_summ!$A$2:$G$963,7,FALSE)</f>
        <v>-3515.28</v>
      </c>
    </row>
    <row r="747" spans="1:5">
      <c r="A747" s="578" t="s">
        <v>2427</v>
      </c>
      <c r="B747" s="578" t="s">
        <v>1652</v>
      </c>
      <c r="C747">
        <v>0</v>
      </c>
      <c r="D747" s="513">
        <v>-50192.01</v>
      </c>
      <c r="E747">
        <f>VLOOKUP(A747,Ucto_HK_summ!$A$2:$G$963,7,FALSE)</f>
        <v>-50192.01</v>
      </c>
    </row>
    <row r="748" spans="1:5">
      <c r="A748" s="578" t="s">
        <v>2428</v>
      </c>
      <c r="B748" s="578" t="s">
        <v>2429</v>
      </c>
      <c r="C748">
        <v>0</v>
      </c>
      <c r="D748">
        <v>-82.8</v>
      </c>
      <c r="E748">
        <f>VLOOKUP(A748,Ucto_HK_summ!$A$2:$G$963,7,FALSE)</f>
        <v>-82.8</v>
      </c>
    </row>
    <row r="749" spans="1:5">
      <c r="A749" s="578" t="s">
        <v>2430</v>
      </c>
      <c r="B749" s="578" t="s">
        <v>2431</v>
      </c>
      <c r="C749">
        <v>0</v>
      </c>
      <c r="D749" s="550">
        <v>-376364</v>
      </c>
      <c r="E749">
        <f>VLOOKUP(A749,Ucto_HK_summ!$A$2:$G$963,7,FALSE)</f>
        <v>-376364</v>
      </c>
    </row>
    <row r="750" spans="1:5">
      <c r="A750" s="578" t="s">
        <v>2432</v>
      </c>
      <c r="B750" s="578" t="s">
        <v>2433</v>
      </c>
      <c r="C750">
        <v>0</v>
      </c>
      <c r="D750" s="513">
        <v>-676554.18</v>
      </c>
      <c r="E750">
        <f>VLOOKUP(A750,Ucto_HK_summ!$A$2:$G$963,7,FALSE)</f>
        <v>-676554.18</v>
      </c>
    </row>
    <row r="751" spans="1:5">
      <c r="A751" s="578" t="s">
        <v>2434</v>
      </c>
      <c r="B751" s="578" t="s">
        <v>2435</v>
      </c>
      <c r="C751">
        <v>0</v>
      </c>
      <c r="D751" s="513">
        <v>-20508.240000000002</v>
      </c>
      <c r="E751">
        <f>VLOOKUP(A751,Ucto_HK_summ!$A$2:$G$963,7,FALSE)</f>
        <v>-20508.240000000002</v>
      </c>
    </row>
    <row r="752" spans="1:5">
      <c r="A752" s="578" t="s">
        <v>2436</v>
      </c>
      <c r="B752" s="578" t="s">
        <v>2437</v>
      </c>
      <c r="C752">
        <v>0</v>
      </c>
      <c r="D752">
        <v>-574.91999999999996</v>
      </c>
      <c r="E752">
        <f>VLOOKUP(A752,Ucto_HK_summ!$A$2:$G$963,7,FALSE)</f>
        <v>-574.91999999999996</v>
      </c>
    </row>
    <row r="753" spans="1:5">
      <c r="A753" s="578" t="s">
        <v>2438</v>
      </c>
      <c r="B753" s="578" t="s">
        <v>2439</v>
      </c>
      <c r="C753">
        <v>0</v>
      </c>
      <c r="D753" s="513">
        <v>-15193.05</v>
      </c>
      <c r="E753">
        <f>VLOOKUP(A753,Ucto_HK_summ!$A$2:$G$963,7,FALSE)</f>
        <v>-15193.05</v>
      </c>
    </row>
    <row r="754" spans="1:5">
      <c r="A754" s="578" t="s">
        <v>2440</v>
      </c>
      <c r="B754" s="578" t="s">
        <v>2441</v>
      </c>
      <c r="C754">
        <v>0</v>
      </c>
      <c r="D754" s="513">
        <v>-218769.42</v>
      </c>
      <c r="E754">
        <f>VLOOKUP(A754,Ucto_HK_summ!$A$2:$G$963,7,FALSE)</f>
        <v>-218769.42</v>
      </c>
    </row>
    <row r="755" spans="1:5">
      <c r="A755" s="578" t="s">
        <v>2442</v>
      </c>
      <c r="B755" s="578" t="s">
        <v>2443</v>
      </c>
      <c r="C755">
        <v>0</v>
      </c>
      <c r="D755" s="513">
        <v>-8121.45</v>
      </c>
      <c r="E755">
        <f>VLOOKUP(A755,Ucto_HK_summ!$A$2:$G$963,7,FALSE)</f>
        <v>-8121.45</v>
      </c>
    </row>
    <row r="756" spans="1:5" s="331" customFormat="1">
      <c r="A756" s="581" t="s">
        <v>2444</v>
      </c>
      <c r="B756" s="581" t="s">
        <v>2445</v>
      </c>
      <c r="C756" s="331">
        <v>0</v>
      </c>
      <c r="D756" s="582">
        <v>-67088.89</v>
      </c>
      <c r="E756">
        <f>VLOOKUP(A756,Ucto_HK_summ!$A$2:$G$963,7,FALSE)</f>
        <v>-67088.89</v>
      </c>
    </row>
    <row r="757" spans="1:5">
      <c r="A757" s="578" t="s">
        <v>2446</v>
      </c>
      <c r="B757" s="578" t="s">
        <v>2447</v>
      </c>
      <c r="C757">
        <v>0</v>
      </c>
      <c r="D757" s="550">
        <v>-7560</v>
      </c>
      <c r="E757">
        <f>VLOOKUP(A757,Ucto_HK_summ!$A$2:$G$963,7,FALSE)</f>
        <v>-7560</v>
      </c>
    </row>
    <row r="758" spans="1:5">
      <c r="A758" s="578" t="s">
        <v>2448</v>
      </c>
      <c r="B758" s="578" t="s">
        <v>2449</v>
      </c>
      <c r="C758">
        <v>0</v>
      </c>
      <c r="D758" s="513">
        <v>-58561.32</v>
      </c>
      <c r="E758">
        <f>VLOOKUP(A758,Ucto_HK_summ!$A$2:$G$963,7,FALSE)</f>
        <v>-58561.32</v>
      </c>
    </row>
    <row r="759" spans="1:5">
      <c r="A759" s="578" t="s">
        <v>2450</v>
      </c>
      <c r="B759" s="578" t="s">
        <v>2451</v>
      </c>
      <c r="C759">
        <v>0</v>
      </c>
      <c r="D759" s="513">
        <v>-53077.77</v>
      </c>
      <c r="E759">
        <f>VLOOKUP(A759,Ucto_HK_summ!$A$2:$G$963,7,FALSE)</f>
        <v>-53077.77</v>
      </c>
    </row>
    <row r="760" spans="1:5">
      <c r="A760" s="578" t="s">
        <v>909</v>
      </c>
      <c r="C760">
        <v>0</v>
      </c>
      <c r="D760" s="513">
        <v>-111345317.31999999</v>
      </c>
      <c r="E760">
        <f>VLOOKUP(A760,Ucto_HK_summ!$A$2:$G$963,7,FALSE)</f>
        <v>-111345317.31999999</v>
      </c>
    </row>
    <row r="761" spans="1:5">
      <c r="A761" s="578" t="s">
        <v>2452</v>
      </c>
      <c r="B761" s="578" t="s">
        <v>2453</v>
      </c>
      <c r="C761">
        <v>0</v>
      </c>
      <c r="D761" s="513">
        <v>-358457.12</v>
      </c>
      <c r="E761">
        <f>VLOOKUP(A761,Ucto_HK_summ!$A$2:$G$963,7,FALSE)</f>
        <v>-358457.12</v>
      </c>
    </row>
    <row r="762" spans="1:5">
      <c r="A762" s="578" t="s">
        <v>2454</v>
      </c>
      <c r="B762" s="578" t="s">
        <v>2455</v>
      </c>
      <c r="C762">
        <v>0</v>
      </c>
      <c r="D762" s="513">
        <v>-46217.35</v>
      </c>
      <c r="E762">
        <f>VLOOKUP(A762,Ucto_HK_summ!$A$2:$G$963,7,FALSE)</f>
        <v>-46217.35</v>
      </c>
    </row>
    <row r="763" spans="1:5">
      <c r="A763" s="578" t="s">
        <v>2456</v>
      </c>
      <c r="B763" s="578" t="s">
        <v>2457</v>
      </c>
      <c r="C763">
        <v>0</v>
      </c>
      <c r="D763" s="513">
        <v>-99634.02</v>
      </c>
      <c r="E763">
        <f>VLOOKUP(A763,Ucto_HK_summ!$A$2:$G$963,7,FALSE)</f>
        <v>-99634.02</v>
      </c>
    </row>
    <row r="764" spans="1:5">
      <c r="A764" s="578" t="s">
        <v>2458</v>
      </c>
      <c r="B764" s="578" t="s">
        <v>2459</v>
      </c>
      <c r="C764">
        <v>0</v>
      </c>
      <c r="D764" s="513">
        <v>-1292291.3400000001</v>
      </c>
      <c r="E764">
        <f>VLOOKUP(A764,Ucto_HK_summ!$A$2:$G$963,7,FALSE)</f>
        <v>-1292291.3400000001</v>
      </c>
    </row>
    <row r="765" spans="1:5">
      <c r="A765" s="578" t="s">
        <v>2460</v>
      </c>
      <c r="B765" s="578" t="s">
        <v>2461</v>
      </c>
      <c r="C765">
        <v>0</v>
      </c>
      <c r="D765" s="513">
        <v>-5083.1000000000004</v>
      </c>
      <c r="E765">
        <f>VLOOKUP(A765,Ucto_HK_summ!$A$2:$G$963,7,FALSE)</f>
        <v>-5083.1000000000004</v>
      </c>
    </row>
    <row r="766" spans="1:5">
      <c r="A766" s="578" t="s">
        <v>2462</v>
      </c>
      <c r="B766" s="578" t="s">
        <v>2463</v>
      </c>
      <c r="C766">
        <v>0</v>
      </c>
      <c r="D766" s="513">
        <v>-472299.4</v>
      </c>
      <c r="E766">
        <f>VLOOKUP(A766,Ucto_HK_summ!$A$2:$G$963,7,FALSE)</f>
        <v>-472299.4</v>
      </c>
    </row>
    <row r="767" spans="1:5">
      <c r="A767" s="578" t="s">
        <v>2464</v>
      </c>
      <c r="B767" s="578" t="s">
        <v>2465</v>
      </c>
      <c r="C767">
        <v>0</v>
      </c>
      <c r="D767">
        <v>-833.49</v>
      </c>
      <c r="E767">
        <f>VLOOKUP(A767,Ucto_HK_summ!$A$2:$G$963,7,FALSE)</f>
        <v>-833.49</v>
      </c>
    </row>
    <row r="768" spans="1:5">
      <c r="A768" s="578" t="s">
        <v>2466</v>
      </c>
      <c r="B768" s="578" t="s">
        <v>2467</v>
      </c>
      <c r="C768">
        <v>0</v>
      </c>
      <c r="D768" s="513">
        <v>-133466.99</v>
      </c>
      <c r="E768">
        <f>VLOOKUP(A768,Ucto_HK_summ!$A$2:$G$963,7,FALSE)</f>
        <v>-133466.99</v>
      </c>
    </row>
    <row r="769" spans="1:5">
      <c r="A769" s="578" t="s">
        <v>2468</v>
      </c>
      <c r="B769" s="578" t="s">
        <v>2469</v>
      </c>
      <c r="C769">
        <v>0</v>
      </c>
      <c r="D769">
        <v>-841.78</v>
      </c>
      <c r="E769">
        <f>VLOOKUP(A769,Ucto_HK_summ!$A$2:$G$963,7,FALSE)</f>
        <v>-841.78</v>
      </c>
    </row>
    <row r="770" spans="1:5">
      <c r="A770" s="578" t="s">
        <v>2470</v>
      </c>
      <c r="C770">
        <v>0</v>
      </c>
      <c r="D770" s="513">
        <v>-2409124.59</v>
      </c>
      <c r="E770">
        <f>VLOOKUP(A770,Ucto_HK_summ!$A$2:$G$963,7,FALSE)</f>
        <v>-2409124.59</v>
      </c>
    </row>
    <row r="771" spans="1:5">
      <c r="A771" s="577" t="s">
        <v>2471</v>
      </c>
      <c r="C771" s="369">
        <v>0</v>
      </c>
      <c r="D771" s="579">
        <v>-113754441.91</v>
      </c>
      <c r="E771">
        <f>VLOOKUP(A771,Ucto_HK_summ!$A$2:$G$963,7,FALSE)</f>
        <v>-113754441.91</v>
      </c>
    </row>
    <row r="773" spans="1:5">
      <c r="A773" s="578" t="s">
        <v>2472</v>
      </c>
      <c r="B773" s="578" t="s">
        <v>2473</v>
      </c>
      <c r="C773">
        <v>0</v>
      </c>
      <c r="D773" s="513">
        <v>-32349.200000000001</v>
      </c>
      <c r="E773">
        <f>VLOOKUP(A773,Ucto_HK_summ!$A$2:$G$963,7,FALSE)</f>
        <v>-32349.200000000001</v>
      </c>
    </row>
    <row r="774" spans="1:5">
      <c r="A774" s="578" t="s">
        <v>924</v>
      </c>
      <c r="C774">
        <v>0</v>
      </c>
      <c r="D774" s="513">
        <v>-32349.200000000001</v>
      </c>
      <c r="E774">
        <f>VLOOKUP(A774,Ucto_HK_summ!$A$2:$G$963,7,FALSE)</f>
        <v>-32349.200000000001</v>
      </c>
    </row>
    <row r="775" spans="1:5">
      <c r="A775" s="577" t="s">
        <v>2474</v>
      </c>
      <c r="C775" s="369">
        <v>0</v>
      </c>
      <c r="D775" s="579">
        <v>-32349.200000000001</v>
      </c>
      <c r="E775">
        <f>VLOOKUP(A775,Ucto_HK_summ!$A$2:$G$963,7,FALSE)</f>
        <v>-32349.200000000001</v>
      </c>
    </row>
    <row r="777" spans="1:5">
      <c r="A777" s="578" t="s">
        <v>2475</v>
      </c>
      <c r="B777" s="578" t="s">
        <v>2476</v>
      </c>
      <c r="C777">
        <v>0</v>
      </c>
      <c r="D777" s="513">
        <v>-4621.63</v>
      </c>
      <c r="E777">
        <f>VLOOKUP(A777,Ucto_HK_summ!$A$2:$G$963,7,FALSE)</f>
        <v>-4621.63</v>
      </c>
    </row>
    <row r="778" spans="1:5">
      <c r="A778" s="578" t="s">
        <v>938</v>
      </c>
      <c r="C778">
        <v>0</v>
      </c>
      <c r="D778" s="513">
        <v>-4621.63</v>
      </c>
      <c r="E778">
        <f>VLOOKUP(A778,Ucto_HK_summ!$A$2:$G$963,7,FALSE)</f>
        <v>-4621.63</v>
      </c>
    </row>
    <row r="779" spans="1:5">
      <c r="A779" s="578" t="s">
        <v>2477</v>
      </c>
      <c r="B779" s="578" t="s">
        <v>2478</v>
      </c>
      <c r="C779">
        <v>0</v>
      </c>
      <c r="D779" s="513">
        <v>-1164.8</v>
      </c>
      <c r="E779">
        <f>VLOOKUP(A779,Ucto_HK_summ!$A$2:$G$963,7,FALSE)</f>
        <v>-1164.8</v>
      </c>
    </row>
    <row r="780" spans="1:5">
      <c r="A780" s="578" t="s">
        <v>2479</v>
      </c>
      <c r="B780" s="578" t="s">
        <v>2480</v>
      </c>
      <c r="C780">
        <v>0</v>
      </c>
      <c r="D780" s="513">
        <v>-39242.85</v>
      </c>
      <c r="E780">
        <f>VLOOKUP(A780,Ucto_HK_summ!$A$2:$G$963,7,FALSE)</f>
        <v>-39242.85</v>
      </c>
    </row>
    <row r="781" spans="1:5">
      <c r="A781" s="578" t="s">
        <v>942</v>
      </c>
      <c r="C781">
        <v>0</v>
      </c>
      <c r="D781" s="513">
        <v>-40407.65</v>
      </c>
      <c r="E781">
        <f>VLOOKUP(A781,Ucto_HK_summ!$A$2:$G$963,7,FALSE)</f>
        <v>-40407.65</v>
      </c>
    </row>
    <row r="782" spans="1:5">
      <c r="A782" s="578" t="s">
        <v>2481</v>
      </c>
      <c r="B782" s="578" t="s">
        <v>2482</v>
      </c>
      <c r="C782">
        <v>0</v>
      </c>
      <c r="D782" s="513">
        <v>-92483.94</v>
      </c>
      <c r="E782">
        <f>VLOOKUP(A782,Ucto_HK_summ!$A$2:$G$963,7,FALSE)</f>
        <v>-92483.94</v>
      </c>
    </row>
    <row r="783" spans="1:5">
      <c r="A783" s="578" t="s">
        <v>2483</v>
      </c>
      <c r="B783" s="578" t="s">
        <v>2484</v>
      </c>
      <c r="C783">
        <v>0</v>
      </c>
      <c r="D783" s="513">
        <v>-46886.21</v>
      </c>
      <c r="E783">
        <f>VLOOKUP(A783,Ucto_HK_summ!$A$2:$G$963,7,FALSE)</f>
        <v>-46886.21</v>
      </c>
    </row>
    <row r="784" spans="1:5">
      <c r="A784" s="578" t="s">
        <v>2485</v>
      </c>
      <c r="B784" s="578" t="s">
        <v>2486</v>
      </c>
      <c r="C784">
        <v>0</v>
      </c>
      <c r="D784">
        <v>-49.95</v>
      </c>
      <c r="E784">
        <f>VLOOKUP(A784,Ucto_HK_summ!$A$2:$G$963,7,FALSE)</f>
        <v>-49.95</v>
      </c>
    </row>
    <row r="785" spans="1:5">
      <c r="A785" s="578" t="s">
        <v>2487</v>
      </c>
      <c r="B785" s="578" t="s">
        <v>2488</v>
      </c>
      <c r="C785">
        <v>0</v>
      </c>
      <c r="D785" s="513">
        <v>-13395.14</v>
      </c>
      <c r="E785">
        <f>VLOOKUP(A785,Ucto_HK_summ!$A$2:$G$963,7,FALSE)</f>
        <v>-13395.14</v>
      </c>
    </row>
    <row r="786" spans="1:5">
      <c r="A786" s="578" t="s">
        <v>2489</v>
      </c>
      <c r="B786" s="578" t="s">
        <v>2490</v>
      </c>
      <c r="C786">
        <v>0</v>
      </c>
      <c r="D786" s="513">
        <v>-3217.89</v>
      </c>
      <c r="E786">
        <f>VLOOKUP(A786,Ucto_HK_summ!$A$2:$G$963,7,FALSE)</f>
        <v>-3217.89</v>
      </c>
    </row>
    <row r="787" spans="1:5">
      <c r="A787" s="578" t="s">
        <v>2491</v>
      </c>
      <c r="B787" s="578" t="s">
        <v>2492</v>
      </c>
      <c r="C787">
        <v>0</v>
      </c>
      <c r="D787">
        <v>-36.58</v>
      </c>
      <c r="E787">
        <f>VLOOKUP(A787,Ucto_HK_summ!$A$2:$G$963,7,FALSE)</f>
        <v>-36.58</v>
      </c>
    </row>
    <row r="788" spans="1:5">
      <c r="A788" s="578" t="s">
        <v>2493</v>
      </c>
      <c r="B788" s="578" t="s">
        <v>2494</v>
      </c>
      <c r="C788">
        <v>0</v>
      </c>
      <c r="D788" s="513">
        <v>-6667.45</v>
      </c>
      <c r="E788">
        <f>VLOOKUP(A788,Ucto_HK_summ!$A$2:$G$963,7,FALSE)</f>
        <v>-6667.45</v>
      </c>
    </row>
    <row r="789" spans="1:5">
      <c r="A789" s="578" t="s">
        <v>2495</v>
      </c>
      <c r="B789" s="578" t="s">
        <v>2496</v>
      </c>
      <c r="C789">
        <v>0</v>
      </c>
      <c r="D789">
        <v>-245.58</v>
      </c>
      <c r="E789">
        <f>VLOOKUP(A789,Ucto_HK_summ!$A$2:$G$963,7,FALSE)</f>
        <v>-245.58</v>
      </c>
    </row>
    <row r="790" spans="1:5">
      <c r="A790" s="578" t="s">
        <v>2497</v>
      </c>
      <c r="B790" s="578" t="s">
        <v>2498</v>
      </c>
      <c r="C790">
        <v>0</v>
      </c>
      <c r="D790" s="513">
        <v>-68633.710000000006</v>
      </c>
      <c r="E790">
        <f>VLOOKUP(A790,Ucto_HK_summ!$A$2:$G$963,7,FALSE)</f>
        <v>-68633.710000000006</v>
      </c>
    </row>
    <row r="791" spans="1:5">
      <c r="A791" s="578" t="s">
        <v>2499</v>
      </c>
      <c r="B791" s="578" t="s">
        <v>2500</v>
      </c>
      <c r="C791">
        <v>0</v>
      </c>
      <c r="D791" s="513">
        <v>-8581800.4299999997</v>
      </c>
      <c r="E791">
        <f>VLOOKUP(A791,Ucto_HK_summ!$A$2:$G$963,7,FALSE)</f>
        <v>-8581800.4299999997</v>
      </c>
    </row>
    <row r="792" spans="1:5">
      <c r="A792" s="578" t="s">
        <v>2501</v>
      </c>
      <c r="B792" s="578" t="s">
        <v>2502</v>
      </c>
      <c r="C792">
        <v>0</v>
      </c>
      <c r="D792" s="513">
        <v>-22092950.789999999</v>
      </c>
      <c r="E792">
        <f>VLOOKUP(A792,Ucto_HK_summ!$A$2:$G$963,7,FALSE)</f>
        <v>-22092950.789999999</v>
      </c>
    </row>
    <row r="793" spans="1:5">
      <c r="A793" s="578" t="s">
        <v>2503</v>
      </c>
      <c r="B793" s="578" t="s">
        <v>2504</v>
      </c>
      <c r="C793">
        <v>0</v>
      </c>
      <c r="D793" s="513">
        <v>-33784.660000000003</v>
      </c>
      <c r="E793">
        <f>VLOOKUP(A793,Ucto_HK_summ!$A$2:$G$963,7,FALSE)</f>
        <v>-33784.660000000003</v>
      </c>
    </row>
    <row r="794" spans="1:5">
      <c r="A794" s="578" t="s">
        <v>2505</v>
      </c>
      <c r="B794" s="578" t="s">
        <v>2506</v>
      </c>
      <c r="C794">
        <v>0</v>
      </c>
      <c r="D794">
        <v>-333.83</v>
      </c>
      <c r="E794">
        <f>VLOOKUP(A794,Ucto_HK_summ!$A$2:$G$963,7,FALSE)</f>
        <v>-333.83</v>
      </c>
    </row>
    <row r="795" spans="1:5">
      <c r="A795" s="578" t="s">
        <v>2507</v>
      </c>
      <c r="B795" s="578" t="s">
        <v>2508</v>
      </c>
      <c r="C795">
        <v>0</v>
      </c>
      <c r="D795" s="513">
        <v>-2305.27</v>
      </c>
      <c r="E795">
        <f>VLOOKUP(A795,Ucto_HK_summ!$A$2:$G$963,7,FALSE)</f>
        <v>-2305.27</v>
      </c>
    </row>
    <row r="796" spans="1:5">
      <c r="A796" s="578" t="s">
        <v>946</v>
      </c>
      <c r="C796">
        <v>0</v>
      </c>
      <c r="D796" s="513">
        <v>-30942791.43</v>
      </c>
      <c r="E796">
        <f>VLOOKUP(A796,Ucto_HK_summ!$A$2:$G$963,7,FALSE)</f>
        <v>-30942791.43</v>
      </c>
    </row>
    <row r="797" spans="1:5">
      <c r="A797" s="577" t="s">
        <v>2509</v>
      </c>
      <c r="C797" s="369">
        <v>0</v>
      </c>
      <c r="D797" s="579">
        <v>-30987820.710000001</v>
      </c>
      <c r="E797">
        <f>VLOOKUP(A797,Ucto_HK_summ!$A$2:$G$963,7,FALSE)</f>
        <v>-30987820.710000001</v>
      </c>
    </row>
    <row r="799" spans="1:5">
      <c r="A799" s="578" t="s">
        <v>2510</v>
      </c>
      <c r="B799" s="578" t="s">
        <v>2511</v>
      </c>
      <c r="C799">
        <v>0</v>
      </c>
      <c r="D799" s="513">
        <v>-19077.52</v>
      </c>
      <c r="E799">
        <f>VLOOKUP(A799,Ucto_HK_summ!$A$2:$G$963,7,FALSE)</f>
        <v>-19077.52</v>
      </c>
    </row>
    <row r="800" spans="1:5">
      <c r="A800" s="578" t="s">
        <v>2512</v>
      </c>
      <c r="B800" s="578" t="s">
        <v>2513</v>
      </c>
      <c r="C800">
        <v>0</v>
      </c>
      <c r="D800" s="513">
        <v>-6667.74</v>
      </c>
      <c r="E800">
        <f>VLOOKUP(A800,Ucto_HK_summ!$A$2:$G$963,7,FALSE)</f>
        <v>-6667.74</v>
      </c>
    </row>
    <row r="801" spans="1:5">
      <c r="A801" s="578" t="s">
        <v>950</v>
      </c>
      <c r="C801">
        <v>0</v>
      </c>
      <c r="D801" s="513">
        <v>-25745.26</v>
      </c>
      <c r="E801">
        <f>VLOOKUP(A801,Ucto_HK_summ!$A$2:$G$963,7,FALSE)</f>
        <v>-25745.26</v>
      </c>
    </row>
    <row r="802" spans="1:5">
      <c r="A802" s="578" t="s">
        <v>2514</v>
      </c>
      <c r="B802" s="578" t="s">
        <v>2515</v>
      </c>
      <c r="C802">
        <v>0</v>
      </c>
      <c r="D802" s="513">
        <v>-46238.97</v>
      </c>
      <c r="E802">
        <f>VLOOKUP(A802,Ucto_HK_summ!$A$2:$G$963,7,FALSE)</f>
        <v>-46238.97</v>
      </c>
    </row>
    <row r="803" spans="1:5">
      <c r="A803" s="578" t="s">
        <v>2516</v>
      </c>
      <c r="B803" s="578" t="s">
        <v>2517</v>
      </c>
      <c r="C803">
        <v>0</v>
      </c>
      <c r="D803" s="513">
        <v>-725338.73</v>
      </c>
      <c r="E803">
        <f>VLOOKUP(A803,Ucto_HK_summ!$A$2:$G$963,7,FALSE)</f>
        <v>-725338.73</v>
      </c>
    </row>
    <row r="804" spans="1:5">
      <c r="A804" s="578" t="s">
        <v>952</v>
      </c>
      <c r="C804">
        <v>0</v>
      </c>
      <c r="D804" s="513">
        <v>-771577.7</v>
      </c>
      <c r="E804">
        <f>VLOOKUP(A804,Ucto_HK_summ!$A$2:$G$963,7,FALSE)</f>
        <v>-771577.7</v>
      </c>
    </row>
    <row r="805" spans="1:5">
      <c r="A805" s="578" t="s">
        <v>2518</v>
      </c>
      <c r="B805" s="578" t="s">
        <v>2519</v>
      </c>
      <c r="C805">
        <v>0</v>
      </c>
      <c r="D805" s="513">
        <v>-44851.94</v>
      </c>
      <c r="E805">
        <f>VLOOKUP(A805,Ucto_HK_summ!$A$2:$G$963,7,FALSE)</f>
        <v>-44851.94</v>
      </c>
    </row>
    <row r="806" spans="1:5">
      <c r="A806" s="578" t="s">
        <v>956</v>
      </c>
      <c r="C806">
        <v>0</v>
      </c>
      <c r="D806" s="513">
        <v>-44851.94</v>
      </c>
      <c r="E806">
        <f>VLOOKUP(A806,Ucto_HK_summ!$A$2:$G$963,7,FALSE)</f>
        <v>-44851.94</v>
      </c>
    </row>
    <row r="807" spans="1:5">
      <c r="A807" s="577" t="s">
        <v>2520</v>
      </c>
      <c r="C807" s="369">
        <v>0</v>
      </c>
      <c r="D807" s="579">
        <v>-842174.9</v>
      </c>
      <c r="E807">
        <f>VLOOKUP(A807,Ucto_HK_summ!$A$2:$G$963,7,FALSE)</f>
        <v>-842174.9</v>
      </c>
    </row>
    <row r="809" spans="1:5">
      <c r="A809" s="578" t="s">
        <v>2521</v>
      </c>
      <c r="B809" s="578" t="s">
        <v>2522</v>
      </c>
      <c r="C809">
        <v>0</v>
      </c>
      <c r="D809">
        <v>-496.01</v>
      </c>
      <c r="E809">
        <f>VLOOKUP(A809,Ucto_HK_summ!$A$2:$G$963,7,FALSE)</f>
        <v>-496.01</v>
      </c>
    </row>
    <row r="810" spans="1:5">
      <c r="A810" s="578" t="s">
        <v>967</v>
      </c>
      <c r="C810">
        <v>0</v>
      </c>
      <c r="D810">
        <v>-496.01</v>
      </c>
      <c r="E810">
        <f>VLOOKUP(A810,Ucto_HK_summ!$A$2:$G$963,7,FALSE)</f>
        <v>-496.01</v>
      </c>
    </row>
    <row r="811" spans="1:5">
      <c r="A811" s="578" t="s">
        <v>2523</v>
      </c>
      <c r="B811" s="578" t="s">
        <v>2524</v>
      </c>
      <c r="C811">
        <v>0</v>
      </c>
      <c r="D811">
        <v>-44.95</v>
      </c>
      <c r="E811">
        <f>VLOOKUP(A811,Ucto_HK_summ!$A$2:$G$963,7,FALSE)</f>
        <v>-44.95</v>
      </c>
    </row>
    <row r="812" spans="1:5">
      <c r="A812" s="578" t="s">
        <v>2525</v>
      </c>
      <c r="B812" s="578" t="s">
        <v>2526</v>
      </c>
      <c r="C812">
        <v>0</v>
      </c>
      <c r="D812">
        <v>-32.96</v>
      </c>
      <c r="E812">
        <f>VLOOKUP(A812,Ucto_HK_summ!$A$2:$G$963,7,FALSE)</f>
        <v>-32.96</v>
      </c>
    </row>
    <row r="813" spans="1:5">
      <c r="A813" s="578" t="s">
        <v>968</v>
      </c>
      <c r="C813">
        <v>0</v>
      </c>
      <c r="D813">
        <v>-77.91</v>
      </c>
      <c r="E813">
        <f>VLOOKUP(A813,Ucto_HK_summ!$A$2:$G$963,7,FALSE)</f>
        <v>-77.91</v>
      </c>
    </row>
    <row r="814" spans="1:5">
      <c r="A814" s="578" t="s">
        <v>2527</v>
      </c>
      <c r="B814" s="578" t="s">
        <v>978</v>
      </c>
      <c r="C814">
        <v>0</v>
      </c>
      <c r="D814">
        <v>-156.80000000000001</v>
      </c>
      <c r="E814">
        <f>VLOOKUP(A814,Ucto_HK_summ!$A$2:$G$963,7,FALSE)</f>
        <v>-156.80000000000001</v>
      </c>
    </row>
    <row r="815" spans="1:5">
      <c r="A815" s="578" t="s">
        <v>2528</v>
      </c>
      <c r="B815" s="578" t="s">
        <v>2529</v>
      </c>
      <c r="C815">
        <v>0</v>
      </c>
      <c r="D815">
        <v>-0.12</v>
      </c>
      <c r="E815">
        <f>VLOOKUP(A815,Ucto_HK_summ!$A$2:$G$963,7,FALSE)</f>
        <v>-0.12</v>
      </c>
    </row>
    <row r="816" spans="1:5">
      <c r="A816" s="578" t="s">
        <v>977</v>
      </c>
      <c r="C816">
        <v>0</v>
      </c>
      <c r="D816">
        <v>-156.91999999999999</v>
      </c>
      <c r="E816">
        <f>VLOOKUP(A816,Ucto_HK_summ!$A$2:$G$963,7,FALSE)</f>
        <v>-156.91999999999999</v>
      </c>
    </row>
    <row r="817" spans="1:5">
      <c r="A817" s="577" t="s">
        <v>2530</v>
      </c>
      <c r="C817" s="369">
        <v>0</v>
      </c>
      <c r="D817" s="369">
        <v>-730.84</v>
      </c>
      <c r="E817">
        <f>VLOOKUP(A817,Ucto_HK_summ!$A$2:$G$963,7,FALSE)</f>
        <v>-730.84</v>
      </c>
    </row>
    <row r="819" spans="1:5">
      <c r="A819" s="578" t="s">
        <v>2531</v>
      </c>
      <c r="B819" s="578" t="s">
        <v>987</v>
      </c>
      <c r="C819">
        <v>0</v>
      </c>
      <c r="D819" s="513">
        <v>-31555.13</v>
      </c>
      <c r="E819">
        <f>VLOOKUP(A819,Ucto_HK_summ!$A$2:$G$963,7,FALSE)</f>
        <v>-31555.13</v>
      </c>
    </row>
    <row r="820" spans="1:5">
      <c r="A820" s="578" t="s">
        <v>986</v>
      </c>
      <c r="C820">
        <v>0</v>
      </c>
      <c r="D820" s="513">
        <v>-31555.13</v>
      </c>
      <c r="E820">
        <f>VLOOKUP(A820,Ucto_HK_summ!$A$2:$G$963,7,FALSE)</f>
        <v>-31555.13</v>
      </c>
    </row>
    <row r="821" spans="1:5">
      <c r="A821" s="577" t="s">
        <v>2532</v>
      </c>
      <c r="C821" s="369">
        <v>0</v>
      </c>
      <c r="D821" s="579">
        <v>-31555.13</v>
      </c>
      <c r="E821">
        <f>VLOOKUP(A821,Ucto_HK_summ!$A$2:$G$963,7,FALSE)</f>
        <v>-31555.13</v>
      </c>
    </row>
    <row r="823" spans="1:5">
      <c r="A823" s="578" t="s">
        <v>2533</v>
      </c>
      <c r="B823" s="578" t="s">
        <v>2534</v>
      </c>
      <c r="C823">
        <v>0</v>
      </c>
      <c r="D823" s="550">
        <v>-438702</v>
      </c>
      <c r="E823">
        <f>VLOOKUP(A823,Ucto_HK_summ!$A$2:$G$963,7,FALSE)</f>
        <v>-438702</v>
      </c>
    </row>
    <row r="824" spans="1:5">
      <c r="A824" s="578" t="s">
        <v>2535</v>
      </c>
      <c r="B824" s="578" t="s">
        <v>2536</v>
      </c>
      <c r="C824">
        <v>0</v>
      </c>
      <c r="D824" s="513">
        <v>-97392.24</v>
      </c>
      <c r="E824">
        <f>VLOOKUP(A824,Ucto_HK_summ!$A$2:$G$963,7,FALSE)</f>
        <v>-97392.24</v>
      </c>
    </row>
    <row r="825" spans="1:5">
      <c r="A825" s="578" t="s">
        <v>2537</v>
      </c>
      <c r="B825" s="578" t="s">
        <v>2538</v>
      </c>
      <c r="C825">
        <v>0</v>
      </c>
      <c r="D825" s="513">
        <v>-3609091.14</v>
      </c>
      <c r="E825">
        <f>VLOOKUP(A825,Ucto_HK_summ!$A$2:$G$963,7,FALSE)</f>
        <v>-3609091.14</v>
      </c>
    </row>
    <row r="826" spans="1:5">
      <c r="A826" s="578" t="s">
        <v>989</v>
      </c>
      <c r="C826">
        <v>0</v>
      </c>
      <c r="D826" s="513">
        <v>-4145185.38</v>
      </c>
      <c r="E826">
        <f>VLOOKUP(A826,Ucto_HK_summ!$A$2:$G$963,7,FALSE)</f>
        <v>-4145185.38</v>
      </c>
    </row>
    <row r="827" spans="1:5">
      <c r="A827" s="578" t="s">
        <v>2539</v>
      </c>
      <c r="B827" s="578" t="s">
        <v>2540</v>
      </c>
      <c r="C827">
        <v>0</v>
      </c>
      <c r="D827" s="513">
        <v>-1468486.67</v>
      </c>
      <c r="E827">
        <f>VLOOKUP(A827,Ucto_HK_summ!$A$2:$G$963,7,FALSE)</f>
        <v>-1468486.67</v>
      </c>
    </row>
    <row r="828" spans="1:5">
      <c r="A828" s="578" t="s">
        <v>2541</v>
      </c>
      <c r="B828" s="578" t="s">
        <v>2542</v>
      </c>
      <c r="C828">
        <v>0</v>
      </c>
      <c r="D828" s="513">
        <v>-9223.76</v>
      </c>
      <c r="E828">
        <f>VLOOKUP(A828,Ucto_HK_summ!$A$2:$G$963,7,FALSE)</f>
        <v>-9223.76</v>
      </c>
    </row>
    <row r="829" spans="1:5">
      <c r="A829" s="578" t="s">
        <v>2543</v>
      </c>
      <c r="B829" s="578" t="s">
        <v>2544</v>
      </c>
      <c r="C829">
        <v>0</v>
      </c>
      <c r="D829" s="513">
        <v>-52268.98</v>
      </c>
      <c r="E829">
        <f>VLOOKUP(A829,Ucto_HK_summ!$A$2:$G$963,7,FALSE)</f>
        <v>-52268.98</v>
      </c>
    </row>
    <row r="830" spans="1:5">
      <c r="A830" s="578" t="s">
        <v>2545</v>
      </c>
      <c r="B830" s="578" t="s">
        <v>2546</v>
      </c>
      <c r="C830">
        <v>0</v>
      </c>
      <c r="D830" s="513">
        <v>-132896.70000000001</v>
      </c>
      <c r="E830">
        <f>VLOOKUP(A830,Ucto_HK_summ!$A$2:$G$963,7,FALSE)</f>
        <v>-132896.70000000001</v>
      </c>
    </row>
    <row r="831" spans="1:5">
      <c r="A831" s="578" t="s">
        <v>2547</v>
      </c>
      <c r="B831" s="578" t="s">
        <v>2548</v>
      </c>
      <c r="C831">
        <v>0</v>
      </c>
      <c r="D831" s="513">
        <v>-753076.97</v>
      </c>
      <c r="E831">
        <f>VLOOKUP(A831,Ucto_HK_summ!$A$2:$G$963,7,FALSE)</f>
        <v>-753076.97</v>
      </c>
    </row>
    <row r="832" spans="1:5">
      <c r="A832" s="578" t="s">
        <v>991</v>
      </c>
      <c r="C832">
        <v>0</v>
      </c>
      <c r="D832" s="513">
        <v>-2415953.08</v>
      </c>
      <c r="E832">
        <f>VLOOKUP(A832,Ucto_HK_summ!$A$2:$G$963,7,FALSE)</f>
        <v>-2415953.08</v>
      </c>
    </row>
    <row r="833" spans="1:5">
      <c r="A833" s="578" t="s">
        <v>2549</v>
      </c>
      <c r="B833" s="578" t="s">
        <v>2550</v>
      </c>
      <c r="C833">
        <v>0</v>
      </c>
      <c r="D833" s="550">
        <v>-143574</v>
      </c>
      <c r="E833">
        <f>VLOOKUP(A833,Ucto_HK_summ!$A$2:$G$963,7,FALSE)</f>
        <v>-143574</v>
      </c>
    </row>
    <row r="834" spans="1:5">
      <c r="A834" s="578" t="s">
        <v>2551</v>
      </c>
      <c r="B834" s="578" t="s">
        <v>2552</v>
      </c>
      <c r="C834">
        <v>0</v>
      </c>
      <c r="D834" s="513">
        <v>-1151394.26</v>
      </c>
      <c r="E834">
        <f>VLOOKUP(A834,Ucto_HK_summ!$A$2:$G$963,7,FALSE)</f>
        <v>-1151394.26</v>
      </c>
    </row>
    <row r="835" spans="1:5">
      <c r="A835" s="578" t="s">
        <v>993</v>
      </c>
      <c r="C835">
        <v>0</v>
      </c>
      <c r="D835" s="513">
        <v>-1294968.26</v>
      </c>
      <c r="E835">
        <f>VLOOKUP(A835,Ucto_HK_summ!$A$2:$G$963,7,FALSE)</f>
        <v>-1294968.26</v>
      </c>
    </row>
    <row r="836" spans="1:5">
      <c r="A836" s="578" t="s">
        <v>2553</v>
      </c>
      <c r="B836" s="578" t="s">
        <v>2554</v>
      </c>
      <c r="C836">
        <v>0</v>
      </c>
      <c r="D836" s="513">
        <v>-68728.89</v>
      </c>
      <c r="E836">
        <f>VLOOKUP(A836,Ucto_HK_summ!$A$2:$G$963,7,FALSE)</f>
        <v>-68728.89</v>
      </c>
    </row>
    <row r="837" spans="1:5">
      <c r="A837" s="578" t="s">
        <v>1001</v>
      </c>
      <c r="C837">
        <v>0</v>
      </c>
      <c r="D837" s="513">
        <v>-68728.89</v>
      </c>
      <c r="E837">
        <f>VLOOKUP(A837,Ucto_HK_summ!$A$2:$G$963,7,FALSE)</f>
        <v>-68728.89</v>
      </c>
    </row>
    <row r="838" spans="1:5">
      <c r="A838" s="578" t="s">
        <v>2555</v>
      </c>
      <c r="B838" s="578" t="s">
        <v>2556</v>
      </c>
      <c r="C838">
        <v>0</v>
      </c>
      <c r="D838" s="550">
        <v>-32602</v>
      </c>
      <c r="E838">
        <f>VLOOKUP(A838,Ucto_HK_summ!$A$2:$G$963,7,FALSE)</f>
        <v>-32602</v>
      </c>
    </row>
    <row r="839" spans="1:5">
      <c r="A839" s="578" t="s">
        <v>1003</v>
      </c>
      <c r="C839">
        <v>0</v>
      </c>
      <c r="D839" s="550">
        <v>-32602</v>
      </c>
      <c r="E839">
        <f>VLOOKUP(A839,Ucto_HK_summ!$A$2:$G$963,7,FALSE)</f>
        <v>-32602</v>
      </c>
    </row>
    <row r="840" spans="1:5">
      <c r="A840" s="577" t="s">
        <v>2557</v>
      </c>
      <c r="C840" s="369">
        <v>0</v>
      </c>
      <c r="D840" s="579">
        <v>-7957437.6100000003</v>
      </c>
      <c r="E840">
        <f>VLOOKUP(A840,Ucto_HK_summ!$A$2:$G$963,7,FALSE)</f>
        <v>-7957437.6100000003</v>
      </c>
    </row>
    <row r="842" spans="1:5">
      <c r="A842" s="577" t="s">
        <v>2558</v>
      </c>
      <c r="C842" s="369">
        <v>0</v>
      </c>
      <c r="D842" s="579">
        <v>-153606510.30000001</v>
      </c>
      <c r="E842">
        <f>VLOOKUP(A842,Ucto_HK_summ!$A$2:$G$963,7,FALSE)</f>
        <v>-153606510.30000001</v>
      </c>
    </row>
    <row r="845" spans="1:5">
      <c r="A845" s="578" t="s">
        <v>2559</v>
      </c>
      <c r="B845" s="578" t="s">
        <v>2560</v>
      </c>
      <c r="C845" s="513">
        <v>990920.16</v>
      </c>
      <c r="D845" s="513">
        <v>990920.16</v>
      </c>
      <c r="E845">
        <f>VLOOKUP(A845,Ucto_HK_summ!$A$2:$G$963,7,FALSE)</f>
        <v>990920.16</v>
      </c>
    </row>
    <row r="846" spans="1:5">
      <c r="A846" s="578" t="s">
        <v>2561</v>
      </c>
      <c r="B846" s="578" t="s">
        <v>2562</v>
      </c>
      <c r="C846" s="513">
        <v>5615214.1699999999</v>
      </c>
      <c r="D846" s="513">
        <v>5615214.1699999999</v>
      </c>
      <c r="E846">
        <f>VLOOKUP(A846,Ucto_HK_summ!$A$2:$G$963,7,FALSE)</f>
        <v>5615214.1699999999</v>
      </c>
    </row>
    <row r="847" spans="1:5">
      <c r="A847" s="578" t="s">
        <v>2563</v>
      </c>
      <c r="C847" s="513">
        <v>6606134.3300000001</v>
      </c>
      <c r="D847" s="513">
        <v>6606134.3300000001</v>
      </c>
      <c r="E847">
        <f>VLOOKUP(A847,Ucto_HK_summ!$A$2:$G$963,7,FALSE)</f>
        <v>6606134.3300000001</v>
      </c>
    </row>
    <row r="848" spans="1:5">
      <c r="A848" s="578" t="s">
        <v>2564</v>
      </c>
      <c r="B848" s="578" t="s">
        <v>2565</v>
      </c>
      <c r="C848" s="513">
        <v>435243.31</v>
      </c>
      <c r="D848" s="513">
        <v>435493.98</v>
      </c>
      <c r="E848">
        <f>VLOOKUP(A848,Ucto_HK_summ!$A$2:$G$963,7,FALSE)</f>
        <v>435493.98</v>
      </c>
    </row>
    <row r="849" spans="1:5">
      <c r="A849" s="578" t="s">
        <v>2566</v>
      </c>
      <c r="C849" s="513">
        <v>435243.31</v>
      </c>
      <c r="D849" s="513">
        <v>435493.98</v>
      </c>
      <c r="E849">
        <f>VLOOKUP(A849,Ucto_HK_summ!$A$2:$G$963,7,FALSE)</f>
        <v>435493.98</v>
      </c>
    </row>
    <row r="850" spans="1:5">
      <c r="A850" s="578" t="s">
        <v>2567</v>
      </c>
      <c r="B850" s="578" t="s">
        <v>2568</v>
      </c>
      <c r="C850" s="513">
        <v>1370.25</v>
      </c>
      <c r="D850" s="513">
        <v>1370.25</v>
      </c>
      <c r="E850">
        <f>VLOOKUP(A850,Ucto_HK_summ!$A$2:$G$963,7,FALSE)</f>
        <v>1370.25</v>
      </c>
    </row>
    <row r="851" spans="1:5">
      <c r="A851" s="578" t="s">
        <v>2569</v>
      </c>
      <c r="B851" s="578" t="s">
        <v>2570</v>
      </c>
      <c r="C851" s="513">
        <v>16220.95</v>
      </c>
      <c r="D851" s="513">
        <v>16642.150000000001</v>
      </c>
      <c r="E851">
        <f>VLOOKUP(A851,Ucto_HK_summ!$A$2:$G$963,7,FALSE)</f>
        <v>16642.150000000001</v>
      </c>
    </row>
    <row r="852" spans="1:5">
      <c r="A852" s="578" t="s">
        <v>2571</v>
      </c>
      <c r="B852" s="578" t="s">
        <v>2572</v>
      </c>
      <c r="C852" s="513">
        <v>2102.2800000000002</v>
      </c>
      <c r="D852" s="513">
        <v>2138.2800000000002</v>
      </c>
      <c r="E852">
        <f>VLOOKUP(A852,Ucto_HK_summ!$A$2:$G$963,7,FALSE)</f>
        <v>2138.2800000000002</v>
      </c>
    </row>
    <row r="853" spans="1:5">
      <c r="A853" s="578" t="s">
        <v>2573</v>
      </c>
      <c r="B853" s="578" t="s">
        <v>2574</v>
      </c>
      <c r="C853" s="513">
        <v>1464.55</v>
      </c>
      <c r="D853" s="513">
        <v>1500.55</v>
      </c>
      <c r="E853">
        <f>VLOOKUP(A853,Ucto_HK_summ!$A$2:$G$963,7,FALSE)</f>
        <v>1500.55</v>
      </c>
    </row>
    <row r="854" spans="1:5">
      <c r="A854" s="578" t="s">
        <v>2575</v>
      </c>
      <c r="C854" s="513">
        <v>21158.03</v>
      </c>
      <c r="D854" s="513">
        <v>21651.23</v>
      </c>
      <c r="E854">
        <f>VLOOKUP(A854,Ucto_HK_summ!$A$2:$G$963,7,FALSE)</f>
        <v>21651.23</v>
      </c>
    </row>
    <row r="855" spans="1:5">
      <c r="A855" s="578" t="s">
        <v>2576</v>
      </c>
      <c r="B855" s="578" t="s">
        <v>2577</v>
      </c>
      <c r="C855" s="513">
        <v>11373603.800000001</v>
      </c>
      <c r="D855" s="513">
        <v>12062832.130000001</v>
      </c>
      <c r="E855">
        <f>VLOOKUP(A855,Ucto_HK_summ!$A$2:$G$963,7,FALSE)</f>
        <v>12062832.130000001</v>
      </c>
    </row>
    <row r="856" spans="1:5">
      <c r="A856" s="578" t="s">
        <v>2578</v>
      </c>
      <c r="B856" s="578" t="s">
        <v>2579</v>
      </c>
      <c r="C856" s="513">
        <v>74228.38</v>
      </c>
      <c r="D856" s="513">
        <v>71377.279999999999</v>
      </c>
      <c r="E856">
        <f>VLOOKUP(A856,Ucto_HK_summ!$A$2:$G$963,7,FALSE)</f>
        <v>71377.279999999999</v>
      </c>
    </row>
    <row r="857" spans="1:5">
      <c r="A857" s="578" t="s">
        <v>2580</v>
      </c>
      <c r="B857" s="578" t="s">
        <v>2581</v>
      </c>
      <c r="C857" s="513">
        <v>204803.8</v>
      </c>
      <c r="D857" s="513">
        <v>212743.48</v>
      </c>
      <c r="E857">
        <f>VLOOKUP(A857,Ucto_HK_summ!$A$2:$G$963,7,FALSE)</f>
        <v>212743.48</v>
      </c>
    </row>
    <row r="858" spans="1:5">
      <c r="A858" s="578" t="s">
        <v>2582</v>
      </c>
      <c r="B858" s="578" t="s">
        <v>2583</v>
      </c>
      <c r="C858" s="513">
        <v>9942811.0700000003</v>
      </c>
      <c r="D858" s="513">
        <v>10459866.619999999</v>
      </c>
      <c r="E858">
        <f>VLOOKUP(A858,Ucto_HK_summ!$A$2:$G$963,7,FALSE)</f>
        <v>10459866.619999999</v>
      </c>
    </row>
    <row r="859" spans="1:5">
      <c r="A859" s="578" t="s">
        <v>2584</v>
      </c>
      <c r="C859" s="513">
        <v>21595447.050000001</v>
      </c>
      <c r="D859" s="513">
        <v>22806819.510000002</v>
      </c>
      <c r="E859">
        <f>VLOOKUP(A859,Ucto_HK_summ!$A$2:$G$963,7,FALSE)</f>
        <v>22806819.510000002</v>
      </c>
    </row>
    <row r="860" spans="1:5">
      <c r="A860" s="578" t="s">
        <v>2585</v>
      </c>
      <c r="B860" s="578" t="s">
        <v>2586</v>
      </c>
      <c r="C860">
        <v>0</v>
      </c>
      <c r="D860" s="513">
        <v>143437.20000000001</v>
      </c>
      <c r="E860">
        <f>VLOOKUP(A860,Ucto_HK_summ!$A$2:$G$963,7,FALSE)</f>
        <v>143437.20000000001</v>
      </c>
    </row>
    <row r="861" spans="1:5">
      <c r="A861" s="578" t="s">
        <v>2587</v>
      </c>
      <c r="C861">
        <v>0</v>
      </c>
      <c r="D861" s="513">
        <v>143437.20000000001</v>
      </c>
      <c r="E861">
        <f>VLOOKUP(A861,Ucto_HK_summ!$A$2:$G$963,7,FALSE)</f>
        <v>143437.20000000001</v>
      </c>
    </row>
    <row r="862" spans="1:5">
      <c r="A862" s="577" t="s">
        <v>2588</v>
      </c>
      <c r="C862" s="579">
        <v>28657982.719999999</v>
      </c>
      <c r="D862" s="579">
        <v>30013536.25</v>
      </c>
      <c r="E862">
        <f>VLOOKUP(A862,Ucto_HK_summ!$A$2:$G$963,7,FALSE)</f>
        <v>30013536.25</v>
      </c>
    </row>
    <row r="864" spans="1:5">
      <c r="A864" s="578" t="s">
        <v>2589</v>
      </c>
      <c r="B864" s="578" t="s">
        <v>2590</v>
      </c>
      <c r="C864" s="513">
        <v>2622837.2999999998</v>
      </c>
      <c r="D864" s="513">
        <v>2622837.2999999998</v>
      </c>
      <c r="E864">
        <f>VLOOKUP(A864,Ucto_HK_summ!$A$2:$G$963,7,FALSE)</f>
        <v>2622837.2999999998</v>
      </c>
    </row>
    <row r="865" spans="1:5">
      <c r="A865" s="578" t="s">
        <v>2591</v>
      </c>
      <c r="B865" s="578" t="s">
        <v>2592</v>
      </c>
      <c r="C865" s="513">
        <v>-2622837.2999999998</v>
      </c>
      <c r="D865" s="513">
        <v>-2622837.2999999998</v>
      </c>
      <c r="E865">
        <f>VLOOKUP(A865,Ucto_HK_summ!$A$2:$G$963,7,FALSE)</f>
        <v>-2622837.2999999998</v>
      </c>
    </row>
    <row r="866" spans="1:5">
      <c r="A866" s="578" t="s">
        <v>2593</v>
      </c>
      <c r="B866" s="578" t="s">
        <v>2594</v>
      </c>
      <c r="C866" s="513">
        <v>93372.21</v>
      </c>
      <c r="D866" s="513">
        <v>124793.33</v>
      </c>
      <c r="E866">
        <f>VLOOKUP(A866,Ucto_HK_summ!$A$2:$G$963,7,FALSE)</f>
        <v>124793.33</v>
      </c>
    </row>
    <row r="867" spans="1:5">
      <c r="A867" s="578" t="s">
        <v>2595</v>
      </c>
      <c r="C867" s="513">
        <v>93372.21</v>
      </c>
      <c r="D867" s="513">
        <v>124793.33</v>
      </c>
      <c r="E867">
        <f>VLOOKUP(A867,Ucto_HK_summ!$A$2:$G$963,7,FALSE)</f>
        <v>124793.33</v>
      </c>
    </row>
    <row r="868" spans="1:5">
      <c r="A868" s="577" t="s">
        <v>2596</v>
      </c>
      <c r="C868" s="579">
        <v>93372.21</v>
      </c>
      <c r="D868" s="579">
        <v>124793.33</v>
      </c>
      <c r="E868">
        <f>VLOOKUP(A868,Ucto_HK_summ!$A$2:$G$963,7,FALSE)</f>
        <v>124793.33</v>
      </c>
    </row>
    <row r="870" spans="1:5">
      <c r="A870" s="578" t="s">
        <v>2597</v>
      </c>
      <c r="B870" s="578" t="s">
        <v>2598</v>
      </c>
      <c r="C870" s="513">
        <v>26146.94</v>
      </c>
      <c r="D870" s="513">
        <v>23861.48</v>
      </c>
      <c r="E870">
        <f>VLOOKUP(A870,Ucto_HK_summ!$A$2:$G$963,7,FALSE)</f>
        <v>23861.48</v>
      </c>
    </row>
    <row r="871" spans="1:5">
      <c r="A871" s="578" t="s">
        <v>2599</v>
      </c>
      <c r="B871" s="578" t="s">
        <v>2600</v>
      </c>
      <c r="C871" s="513">
        <v>25956.34</v>
      </c>
      <c r="D871" s="513">
        <v>33518.639999999999</v>
      </c>
      <c r="E871">
        <f>VLOOKUP(A871,Ucto_HK_summ!$A$2:$G$963,7,FALSE)</f>
        <v>33518.639999999999</v>
      </c>
    </row>
    <row r="872" spans="1:5">
      <c r="A872" s="578" t="s">
        <v>2601</v>
      </c>
      <c r="C872" s="513">
        <v>52103.28</v>
      </c>
      <c r="D872" s="513">
        <v>57380.12</v>
      </c>
      <c r="E872">
        <f>VLOOKUP(A872,Ucto_HK_summ!$A$2:$G$963,7,FALSE)</f>
        <v>57380.12</v>
      </c>
    </row>
    <row r="873" spans="1:5">
      <c r="A873" s="577" t="s">
        <v>2602</v>
      </c>
      <c r="C873" s="579">
        <v>52103.28</v>
      </c>
      <c r="D873" s="579">
        <v>57380.12</v>
      </c>
      <c r="E873">
        <f>VLOOKUP(A873,Ucto_HK_summ!$A$2:$G$963,7,FALSE)</f>
        <v>57380.12</v>
      </c>
    </row>
    <row r="875" spans="1:5">
      <c r="A875" s="578" t="s">
        <v>2603</v>
      </c>
      <c r="B875" s="578" t="s">
        <v>2604</v>
      </c>
      <c r="C875" s="513">
        <v>-28803458.210000001</v>
      </c>
      <c r="D875" s="513">
        <v>-30195709.699999999</v>
      </c>
      <c r="E875">
        <f>VLOOKUP(A875,Ucto_HK_summ!$A$2:$G$963,7,FALSE)</f>
        <v>-30195709.699999999</v>
      </c>
    </row>
    <row r="876" spans="1:5">
      <c r="A876" s="578" t="s">
        <v>2605</v>
      </c>
      <c r="C876" s="513">
        <v>-28803458.210000001</v>
      </c>
      <c r="D876" s="513">
        <v>-30195709.699999999</v>
      </c>
      <c r="E876">
        <f>VLOOKUP(A876,Ucto_HK_summ!$A$2:$G$963,7,FALSE)</f>
        <v>-30195709.699999999</v>
      </c>
    </row>
    <row r="877" spans="1:5">
      <c r="A877" s="577" t="s">
        <v>2606</v>
      </c>
      <c r="C877" s="579">
        <v>-28803458.210000001</v>
      </c>
      <c r="D877" s="579">
        <v>-30195709.699999999</v>
      </c>
      <c r="E877">
        <f>VLOOKUP(A877,Ucto_HK_summ!$A$2:$G$963,7,FALSE)</f>
        <v>-30195709.699999999</v>
      </c>
    </row>
    <row r="879" spans="1:5">
      <c r="A879" s="577" t="s">
        <v>2607</v>
      </c>
      <c r="C879" s="369">
        <v>0</v>
      </c>
      <c r="D879" s="369">
        <v>0</v>
      </c>
      <c r="E879">
        <f>VLOOKUP(A879,Ucto_HK_summ!$A$2:$G$963,7,FALSE)</f>
        <v>0</v>
      </c>
    </row>
    <row r="882" spans="1:5">
      <c r="A882" s="578" t="s">
        <v>2608</v>
      </c>
      <c r="B882" s="578" t="s">
        <v>2609</v>
      </c>
      <c r="C882" s="513">
        <v>-459795.7</v>
      </c>
      <c r="D882" s="513">
        <v>-507698.78</v>
      </c>
      <c r="E882">
        <f>VLOOKUP(A882,Ucto_HK_summ!$A$2:$G$963,7,FALSE)</f>
        <v>-507698.78</v>
      </c>
    </row>
    <row r="883" spans="1:5">
      <c r="A883" s="578" t="s">
        <v>2610</v>
      </c>
      <c r="B883" s="578" t="s">
        <v>2611</v>
      </c>
      <c r="C883" s="513">
        <v>-137483.84</v>
      </c>
      <c r="D883" s="513">
        <v>-170273.52</v>
      </c>
      <c r="E883">
        <f>VLOOKUP(A883,Ucto_HK_summ!$A$2:$G$963,7,FALSE)</f>
        <v>-170273.52</v>
      </c>
    </row>
    <row r="884" spans="1:5">
      <c r="A884" s="578" t="s">
        <v>2612</v>
      </c>
      <c r="B884" s="578" t="s">
        <v>2613</v>
      </c>
      <c r="C884" s="513">
        <v>-63034.45</v>
      </c>
      <c r="D884" s="513">
        <v>-88225.43</v>
      </c>
      <c r="E884">
        <f>VLOOKUP(A884,Ucto_HK_summ!$A$2:$G$963,7,FALSE)</f>
        <v>-88225.43</v>
      </c>
    </row>
    <row r="885" spans="1:5">
      <c r="A885" s="578" t="s">
        <v>2614</v>
      </c>
      <c r="B885" s="578" t="s">
        <v>2615</v>
      </c>
      <c r="C885" s="513">
        <v>-1593664.07</v>
      </c>
      <c r="D885" s="513">
        <v>-1860494.78</v>
      </c>
      <c r="E885">
        <f>VLOOKUP(A885,Ucto_HK_summ!$A$2:$G$963,7,FALSE)</f>
        <v>-1860494.78</v>
      </c>
    </row>
    <row r="886" spans="1:5">
      <c r="A886" s="578" t="s">
        <v>2616</v>
      </c>
      <c r="B886" s="578" t="s">
        <v>2617</v>
      </c>
      <c r="C886" s="513">
        <v>-2021557.73</v>
      </c>
      <c r="D886">
        <v>0</v>
      </c>
      <c r="E886">
        <f>VLOOKUP(A886,Ucto_HK_summ!$A$2:$G$963,7,FALSE)</f>
        <v>0</v>
      </c>
    </row>
    <row r="887" spans="1:5">
      <c r="A887" s="578" t="s">
        <v>2618</v>
      </c>
      <c r="B887" s="578" t="s">
        <v>2619</v>
      </c>
      <c r="C887" s="513">
        <v>-12088963.800000001</v>
      </c>
      <c r="D887">
        <v>0</v>
      </c>
      <c r="E887">
        <f>VLOOKUP(A887,Ucto_HK_summ!$A$2:$G$963,7,FALSE)</f>
        <v>0</v>
      </c>
    </row>
    <row r="888" spans="1:5">
      <c r="A888" s="578" t="s">
        <v>2620</v>
      </c>
      <c r="B888" s="578" t="s">
        <v>2621</v>
      </c>
      <c r="C888" s="513">
        <v>-12236447.77</v>
      </c>
      <c r="D888" s="513">
        <v>-4254018.51</v>
      </c>
      <c r="E888">
        <f>VLOOKUP(A888,Ucto_HK_summ!$A$2:$G$963,7,FALSE)</f>
        <v>-4254018.51</v>
      </c>
    </row>
    <row r="889" spans="1:5">
      <c r="A889" s="578" t="s">
        <v>2622</v>
      </c>
      <c r="B889" s="578" t="s">
        <v>2623</v>
      </c>
      <c r="C889" s="513">
        <v>-12346470.550000001</v>
      </c>
      <c r="D889" s="513">
        <v>-13510778.92</v>
      </c>
      <c r="E889">
        <f>VLOOKUP(A889,Ucto_HK_summ!$A$2:$G$963,7,FALSE)</f>
        <v>-13510778.92</v>
      </c>
    </row>
    <row r="890" spans="1:5">
      <c r="A890" s="578" t="s">
        <v>2624</v>
      </c>
      <c r="B890" s="578" t="s">
        <v>2625</v>
      </c>
      <c r="C890">
        <v>0</v>
      </c>
      <c r="D890" s="513">
        <v>-13399961.869999999</v>
      </c>
      <c r="E890">
        <f>VLOOKUP(A890,Ucto_HK_summ!$A$2:$G$963,7,FALSE)</f>
        <v>-13399961.869999999</v>
      </c>
    </row>
    <row r="891" spans="1:5">
      <c r="A891" s="578" t="s">
        <v>2626</v>
      </c>
      <c r="B891" s="578" t="s">
        <v>2627</v>
      </c>
      <c r="C891" s="513">
        <v>-608873.73</v>
      </c>
      <c r="D891" s="513">
        <v>-608873.73</v>
      </c>
      <c r="E891">
        <f>VLOOKUP(A891,Ucto_HK_summ!$A$2:$G$963,7,FALSE)</f>
        <v>-608873.73</v>
      </c>
    </row>
    <row r="892" spans="1:5">
      <c r="A892" s="578" t="s">
        <v>2628</v>
      </c>
      <c r="B892" s="578" t="s">
        <v>2629</v>
      </c>
      <c r="C892" s="513">
        <v>41556291.640000001</v>
      </c>
      <c r="D892" s="513">
        <v>34400325.539999999</v>
      </c>
      <c r="E892">
        <f>VLOOKUP(A892,Ucto_HK_summ!$A$2:$G$963,7,FALSE)</f>
        <v>34400325.539999999</v>
      </c>
    </row>
    <row r="893" spans="1:5">
      <c r="A893" s="578" t="s">
        <v>2630</v>
      </c>
      <c r="C893">
        <v>0</v>
      </c>
      <c r="D893">
        <v>0</v>
      </c>
      <c r="E893">
        <f>VLOOKUP(A893,Ucto_HK_summ!$A$2:$G$963,7,FALSE)</f>
        <v>0</v>
      </c>
    </row>
    <row r="894" spans="1:5">
      <c r="A894" s="577" t="s">
        <v>2631</v>
      </c>
      <c r="C894" s="369">
        <v>0</v>
      </c>
      <c r="D894" s="369">
        <v>0</v>
      </c>
      <c r="E894">
        <f>VLOOKUP(A894,Ucto_HK_summ!$A$2:$G$963,7,FALSE)</f>
        <v>0</v>
      </c>
    </row>
    <row r="896" spans="1:5">
      <c r="A896" s="577" t="s">
        <v>2632</v>
      </c>
      <c r="C896" s="369">
        <v>0</v>
      </c>
      <c r="D896" s="369">
        <v>0</v>
      </c>
      <c r="E896">
        <f>VLOOKUP(A896,Ucto_HK_summ!$A$2:$G$963,7,FALSE)</f>
        <v>0</v>
      </c>
    </row>
    <row r="899" spans="1:5">
      <c r="A899" s="578" t="s">
        <v>2633</v>
      </c>
      <c r="B899" s="578" t="s">
        <v>2634</v>
      </c>
      <c r="C899" s="513">
        <v>-20517725.129999999</v>
      </c>
      <c r="D899" s="513">
        <v>-20517725.129999999</v>
      </c>
      <c r="E899">
        <f>VLOOKUP(A899,Ucto_HK_summ!$A$2:$G$963,7,FALSE)</f>
        <v>-20517725.129999999</v>
      </c>
    </row>
    <row r="900" spans="1:5">
      <c r="A900" s="578" t="s">
        <v>2635</v>
      </c>
      <c r="B900" s="578" t="s">
        <v>2636</v>
      </c>
      <c r="C900" s="513">
        <v>-492411.63</v>
      </c>
      <c r="D900" s="513">
        <v>-492411.63</v>
      </c>
      <c r="E900">
        <f>VLOOKUP(A900,Ucto_HK_summ!$A$2:$G$963,7,FALSE)</f>
        <v>-492411.63</v>
      </c>
    </row>
    <row r="901" spans="1:5">
      <c r="A901" s="578" t="s">
        <v>2637</v>
      </c>
      <c r="B901" s="578" t="s">
        <v>2638</v>
      </c>
      <c r="C901" s="513">
        <v>21010136.760000002</v>
      </c>
      <c r="D901" s="513">
        <v>21010136.760000002</v>
      </c>
      <c r="E901">
        <f>VLOOKUP(A901,Ucto_HK_summ!$A$2:$G$963,7,FALSE)</f>
        <v>21010136.760000002</v>
      </c>
    </row>
    <row r="902" spans="1:5">
      <c r="A902" s="578" t="s">
        <v>2639</v>
      </c>
      <c r="C902">
        <v>0</v>
      </c>
      <c r="D902">
        <v>0</v>
      </c>
      <c r="E902">
        <f>VLOOKUP(A902,Ucto_HK_summ!$A$2:$G$963,7,FALSE)</f>
        <v>0</v>
      </c>
    </row>
    <row r="903" spans="1:5">
      <c r="A903" s="577" t="s">
        <v>2640</v>
      </c>
      <c r="C903" s="369">
        <v>0</v>
      </c>
      <c r="D903" s="369">
        <v>0</v>
      </c>
      <c r="E903">
        <f>VLOOKUP(A903,Ucto_HK_summ!$A$2:$G$963,7,FALSE)</f>
        <v>0</v>
      </c>
    </row>
    <row r="904" spans="1:5">
      <c r="A904" s="577" t="s">
        <v>2641</v>
      </c>
      <c r="C904" s="369">
        <v>0</v>
      </c>
      <c r="D904" s="369">
        <v>0</v>
      </c>
      <c r="E904">
        <f>VLOOKUP(A904,Ucto_HK_summ!$A$2:$G$963,7,FALSE)</f>
        <v>0</v>
      </c>
    </row>
    <row r="906" spans="1:5">
      <c r="A906" s="577" t="s">
        <v>1158</v>
      </c>
      <c r="C906" s="369">
        <v>0</v>
      </c>
      <c r="D906" s="369">
        <v>0</v>
      </c>
      <c r="E906">
        <f>VLOOKUP(A906,Ucto_HK_summ!$A$2:$G$963,7,FALSE)</f>
        <v>0</v>
      </c>
    </row>
    <row r="907" spans="1:5">
      <c r="E907" t="e">
        <f>VLOOKUP(A907,Ucto_HK_summ!$A$2:$G$963,7,FALSE)</f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FC2E7-7F3A-4570-A854-3E543F7798EE}">
  <sheetPr>
    <tabColor theme="6" tint="0.79998168889431442"/>
  </sheetPr>
  <dimension ref="B1:R42"/>
  <sheetViews>
    <sheetView workbookViewId="0"/>
  </sheetViews>
  <sheetFormatPr baseColWidth="10" defaultColWidth="8.83203125" defaultRowHeight="15"/>
  <cols>
    <col min="1" max="1" width="6.5" style="69" customWidth="1"/>
    <col min="2" max="2" width="50.5" style="69" customWidth="1"/>
    <col min="3" max="8" width="11" style="70" customWidth="1"/>
    <col min="9" max="15" width="11" style="69" customWidth="1"/>
    <col min="16" max="16" width="10.6640625" style="69" customWidth="1"/>
    <col min="17" max="16384" width="8.83203125" style="69"/>
  </cols>
  <sheetData>
    <row r="1" spans="2:18" s="568" customFormat="1"/>
    <row r="2" spans="2:18">
      <c r="B2" s="1165" t="s">
        <v>3133</v>
      </c>
      <c r="C2" s="1156">
        <f>'Revenues"A"'!H54</f>
        <v>44926</v>
      </c>
      <c r="D2" s="1156">
        <f>'Revenues"A"'!I54</f>
        <v>45291</v>
      </c>
      <c r="E2" s="1156">
        <f>'Revenues"A"'!J54</f>
        <v>45657</v>
      </c>
      <c r="F2" s="1156">
        <f>'Revenues"A"'!K54</f>
        <v>46022</v>
      </c>
      <c r="G2" s="1156">
        <f>'Revenues"A"'!L54</f>
        <v>46387</v>
      </c>
      <c r="H2" s="1156">
        <f>'Revenues"A"'!M54</f>
        <v>46752</v>
      </c>
      <c r="I2" s="1156">
        <f>'Revenues"A"'!N54</f>
        <v>47118</v>
      </c>
      <c r="J2" s="1156">
        <f>'Revenues"A"'!O54</f>
        <v>47483</v>
      </c>
      <c r="K2" s="1156">
        <f>'Revenues"A"'!P54</f>
        <v>47848</v>
      </c>
      <c r="L2" s="1156">
        <f>'Revenues"A"'!Q54</f>
        <v>48213</v>
      </c>
      <c r="M2" s="1156">
        <f>'Revenues"A"'!R54</f>
        <v>48579</v>
      </c>
      <c r="N2" s="1156">
        <f>'Revenues"A"'!S54</f>
        <v>48944</v>
      </c>
      <c r="O2" s="1156">
        <f>'Revenues"A"'!T54</f>
        <v>49309</v>
      </c>
      <c r="P2" s="70"/>
    </row>
    <row r="3" spans="2:18">
      <c r="B3" s="552" t="s">
        <v>3168</v>
      </c>
      <c r="C3" s="70">
        <f>'Revenues"A"'!H55</f>
        <v>1249.5</v>
      </c>
      <c r="D3" s="70">
        <f>'Revenues"A"'!I55</f>
        <v>1249.5</v>
      </c>
      <c r="E3" s="70">
        <f>'Revenues"A"'!J55</f>
        <v>1249.5</v>
      </c>
      <c r="F3" s="70">
        <f>'Revenues"A"'!K55</f>
        <v>1249.5</v>
      </c>
      <c r="G3" s="70">
        <f>'Revenues"A"'!L55</f>
        <v>1249.5</v>
      </c>
      <c r="H3" s="70">
        <f>'Revenues"A"'!M55</f>
        <v>1249.5</v>
      </c>
      <c r="I3" s="70">
        <f>'Revenues"A"'!N55</f>
        <v>1249.5</v>
      </c>
      <c r="J3" s="70">
        <f>'Revenues"A"'!O55</f>
        <v>1192.75</v>
      </c>
      <c r="K3" s="70">
        <f>'Revenues"A"'!P55</f>
        <v>1136</v>
      </c>
      <c r="L3" s="70">
        <f>'Revenues"A"'!Q55</f>
        <v>1136</v>
      </c>
      <c r="M3" s="70">
        <f>'Revenues"A"'!R55</f>
        <v>1136</v>
      </c>
      <c r="N3" s="70">
        <f>'Revenues"A"'!S55</f>
        <v>1136</v>
      </c>
      <c r="O3" s="70">
        <f>'Revenues"A"'!T55</f>
        <v>1136</v>
      </c>
    </row>
    <row r="4" spans="2:18">
      <c r="B4" s="552" t="s">
        <v>3276</v>
      </c>
      <c r="C4" s="70">
        <f>'Revenues"A"'!H56</f>
        <v>50891.720501156626</v>
      </c>
      <c r="D4" s="70">
        <f>'Revenues"A"'!I56</f>
        <v>50369.975691522515</v>
      </c>
      <c r="E4" s="70">
        <f>'Revenues"A"'!J56</f>
        <v>51825.327759011285</v>
      </c>
      <c r="F4" s="70">
        <f>'Revenues"A"'!K56</f>
        <v>54721.114578471912</v>
      </c>
      <c r="G4" s="70">
        <f>'Revenues"A"'!L56</f>
        <v>56775.41846383355</v>
      </c>
      <c r="H4" s="70">
        <f>'Revenues"A"'!M56</f>
        <v>56908.971199296713</v>
      </c>
      <c r="I4" s="70">
        <f>'Revenues"A"'!N56</f>
        <v>58308.966600439344</v>
      </c>
      <c r="J4" s="70">
        <f>'Revenues"A"'!O56</f>
        <v>60554.072156003363</v>
      </c>
      <c r="K4" s="70">
        <f>'Revenues"A"'!P56</f>
        <v>60551.736324411431</v>
      </c>
      <c r="L4" s="70">
        <f>'Revenues"A"'!Q56</f>
        <v>60510.617959851166</v>
      </c>
      <c r="M4" s="70">
        <f>'Revenues"A"'!R56</f>
        <v>60482.198452708348</v>
      </c>
      <c r="N4" s="70">
        <f>'Revenues"A"'!S56</f>
        <v>60431.419673403114</v>
      </c>
      <c r="O4" s="70">
        <f>'Revenues"A"'!T56</f>
        <v>60337.764999023537</v>
      </c>
      <c r="Q4" s="1225"/>
      <c r="R4" s="625"/>
    </row>
    <row r="5" spans="2:18" s="855" customFormat="1">
      <c r="B5" s="1010" t="s">
        <v>3277</v>
      </c>
      <c r="C5" s="1011">
        <f>'Revenues"A"'!H59</f>
        <v>13.412199951038929</v>
      </c>
      <c r="D5" s="1011">
        <f>'Revenues"A"'!I59+C5</f>
        <v>-497.11575067163358</v>
      </c>
      <c r="E5" s="1011">
        <f>'Revenues"A"'!J59+D5</f>
        <v>-456.66938568298065</v>
      </c>
      <c r="F5" s="1011">
        <f>'Revenues"A"'!K59+E5</f>
        <v>-408.24909180733084</v>
      </c>
      <c r="G5" s="1011">
        <f>'Revenues"A"'!L59+F5</f>
        <v>-162.61865731070429</v>
      </c>
      <c r="H5" s="1011">
        <f>'Revenues"A"'!M59+G5</f>
        <v>-1793.6526397952839</v>
      </c>
      <c r="I5" s="1011">
        <f>'Revenues"A"'!N59+H5</f>
        <v>-3170.6343928330243</v>
      </c>
      <c r="J5" s="1011">
        <f>'Revenues"A"'!O59+I5</f>
        <v>-3841.5641365807242</v>
      </c>
      <c r="K5" s="1011">
        <f>'Revenues"A"'!P59+J5</f>
        <v>-3823.5211909262507</v>
      </c>
      <c r="L5" s="1011">
        <f>'Revenues"A"'!Q59+K5</f>
        <v>-3832.0850205786846</v>
      </c>
      <c r="M5" s="1011">
        <f>'Revenues"A"'!R59+L5</f>
        <v>-3828.5983687286207</v>
      </c>
      <c r="N5" s="1011">
        <f>'Revenues"A"'!S59+M5</f>
        <v>-3841.4337859249936</v>
      </c>
      <c r="O5" s="1011">
        <f>'Revenues"A"'!T59+N5</f>
        <v>-3891.7773376291079</v>
      </c>
    </row>
    <row r="6" spans="2:18" s="855" customFormat="1">
      <c r="B6" s="997" t="s">
        <v>3278</v>
      </c>
      <c r="C6" s="1012">
        <f>'Revenues"A"'!H58</f>
        <v>0</v>
      </c>
      <c r="D6" s="1012">
        <f>'Revenues"A"'!I58</f>
        <v>-11.216859011439396</v>
      </c>
      <c r="E6" s="1012">
        <f>'Revenues"A"'!J58</f>
        <v>1403.688843488676</v>
      </c>
      <c r="F6" s="1012">
        <f>'Revenues"A"'!K58</f>
        <v>4251.0553690736506</v>
      </c>
      <c r="G6" s="1012">
        <f>'Revenues"A"'!L58</f>
        <v>6059.7288199386658</v>
      </c>
      <c r="H6" s="1012">
        <f>'Revenues"A"'!M58</f>
        <v>7824.3155378864121</v>
      </c>
      <c r="I6" s="1012">
        <f>'Revenues"A"'!N58</f>
        <v>10601.292692066785</v>
      </c>
      <c r="J6" s="1012">
        <f>'Revenues"A"'!O58</f>
        <v>13517.327991378505</v>
      </c>
      <c r="K6" s="1012">
        <f>'Revenues"A"'!P58</f>
        <v>13496.949214132097</v>
      </c>
      <c r="L6" s="1012">
        <f>'Revenues"A"'!Q58</f>
        <v>13464.394679224264</v>
      </c>
      <c r="M6" s="1012">
        <f>'Revenues"A"'!R58</f>
        <v>13432.488520231378</v>
      </c>
      <c r="N6" s="1012">
        <f>'Revenues"A"'!S58</f>
        <v>13394.545158122513</v>
      </c>
      <c r="O6" s="1012">
        <f>'Revenues"A"'!T58</f>
        <v>13351.234035447053</v>
      </c>
    </row>
    <row r="7" spans="2:18" s="855" customFormat="1">
      <c r="B7" s="1009" t="s">
        <v>3282</v>
      </c>
      <c r="C7" s="924">
        <f>'Hospit_Data_"A"'!M6+'Hospit_Data_"A"_ExtraHPA'!C5-Hospit_OSN!C5-Hospit_OSN!C5</f>
        <v>8508.4094563552753</v>
      </c>
      <c r="D7" s="924">
        <f>'Hospit_Data_"A"'!N6+'Hospit_Data_"A"_ExtraHPA'!D5-Hospit_OSN!D5-Hospit_OSN!D5</f>
        <v>8356.0283868004208</v>
      </c>
      <c r="E7" s="924">
        <f>'Hospit_Data_"A"'!O6+'Hospit_Data_"A"_ExtraHPA'!E5-Hospit_OSN!E5-Hospit_OSN!E5</f>
        <v>8451.4112832594674</v>
      </c>
      <c r="F7" s="924">
        <f>'Hospit_Data_"A"'!P6+'Hospit_Data_"A"_ExtraHPA'!F5-Hospit_OSN!F5-Hospit_OSN!F5</f>
        <v>8625.0347511776654</v>
      </c>
      <c r="G7" s="924">
        <f>'Hospit_Data_"A"'!Q6+'Hospit_Data_"A"_ExtraHPA'!G5-Hospit_OSN!G5-Hospit_OSN!G5</f>
        <v>8781.2330458579563</v>
      </c>
      <c r="H7" s="924">
        <f>'Hospit_Data_"A"'!R6+'Hospit_Data_"A"_ExtraHPA'!H5-Hospit_OSN!H5-Hospit_OSN!H5</f>
        <v>8499.7253880112385</v>
      </c>
      <c r="I7" s="924">
        <f>'Hospit_Data_"A"'!S6+'Hospit_Data_"A"_ExtraHPA'!I5-Hospit_OSN!I5-Hospit_OSN!I5</f>
        <v>8356.2298897726068</v>
      </c>
      <c r="J7" s="924">
        <f>'Hospit_Data_"A"'!T6+'Hospit_Data_"A"_ExtraHPA'!J5-Hospit_OSN!J5-Hospit_OSN!J5</f>
        <v>8527.1342184044261</v>
      </c>
      <c r="K7" s="924">
        <f>'Hospit_Data_"A"'!U6+'Hospit_Data_"A"_ExtraHPA'!K5-Hospit_OSN!K5-Hospit_OSN!K5</f>
        <v>8482.1350674875393</v>
      </c>
      <c r="L7" s="924">
        <f>'Hospit_Data_"A"'!V6+'Hospit_Data_"A"_ExtraHPA'!L5-Hospit_OSN!L5-Hospit_OSN!L5</f>
        <v>8443.3985697713506</v>
      </c>
      <c r="M7" s="924">
        <f>'Hospit_Data_"A"'!W6+'Hospit_Data_"A"_ExtraHPA'!M5-Hospit_OSN!M5-Hospit_OSN!M5</f>
        <v>8404.0172926681371</v>
      </c>
      <c r="N7" s="924">
        <f>'Hospit_Data_"A"'!X6+'Hospit_Data_"A"_ExtraHPA'!N5-Hospit_OSN!N5-Hospit_OSN!N5</f>
        <v>8363.7487686886434</v>
      </c>
      <c r="O7" s="924">
        <f>'Hospit_Data_"A"'!Y6+'Hospit_Data_"A"_ExtraHPA'!O5-Hospit_OSN!O5-Hospit_OSN!O5</f>
        <v>8322.2968972077015</v>
      </c>
    </row>
    <row r="8" spans="2:18" s="855" customFormat="1">
      <c r="B8" s="1009" t="s">
        <v>3283</v>
      </c>
      <c r="C8" s="924">
        <f>'Hospit_Data_"A"'!M7+'Hospit_Data_"A"_ExtraHPA'!C6-Hospit_OSN!C6</f>
        <v>5593.0000021739897</v>
      </c>
      <c r="D8" s="924">
        <f>'Hospit_Data_"A"'!N7+'Hospit_Data_"A"_ExtraHPA'!D6-Hospit_OSN!D6</f>
        <v>5543.338330461288</v>
      </c>
      <c r="E8" s="924">
        <f>'Hospit_Data_"A"'!O7+'Hospit_Data_"A"_ExtraHPA'!E6-Hospit_OSN!E6</f>
        <v>5705.2264648060836</v>
      </c>
      <c r="F8" s="924">
        <f>'Hospit_Data_"A"'!P7+'Hospit_Data_"A"_ExtraHPA'!F6-Hospit_OSN!F6</f>
        <v>6023.2623405573941</v>
      </c>
      <c r="G8" s="924">
        <f>'Hospit_Data_"A"'!Q7+'Hospit_Data_"A"_ExtraHPA'!G6-Hospit_OSN!G6</f>
        <v>6227.5076333325542</v>
      </c>
      <c r="H8" s="924">
        <f>'Hospit_Data_"A"'!R7+'Hospit_Data_"A"_ExtraHPA'!H6-Hospit_OSN!H6</f>
        <v>6159.6851816561684</v>
      </c>
      <c r="I8" s="924">
        <f>'Hospit_Data_"A"'!S7+'Hospit_Data_"A"_ExtraHPA'!I6-Hospit_OSN!I6</f>
        <v>5048.0390851820721</v>
      </c>
      <c r="J8" s="924">
        <f>'Hospit_Data_"A"'!T7+'Hospit_Data_"A"_ExtraHPA'!J6-Hospit_OSN!J6</f>
        <v>4150.606640436532</v>
      </c>
      <c r="K8" s="924">
        <f>'Hospit_Data_"A"'!U7+'Hospit_Data_"A"_ExtraHPA'!K6-Hospit_OSN!K6</f>
        <v>4136.0432597028166</v>
      </c>
      <c r="L8" s="924">
        <f>'Hospit_Data_"A"'!V7+'Hospit_Data_"A"_ExtraHPA'!L6-Hospit_OSN!L6</f>
        <v>4127.1917360797615</v>
      </c>
      <c r="M8" s="924">
        <f>'Hospit_Data_"A"'!W7+'Hospit_Data_"A"_ExtraHPA'!M6-Hospit_OSN!M6</f>
        <v>4117.4847486150829</v>
      </c>
      <c r="N8" s="924">
        <f>'Hospit_Data_"A"'!X7+'Hospit_Data_"A"_ExtraHPA'!N6-Hospit_OSN!N6</f>
        <v>4107.9368755915493</v>
      </c>
      <c r="O8" s="924">
        <f>'Hospit_Data_"A"'!Y7+'Hospit_Data_"A"_ExtraHPA'!O6-Hospit_OSN!O6</f>
        <v>4100.1954250574536</v>
      </c>
    </row>
    <row r="9" spans="2:18" s="855" customFormat="1">
      <c r="B9" s="1009" t="s">
        <v>3285</v>
      </c>
      <c r="C9" s="924">
        <f>SUM('Hospit_Data_"A"'!M8:M9,'Hospit_Data_"A"'!M51)+'Hospit_Data_"A"_ExtraHPA'!C7-Hospit_OSN!C7</f>
        <v>5771.3452383512249</v>
      </c>
      <c r="D9" s="924">
        <f>SUM('Hospit_Data_"A"'!N8:N9,'Hospit_Data_"A"'!N51)+'Hospit_Data_"A"_ExtraHPA'!D7-Hospit_OSN!D7</f>
        <v>5737.8233595606234</v>
      </c>
      <c r="E9" s="924">
        <f>SUM('Hospit_Data_"A"'!O8:O9,'Hospit_Data_"A"'!O51)+'Hospit_Data_"A"_ExtraHPA'!E7-Hospit_OSN!E7</f>
        <v>6088.9962308927488</v>
      </c>
      <c r="F9" s="924">
        <f>SUM('Hospit_Data_"A"'!P8:P9,'Hospit_Data_"A"'!P51)+'Hospit_Data_"A"_ExtraHPA'!F7-Hospit_OSN!F7</f>
        <v>6785.5403969387044</v>
      </c>
      <c r="G9" s="924">
        <f>SUM('Hospit_Data_"A"'!Q8:Q9,'Hospit_Data_"A"'!Q51)+'Hospit_Data_"A"_ExtraHPA'!G7-Hospit_OSN!G7</f>
        <v>7234.2417124792701</v>
      </c>
      <c r="H9" s="924">
        <f>SUM('Hospit_Data_"A"'!R8:R9,'Hospit_Data_"A"'!R51)+'Hospit_Data_"A"_ExtraHPA'!H7-Hospit_OSN!H7</f>
        <v>6896.8236008692975</v>
      </c>
      <c r="I9" s="924">
        <f>SUM('Hospit_Data_"A"'!S8:S9,'Hospit_Data_"A"'!S51)+'Hospit_Data_"A"_ExtraHPA'!I7-Hospit_OSN!I7</f>
        <v>7403.3407059175697</v>
      </c>
      <c r="J9" s="924">
        <f>SUM('Hospit_Data_"A"'!T8:T9,'Hospit_Data_"A"'!T51)+'Hospit_Data_"A"_ExtraHPA'!J7-Hospit_OSN!J7</f>
        <v>7919.8435834964512</v>
      </c>
      <c r="K9" s="924">
        <f>SUM('Hospit_Data_"A"'!U8:U9,'Hospit_Data_"A"'!U51)+'Hospit_Data_"A"_ExtraHPA'!K7-Hospit_OSN!K7</f>
        <v>7909.0569276922815</v>
      </c>
      <c r="L9" s="924">
        <f>SUM('Hospit_Data_"A"'!V8:V9,'Hospit_Data_"A"'!V51)+'Hospit_Data_"A"_ExtraHPA'!L7-Hospit_OSN!L7</f>
        <v>7900.1748023366326</v>
      </c>
      <c r="M9" s="924">
        <f>SUM('Hospit_Data_"A"'!W8:W9,'Hospit_Data_"A"'!W51)+'Hospit_Data_"A"_ExtraHPA'!M7-Hospit_OSN!M7</f>
        <v>7890.8977380951819</v>
      </c>
      <c r="N9" s="924">
        <f>SUM('Hospit_Data_"A"'!X8:X9,'Hospit_Data_"A"'!X51)+'Hospit_Data_"A"_ExtraHPA'!N7-Hospit_OSN!N7</f>
        <v>7880.0498985913582</v>
      </c>
      <c r="O9" s="924">
        <f>SUM('Hospit_Data_"A"'!Y8:Y9,'Hospit_Data_"A"'!Y51)+'Hospit_Data_"A"_ExtraHPA'!O7-Hospit_OSN!O7</f>
        <v>7867.7622805746378</v>
      </c>
    </row>
    <row r="10" spans="2:18" s="855" customFormat="1">
      <c r="B10" s="1009" t="s">
        <v>3284</v>
      </c>
      <c r="C10" s="924">
        <f>SUM('Hospit_Data_"A"'!M10:M12)+'Hospit_Data_"A"_ExtraHPA'!C8-Hospit_OSN!C8</f>
        <v>8591.9082217701252</v>
      </c>
      <c r="D10" s="924">
        <f>SUM('Hospit_Data_"A"'!N10:N12)+'Hospit_Data_"A"_ExtraHPA'!D8-Hospit_OSN!D8</f>
        <v>8501.9575529554459</v>
      </c>
      <c r="E10" s="924">
        <f>SUM('Hospit_Data_"A"'!O10:O12)+'Hospit_Data_"A"_ExtraHPA'!E8-Hospit_OSN!E8</f>
        <v>8660.7161862852736</v>
      </c>
      <c r="F10" s="924">
        <f>SUM('Hospit_Data_"A"'!P10:P12)+'Hospit_Data_"A"_ExtraHPA'!F8-Hospit_OSN!F8</f>
        <v>9040.9929326129786</v>
      </c>
      <c r="G10" s="924">
        <f>SUM('Hospit_Data_"A"'!Q10:Q12)+'Hospit_Data_"A"_ExtraHPA'!G8-Hospit_OSN!G8</f>
        <v>9258.1416514861739</v>
      </c>
      <c r="H10" s="924">
        <f>SUM('Hospit_Data_"A"'!R10:R12)+'Hospit_Data_"A"_ExtraHPA'!H8-Hospit_OSN!H8</f>
        <v>9275.147770419102</v>
      </c>
      <c r="I10" s="924">
        <f>SUM('Hospit_Data_"A"'!S10:S12)+'Hospit_Data_"A"_ExtraHPA'!I8-Hospit_OSN!I8</f>
        <v>9951.6513070721467</v>
      </c>
      <c r="J10" s="924">
        <f>SUM('Hospit_Data_"A"'!T10:T12)+'Hospit_Data_"A"_ExtraHPA'!J8-Hospit_OSN!J8</f>
        <v>10758.84240233924</v>
      </c>
      <c r="K10" s="924">
        <f>SUM('Hospit_Data_"A"'!U10:U12)+'Hospit_Data_"A"_ExtraHPA'!K8-Hospit_OSN!K8</f>
        <v>10714.559904753112</v>
      </c>
      <c r="L10" s="924">
        <f>SUM('Hospit_Data_"A"'!V10:V12)+'Hospit_Data_"A"_ExtraHPA'!L8-Hospit_OSN!L8</f>
        <v>10689.567604965439</v>
      </c>
      <c r="M10" s="924">
        <f>SUM('Hospit_Data_"A"'!W10:W12)+'Hospit_Data_"A"_ExtraHPA'!M8-Hospit_OSN!M8</f>
        <v>10670.701242983123</v>
      </c>
      <c r="N10" s="924">
        <f>SUM('Hospit_Data_"A"'!X10:X12)+'Hospit_Data_"A"_ExtraHPA'!N8-Hospit_OSN!N8</f>
        <v>10656.64768498378</v>
      </c>
      <c r="O10" s="924">
        <f>SUM('Hospit_Data_"A"'!Y10:Y12)+'Hospit_Data_"A"_ExtraHPA'!O8-Hospit_OSN!O8</f>
        <v>10637.176324342132</v>
      </c>
    </row>
    <row r="11" spans="2:18" s="855" customFormat="1">
      <c r="B11" s="1009" t="s">
        <v>3287</v>
      </c>
      <c r="C11" s="924">
        <f>'Hospit_Data_"A"'!M15+'Hospit_Data_"A"'!M16+'Hospit_Data_"A"'!M54+'Hospit_Data_"A"_ExtraHPA'!C9-Hospit_OSN!C9</f>
        <v>5027.967327458502</v>
      </c>
      <c r="D11" s="924">
        <f>'Hospit_Data_"A"'!N15+'Hospit_Data_"A"'!N16+'Hospit_Data_"A"'!N54+'Hospit_Data_"A"_ExtraHPA'!D9-Hospit_OSN!D9</f>
        <v>5002.6016085254187</v>
      </c>
      <c r="E11" s="924">
        <f>'Hospit_Data_"A"'!O15+'Hospit_Data_"A"'!O16+'Hospit_Data_"A"'!O54+'Hospit_Data_"A"_ExtraHPA'!E9-Hospit_OSN!E9</f>
        <v>5500.4921682442073</v>
      </c>
      <c r="F11" s="924">
        <f>'Hospit_Data_"A"'!P15+'Hospit_Data_"A"'!P16+'Hospit_Data_"A"'!P54+'Hospit_Data_"A"_ExtraHPA'!F9-Hospit_OSN!F9</f>
        <v>6491.5214493712929</v>
      </c>
      <c r="G11" s="924">
        <f>'Hospit_Data_"A"'!Q15+'Hospit_Data_"A"'!Q16+'Hospit_Data_"A"'!Q54+'Hospit_Data_"A"_ExtraHPA'!G9-Hospit_OSN!G9</f>
        <v>7156.8623498334782</v>
      </c>
      <c r="H11" s="924">
        <f>'Hospit_Data_"A"'!R15+'Hospit_Data_"A"'!R16+'Hospit_Data_"A"'!R54+'Hospit_Data_"A"_ExtraHPA'!H9-Hospit_OSN!H9</f>
        <v>7466.030647024334</v>
      </c>
      <c r="I11" s="924">
        <f>'Hospit_Data_"A"'!S15+'Hospit_Data_"A"'!S16+'Hospit_Data_"A"'!S54+'Hospit_Data_"A"_ExtraHPA'!I9-Hospit_OSN!I9</f>
        <v>6983.0274647081442</v>
      </c>
      <c r="J11" s="924">
        <f>'Hospit_Data_"A"'!T15+'Hospit_Data_"A"'!T16+'Hospit_Data_"A"'!T54+'Hospit_Data_"A"_ExtraHPA'!J9-Hospit_OSN!J9</f>
        <v>6463.6579735320684</v>
      </c>
      <c r="K11" s="924">
        <f>'Hospit_Data_"A"'!U15+'Hospit_Data_"A"'!U16+'Hospit_Data_"A"'!U54+'Hospit_Data_"A"_ExtraHPA'!K9-Hospit_OSN!K9</f>
        <v>6469.0510389016254</v>
      </c>
      <c r="L11" s="924">
        <f>'Hospit_Data_"A"'!V15+'Hospit_Data_"A"'!V16+'Hospit_Data_"A"'!V54+'Hospit_Data_"A"_ExtraHPA'!L9-Hospit_OSN!L9</f>
        <v>6462.8415458050822</v>
      </c>
      <c r="M11" s="924">
        <f>'Hospit_Data_"A"'!W15+'Hospit_Data_"A"'!W16+'Hospit_Data_"A"'!W54+'Hospit_Data_"A"_ExtraHPA'!M9-Hospit_OSN!M9</f>
        <v>6455.6947750142735</v>
      </c>
      <c r="N11" s="924">
        <f>'Hospit_Data_"A"'!X15+'Hospit_Data_"A"'!X16+'Hospit_Data_"A"'!X54+'Hospit_Data_"A"_ExtraHPA'!N9-Hospit_OSN!N9</f>
        <v>6443.9211803123426</v>
      </c>
      <c r="O11" s="924">
        <f>'Hospit_Data_"A"'!Y15+'Hospit_Data_"A"'!Y16+'Hospit_Data_"A"'!Y54+'Hospit_Data_"A"_ExtraHPA'!O9-Hospit_OSN!O9</f>
        <v>6432.1033750262905</v>
      </c>
    </row>
    <row r="12" spans="2:18" s="855" customFormat="1">
      <c r="B12" s="1009" t="s">
        <v>3288</v>
      </c>
      <c r="C12" s="924">
        <f>'Hospit_Data_"A"'!M50+'Hospit_Data_"A"_ExtraHPA'!C10-Hospit_OSN!C10</f>
        <v>2685.6012900958985</v>
      </c>
      <c r="D12" s="924">
        <f>'Hospit_Data_"A"'!N50+'Hospit_Data_"A"_ExtraHPA'!D10-Hospit_OSN!D10</f>
        <v>2661.7551521434384</v>
      </c>
      <c r="E12" s="924">
        <f>'Hospit_Data_"A"'!O50+'Hospit_Data_"A"_ExtraHPA'!E10-Hospit_OSN!E10</f>
        <v>2709.5941340444033</v>
      </c>
      <c r="F12" s="924">
        <f>'Hospit_Data_"A"'!P50+'Hospit_Data_"A"_ExtraHPA'!F10-Hospit_OSN!F10</f>
        <v>2776.6039292559549</v>
      </c>
      <c r="G12" s="924">
        <f>'Hospit_Data_"A"'!Q50+'Hospit_Data_"A"_ExtraHPA'!G10-Hospit_OSN!G10</f>
        <v>2860.6116759163697</v>
      </c>
      <c r="H12" s="924">
        <f>'Hospit_Data_"A"'!R50+'Hospit_Data_"A"_ExtraHPA'!H10-Hospit_OSN!H10</f>
        <v>2847.414419757094</v>
      </c>
      <c r="I12" s="924">
        <f>'Hospit_Data_"A"'!S50+'Hospit_Data_"A"_ExtraHPA'!I10-Hospit_OSN!I10</f>
        <v>3737.6184930835734</v>
      </c>
      <c r="J12" s="924">
        <f>'Hospit_Data_"A"'!T50+'Hospit_Data_"A"_ExtraHPA'!J10-Hospit_OSN!J10</f>
        <v>4651.1908008084047</v>
      </c>
      <c r="K12" s="924">
        <f>'Hospit_Data_"A"'!U50+'Hospit_Data_"A"_ExtraHPA'!K10-Hospit_OSN!K10</f>
        <v>4630.8023746312419</v>
      </c>
      <c r="L12" s="924">
        <f>'Hospit_Data_"A"'!V50+'Hospit_Data_"A"_ExtraHPA'!L10-Hospit_OSN!L10</f>
        <v>4611.5769373078429</v>
      </c>
      <c r="M12" s="924">
        <f>'Hospit_Data_"A"'!W50+'Hospit_Data_"A"_ExtraHPA'!M10-Hospit_OSN!M10</f>
        <v>4592.4549263898334</v>
      </c>
      <c r="N12" s="924">
        <f>'Hospit_Data_"A"'!X50+'Hospit_Data_"A"_ExtraHPA'!N10-Hospit_OSN!N10</f>
        <v>4572.4019645334083</v>
      </c>
      <c r="O12" s="924">
        <f>'Hospit_Data_"A"'!Y50+'Hospit_Data_"A"_ExtraHPA'!O10-Hospit_OSN!O10</f>
        <v>4550.759004309828</v>
      </c>
    </row>
    <row r="13" spans="2:18" s="855" customFormat="1">
      <c r="B13" s="1009" t="s">
        <v>3289</v>
      </c>
      <c r="C13" s="924">
        <f>'Hospit_Data_"A"'!M60+'Hospit_Data_"A"_ExtraHPA'!C11-Hospit_OSN!C11</f>
        <v>0</v>
      </c>
      <c r="D13" s="924">
        <f>'Hospit_Data_"A"'!N60+'Hospit_Data_"A"_ExtraHPA'!D11-Hospit_OSN!D11</f>
        <v>0</v>
      </c>
      <c r="E13" s="924">
        <f>'Hospit_Data_"A"'!O60+'Hospit_Data_"A"_ExtraHPA'!E11-Hospit_OSN!E11</f>
        <v>0</v>
      </c>
      <c r="F13" s="924">
        <f>'Hospit_Data_"A"'!P60+'Hospit_Data_"A"_ExtraHPA'!F11-Hospit_OSN!F11</f>
        <v>0</v>
      </c>
      <c r="G13" s="924">
        <f>'Hospit_Data_"A"'!Q60+'Hospit_Data_"A"_ExtraHPA'!G11-Hospit_OSN!G11</f>
        <v>-2.5465851649641993E-13</v>
      </c>
      <c r="H13" s="924">
        <f>'Hospit_Data_"A"'!R60+'Hospit_Data_"A"_ExtraHPA'!H11-Hospit_OSN!H11</f>
        <v>149.99999999999974</v>
      </c>
      <c r="I13" s="924">
        <f>'Hospit_Data_"A"'!S60+'Hospit_Data_"A"_ExtraHPA'!I11-Hospit_OSN!I11</f>
        <v>371.70530371111363</v>
      </c>
      <c r="J13" s="924">
        <f>'Hospit_Data_"A"'!T60+'Hospit_Data_"A"_ExtraHPA'!J11-Hospit_OSN!J11</f>
        <v>595.35412355380595</v>
      </c>
      <c r="K13" s="924">
        <f>'Hospit_Data_"A"'!U60+'Hospit_Data_"A"_ExtraHPA'!K11-Hospit_OSN!K11</f>
        <v>645.3485166186864</v>
      </c>
      <c r="L13" s="924">
        <f>'Hospit_Data_"A"'!V60+'Hospit_Data_"A"_ExtraHPA'!L11-Hospit_OSN!L11</f>
        <v>646.10203092788447</v>
      </c>
      <c r="M13" s="924">
        <f>'Hospit_Data_"A"'!W60+'Hospit_Data_"A"_ExtraHPA'!M11-Hospit_OSN!M11</f>
        <v>646.8521897352598</v>
      </c>
      <c r="N13" s="924">
        <f>'Hospit_Data_"A"'!X60+'Hospit_Data_"A"_ExtraHPA'!N11-Hospit_OSN!N11</f>
        <v>647.5135330665845</v>
      </c>
      <c r="O13" s="924">
        <f>'Hospit_Data_"A"'!Y60+'Hospit_Data_"A"_ExtraHPA'!O11-Hospit_OSN!O11</f>
        <v>648.02585583636892</v>
      </c>
    </row>
    <row r="14" spans="2:18" s="855" customFormat="1">
      <c r="B14" s="1009" t="s">
        <v>3290</v>
      </c>
      <c r="C14" s="924">
        <f>'Hospit_Data_"A"'!M56+'Hospit_Data_"A"_ExtraHPA'!C12-Hospit_OSN!C12</f>
        <v>1129.0139651689506</v>
      </c>
      <c r="D14" s="924">
        <f>'Hospit_Data_"A"'!N56+'Hospit_Data_"A"_ExtraHPA'!D12-Hospit_OSN!D12</f>
        <v>1132.5526675817871</v>
      </c>
      <c r="E14" s="924">
        <f>'Hospit_Data_"A"'!O56+'Hospit_Data_"A"_ExtraHPA'!E12-Hospit_OSN!E12</f>
        <v>1179.1607402150239</v>
      </c>
      <c r="F14" s="924">
        <f>'Hospit_Data_"A"'!P56+'Hospit_Data_"A"_ExtraHPA'!F12-Hospit_OSN!F12</f>
        <v>1272.2579616987541</v>
      </c>
      <c r="G14" s="924">
        <f>'Hospit_Data_"A"'!Q56+'Hospit_Data_"A"_ExtraHPA'!G12-Hospit_OSN!G12</f>
        <v>1339.246389542762</v>
      </c>
      <c r="H14" s="924">
        <f>'Hospit_Data_"A"'!R56+'Hospit_Data_"A"_ExtraHPA'!H12-Hospit_OSN!H12</f>
        <v>1386.1194842456932</v>
      </c>
      <c r="I14" s="924">
        <f>'Hospit_Data_"A"'!S56+'Hospit_Data_"A"_ExtraHPA'!I12-Hospit_OSN!I12</f>
        <v>1439.752760172837</v>
      </c>
      <c r="J14" s="924">
        <f>'Hospit_Data_"A"'!T56+'Hospit_Data_"A"_ExtraHPA'!J12-Hospit_OSN!J12</f>
        <v>1488.8294966721289</v>
      </c>
      <c r="K14" s="924">
        <f>'Hospit_Data_"A"'!U56+'Hospit_Data_"A"_ExtraHPA'!K12-Hospit_OSN!K12</f>
        <v>1495.6210889621998</v>
      </c>
      <c r="L14" s="924">
        <f>'Hospit_Data_"A"'!V56+'Hospit_Data_"A"_ExtraHPA'!L12-Hospit_OSN!L12</f>
        <v>1500.6601557000586</v>
      </c>
      <c r="M14" s="924">
        <f>'Hospit_Data_"A"'!W56+'Hospit_Data_"A"_ExtraHPA'!M12-Hospit_OSN!M12</f>
        <v>1505.6238545849039</v>
      </c>
      <c r="N14" s="924">
        <f>'Hospit_Data_"A"'!X56+'Hospit_Data_"A"_ExtraHPA'!N12-Hospit_OSN!N12</f>
        <v>1507.6150157620114</v>
      </c>
      <c r="O14" s="924">
        <f>'Hospit_Data_"A"'!Y56+'Hospit_Data_"A"_ExtraHPA'!O12-Hospit_OSN!O12</f>
        <v>1509.4131927454496</v>
      </c>
    </row>
    <row r="15" spans="2:18" s="855" customFormat="1">
      <c r="B15" s="1009" t="s">
        <v>3291</v>
      </c>
      <c r="C15" s="924">
        <f>'Hospit_Data_"A"'!M18+'Hospit_Data_"A"_ExtraHPA'!C13-Hospit_OSN!C13</f>
        <v>740.49297316402578</v>
      </c>
      <c r="D15" s="924">
        <f>'Hospit_Data_"A"'!N18+'Hospit_Data_"A"_ExtraHPA'!D13-Hospit_OSN!D13</f>
        <v>726.50463483073509</v>
      </c>
      <c r="E15" s="924">
        <f>'Hospit_Data_"A"'!O18+'Hospit_Data_"A"_ExtraHPA'!E13-Hospit_OSN!E13</f>
        <v>763.85029474011333</v>
      </c>
      <c r="F15" s="924">
        <f>'Hospit_Data_"A"'!P18+'Hospit_Data_"A"_ExtraHPA'!F13-Hospit_OSN!F13</f>
        <v>837.82876973767202</v>
      </c>
      <c r="G15" s="924">
        <f>'Hospit_Data_"A"'!Q18+'Hospit_Data_"A"_ExtraHPA'!G13-Hospit_OSN!G13</f>
        <v>885.03498681455585</v>
      </c>
      <c r="H15" s="924">
        <f>'Hospit_Data_"A"'!R18+'Hospit_Data_"A"_ExtraHPA'!H13-Hospit_OSN!H13</f>
        <v>876.46954450596252</v>
      </c>
      <c r="I15" s="924">
        <f>'Hospit_Data_"A"'!S18+'Hospit_Data_"A"_ExtraHPA'!I13-Hospit_OSN!I13</f>
        <v>881.08537740185523</v>
      </c>
      <c r="J15" s="924">
        <f>'Hospit_Data_"A"'!T18+'Hospit_Data_"A"_ExtraHPA'!J13-Hospit_OSN!J13</f>
        <v>918.66068277600743</v>
      </c>
      <c r="K15" s="924">
        <f>'Hospit_Data_"A"'!U18+'Hospit_Data_"A"_ExtraHPA'!K13-Hospit_OSN!K13</f>
        <v>914.00005596011749</v>
      </c>
      <c r="L15" s="924">
        <f>'Hospit_Data_"A"'!V18+'Hospit_Data_"A"_ExtraHPA'!L13-Hospit_OSN!L13</f>
        <v>909.89785579677255</v>
      </c>
      <c r="M15" s="924">
        <f>'Hospit_Data_"A"'!W18+'Hospit_Data_"A"_ExtraHPA'!M13-Hospit_OSN!M13</f>
        <v>905.73196188075599</v>
      </c>
      <c r="N15" s="924">
        <f>'Hospit_Data_"A"'!X18+'Hospit_Data_"A"_ExtraHPA'!N13-Hospit_OSN!N13</f>
        <v>901.45695652373433</v>
      </c>
      <c r="O15" s="924">
        <f>'Hospit_Data_"A"'!Y18+'Hospit_Data_"A"_ExtraHPA'!O13-Hospit_OSN!O13</f>
        <v>897.03078558956759</v>
      </c>
    </row>
    <row r="16" spans="2:18" s="855" customFormat="1">
      <c r="B16" s="1009" t="s">
        <v>3292</v>
      </c>
      <c r="C16" s="924">
        <f>'Hospit_Data_"A"'!M19+'Hospit_Data_"A"_ExtraHPA'!C14-Hospit_OSN!C14</f>
        <v>606.81371431697039</v>
      </c>
      <c r="D16" s="924">
        <f>'Hospit_Data_"A"'!N19+'Hospit_Data_"A"_ExtraHPA'!D14-Hospit_OSN!D14</f>
        <v>607.50066744963567</v>
      </c>
      <c r="E16" s="924">
        <f>'Hospit_Data_"A"'!O19+'Hospit_Data_"A"_ExtraHPA'!E14-Hospit_OSN!E14</f>
        <v>608.05035671797953</v>
      </c>
      <c r="F16" s="924">
        <f>'Hospit_Data_"A"'!P19+'Hospit_Data_"A"_ExtraHPA'!F14-Hospit_OSN!F14</f>
        <v>608.47855102523522</v>
      </c>
      <c r="G16" s="924">
        <f>'Hospit_Data_"A"'!Q19+'Hospit_Data_"A"_ExtraHPA'!G14-Hospit_OSN!G14</f>
        <v>670.32621113830226</v>
      </c>
      <c r="H16" s="924">
        <f>'Hospit_Data_"A"'!R19+'Hospit_Data_"A"_ExtraHPA'!H14-Hospit_OSN!H14</f>
        <v>738.29831775257821</v>
      </c>
      <c r="I16" s="924">
        <f>'Hospit_Data_"A"'!S19+'Hospit_Data_"A"_ExtraHPA'!I14-Hospit_OSN!I14</f>
        <v>976.95341498403218</v>
      </c>
      <c r="J16" s="924">
        <f>'Hospit_Data_"A"'!T19+'Hospit_Data_"A"_ExtraHPA'!J14-Hospit_OSN!J14</f>
        <v>1227.508186716412</v>
      </c>
      <c r="K16" s="924">
        <f>'Hospit_Data_"A"'!U19+'Hospit_Data_"A"_ExtraHPA'!K14-Hospit_OSN!K14</f>
        <v>1317.8674650936368</v>
      </c>
      <c r="L16" s="924">
        <f>'Hospit_Data_"A"'!V19+'Hospit_Data_"A"_ExtraHPA'!L14-Hospit_OSN!L14</f>
        <v>1418.0540460556654</v>
      </c>
      <c r="M16" s="924">
        <f>'Hospit_Data_"A"'!W19+'Hospit_Data_"A"_ExtraHPA'!M14-Hospit_OSN!M14</f>
        <v>1528.4556027052404</v>
      </c>
      <c r="N16" s="924">
        <f>'Hospit_Data_"A"'!X19+'Hospit_Data_"A"_ExtraHPA'!N14-Hospit_OSN!N14</f>
        <v>1625.9236204454996</v>
      </c>
      <c r="O16" s="924">
        <f>'Hospit_Data_"A"'!Y19+'Hospit_Data_"A"_ExtraHPA'!O14-Hospit_OSN!O14</f>
        <v>1692.1215517080768</v>
      </c>
    </row>
    <row r="17" spans="2:16" s="855" customFormat="1">
      <c r="B17" s="1009" t="s">
        <v>3286</v>
      </c>
      <c r="C17" s="924">
        <f>C4-SUM(C7:C16)</f>
        <v>12237.168312301663</v>
      </c>
      <c r="D17" s="924">
        <f t="shared" ref="D17:O17" si="0">D4-SUM(D7:D16)</f>
        <v>12099.91333121372</v>
      </c>
      <c r="E17" s="924">
        <f t="shared" si="0"/>
        <v>12157.829899805984</v>
      </c>
      <c r="F17" s="924">
        <f t="shared" si="0"/>
        <v>12259.593496096255</v>
      </c>
      <c r="G17" s="924">
        <f t="shared" si="0"/>
        <v>12362.212807432123</v>
      </c>
      <c r="H17" s="924">
        <f t="shared" si="0"/>
        <v>12613.25684505525</v>
      </c>
      <c r="I17" s="924">
        <f t="shared" si="0"/>
        <v>13159.562798433391</v>
      </c>
      <c r="J17" s="924">
        <f t="shared" si="0"/>
        <v>13852.444047267891</v>
      </c>
      <c r="K17" s="924">
        <f t="shared" si="0"/>
        <v>13837.250624608168</v>
      </c>
      <c r="L17" s="924">
        <f t="shared" si="0"/>
        <v>13801.152675104677</v>
      </c>
      <c r="M17" s="924">
        <f t="shared" si="0"/>
        <v>13764.284120036566</v>
      </c>
      <c r="N17" s="924">
        <f t="shared" si="0"/>
        <v>13724.204174904196</v>
      </c>
      <c r="O17" s="924">
        <f t="shared" si="0"/>
        <v>13680.88030662603</v>
      </c>
    </row>
    <row r="18" spans="2:16">
      <c r="B18" s="552" t="s">
        <v>3279</v>
      </c>
      <c r="C18" s="70">
        <f>'Revenues"A"'!H69</f>
        <v>8040.1189238951947</v>
      </c>
      <c r="D18" s="70">
        <f>'Revenues"A"'!I69</f>
        <v>8289.8508562755633</v>
      </c>
      <c r="E18" s="70">
        <f>'Revenues"A"'!J69</f>
        <v>8875.0431228828638</v>
      </c>
      <c r="F18" s="70">
        <f>'Revenues"A"'!K69</f>
        <v>9740.1353046616332</v>
      </c>
      <c r="G18" s="70">
        <f>'Revenues"A"'!L69</f>
        <v>10493.282679336458</v>
      </c>
      <c r="H18" s="70">
        <f>'Revenues"A"'!M69</f>
        <v>10910.893948822242</v>
      </c>
      <c r="I18" s="70">
        <f>'Revenues"A"'!N69</f>
        <v>11586.622506248492</v>
      </c>
      <c r="J18" s="70">
        <f>'Revenues"A"'!O69</f>
        <v>12460.73437044081</v>
      </c>
      <c r="K18" s="70">
        <f>'Revenues"A"'!P69</f>
        <v>12893.298991965385</v>
      </c>
      <c r="L18" s="70">
        <f>'Revenues"A"'!Q69</f>
        <v>13322.458924068078</v>
      </c>
      <c r="M18" s="70">
        <f>'Revenues"A"'!R69</f>
        <v>13759.166060425487</v>
      </c>
      <c r="N18" s="70">
        <f>'Revenues"A"'!S69</f>
        <v>14195.551897392081</v>
      </c>
      <c r="O18" s="70">
        <f>'Revenues"A"'!T69</f>
        <v>14626.229711767182</v>
      </c>
    </row>
    <row r="19" spans="2:16">
      <c r="C19" s="332">
        <f t="shared" ref="C19:O19" si="1">C18/C4</f>
        <v>0.15798481255339886</v>
      </c>
      <c r="D19" s="332">
        <f t="shared" si="1"/>
        <v>0.16457921097767733</v>
      </c>
      <c r="E19" s="332">
        <f t="shared" si="1"/>
        <v>0.17124914605754113</v>
      </c>
      <c r="F19" s="332">
        <f t="shared" si="1"/>
        <v>0.17799592314030727</v>
      </c>
      <c r="G19" s="332">
        <f t="shared" si="1"/>
        <v>0.1848208778244545</v>
      </c>
      <c r="H19" s="332">
        <f t="shared" si="1"/>
        <v>0.19172537684106086</v>
      </c>
      <c r="I19" s="332">
        <f t="shared" si="1"/>
        <v>0.19871081896624093</v>
      </c>
      <c r="J19" s="332">
        <f t="shared" si="1"/>
        <v>0.20577863596586288</v>
      </c>
      <c r="K19" s="332">
        <f t="shared" si="1"/>
        <v>0.21293029357388471</v>
      </c>
      <c r="L19" s="332">
        <f t="shared" si="1"/>
        <v>0.22016729250571426</v>
      </c>
      <c r="M19" s="332">
        <f t="shared" si="1"/>
        <v>0.22749116950806475</v>
      </c>
      <c r="N19" s="332">
        <f t="shared" si="1"/>
        <v>0.23490349844684821</v>
      </c>
      <c r="O19" s="332">
        <f t="shared" si="1"/>
        <v>0.24240589143472388</v>
      </c>
    </row>
    <row r="21" spans="2:16" s="568" customFormat="1"/>
    <row r="22" spans="2:16">
      <c r="B22" s="1165" t="s">
        <v>3280</v>
      </c>
      <c r="C22" s="1156">
        <f>C2</f>
        <v>44926</v>
      </c>
      <c r="D22" s="1156">
        <f t="shared" ref="D22:O22" si="2">D2</f>
        <v>45291</v>
      </c>
      <c r="E22" s="1156">
        <f t="shared" si="2"/>
        <v>45657</v>
      </c>
      <c r="F22" s="1156">
        <f t="shared" si="2"/>
        <v>46022</v>
      </c>
      <c r="G22" s="1156">
        <f t="shared" si="2"/>
        <v>46387</v>
      </c>
      <c r="H22" s="1156">
        <f t="shared" si="2"/>
        <v>46752</v>
      </c>
      <c r="I22" s="1156">
        <f t="shared" si="2"/>
        <v>47118</v>
      </c>
      <c r="J22" s="1156">
        <f t="shared" si="2"/>
        <v>47483</v>
      </c>
      <c r="K22" s="1156">
        <f t="shared" si="2"/>
        <v>47848</v>
      </c>
      <c r="L22" s="1156">
        <f t="shared" si="2"/>
        <v>48213</v>
      </c>
      <c r="M22" s="1156">
        <f t="shared" si="2"/>
        <v>48579</v>
      </c>
      <c r="N22" s="1156">
        <f t="shared" si="2"/>
        <v>48944</v>
      </c>
      <c r="O22" s="1156">
        <f t="shared" si="2"/>
        <v>49309</v>
      </c>
      <c r="P22" s="70"/>
    </row>
    <row r="23" spans="2:16">
      <c r="B23" s="552" t="s">
        <v>3168</v>
      </c>
      <c r="C23" s="70">
        <f>'Revenues"0"'!H39</f>
        <v>1249.5</v>
      </c>
      <c r="D23" s="70">
        <f>'Revenues"0"'!I39</f>
        <v>1249.5</v>
      </c>
      <c r="E23" s="70">
        <f>'Revenues"0"'!J39</f>
        <v>1249.5</v>
      </c>
      <c r="F23" s="70">
        <f>'Revenues"0"'!K39</f>
        <v>1249.5</v>
      </c>
      <c r="G23" s="70">
        <f>'Revenues"0"'!L39</f>
        <v>1249.5</v>
      </c>
      <c r="H23" s="70">
        <f>'Revenues"0"'!M39</f>
        <v>1249.5</v>
      </c>
      <c r="I23" s="70">
        <f>'Revenues"0"'!N39</f>
        <v>1249.5</v>
      </c>
      <c r="J23" s="70">
        <f>'Revenues"0"'!O39</f>
        <v>1249.5</v>
      </c>
      <c r="K23" s="70">
        <f>'Revenues"0"'!P39</f>
        <v>1249.5</v>
      </c>
      <c r="L23" s="70">
        <f>'Revenues"0"'!Q39</f>
        <v>1249.5</v>
      </c>
      <c r="M23" s="70">
        <f>'Revenues"0"'!R39</f>
        <v>1249.5</v>
      </c>
      <c r="N23" s="70">
        <f>'Revenues"0"'!S39</f>
        <v>1249.5</v>
      </c>
      <c r="O23" s="70">
        <f>'Revenues"0"'!T39</f>
        <v>1249.5</v>
      </c>
    </row>
    <row r="24" spans="2:16">
      <c r="B24" s="552" t="s">
        <v>3276</v>
      </c>
      <c r="C24" s="70">
        <f>'Revenues"0"'!H40</f>
        <v>50891.720501156626</v>
      </c>
      <c r="D24" s="70">
        <f>'Revenues"0"'!I40</f>
        <v>50381.192550533953</v>
      </c>
      <c r="E24" s="70">
        <f>'Revenues"0"'!J40</f>
        <v>50421.638915522606</v>
      </c>
      <c r="F24" s="70">
        <f>'Revenues"0"'!K40</f>
        <v>50470.059209398256</v>
      </c>
      <c r="G24" s="70">
        <f>'Revenues"0"'!L40</f>
        <v>50715.689643894882</v>
      </c>
      <c r="H24" s="70">
        <f>'Revenues"0"'!M40</f>
        <v>49084.655661410303</v>
      </c>
      <c r="I24" s="70">
        <f>'Revenues"0"'!N40</f>
        <v>47707.673908372562</v>
      </c>
      <c r="J24" s="70">
        <f>'Revenues"0"'!O40</f>
        <v>47036.744164624863</v>
      </c>
      <c r="K24" s="70">
        <f>'Revenues"0"'!P40</f>
        <v>47054.787110279336</v>
      </c>
      <c r="L24" s="70">
        <f>'Revenues"0"'!Q40</f>
        <v>47046.223280626902</v>
      </c>
      <c r="M24" s="70">
        <f>'Revenues"0"'!R40</f>
        <v>47049.709932476966</v>
      </c>
      <c r="N24" s="70">
        <f>'Revenues"0"'!S40</f>
        <v>47036.874515280593</v>
      </c>
      <c r="O24" s="70">
        <f>'Revenues"0"'!T40</f>
        <v>46986.530963576479</v>
      </c>
    </row>
    <row r="25" spans="2:16" s="855" customFormat="1">
      <c r="B25" s="1010" t="s">
        <v>3277</v>
      </c>
      <c r="C25" s="1011">
        <f>'Revenues"0"'!H42</f>
        <v>13.412199951038929</v>
      </c>
      <c r="D25" s="1011">
        <f>'Revenues"0"'!I42+C25</f>
        <v>-497.11575067163358</v>
      </c>
      <c r="E25" s="1011">
        <f>'Revenues"0"'!J42+D25</f>
        <v>-456.66938568298065</v>
      </c>
      <c r="F25" s="1011">
        <f>'Revenues"0"'!K42+E25</f>
        <v>-408.24909180733084</v>
      </c>
      <c r="G25" s="1011">
        <f>'Revenues"0"'!L42+F25</f>
        <v>-162.61865731070429</v>
      </c>
      <c r="H25" s="1011">
        <f>'Revenues"0"'!M42+G25</f>
        <v>-1793.6526397952839</v>
      </c>
      <c r="I25" s="1011">
        <f>'Revenues"0"'!N42+H25</f>
        <v>-3170.6343928330243</v>
      </c>
      <c r="J25" s="1011">
        <f>'Revenues"0"'!O42+I25</f>
        <v>-3841.5641365807242</v>
      </c>
      <c r="K25" s="1011">
        <f>'Revenues"0"'!P42+J25</f>
        <v>-3823.5211909262507</v>
      </c>
      <c r="L25" s="1011">
        <f>'Revenues"0"'!Q42+K25</f>
        <v>-3832.0850205786846</v>
      </c>
      <c r="M25" s="1011">
        <f>'Revenues"0"'!R42+L25</f>
        <v>-3828.5983687286207</v>
      </c>
      <c r="N25" s="1011">
        <f>'Revenues"0"'!S42+M25</f>
        <v>-3841.4337859249936</v>
      </c>
      <c r="O25" s="1011">
        <f>'Revenues"0"'!T42+N25</f>
        <v>-3891.7773376291079</v>
      </c>
    </row>
    <row r="26" spans="2:16" s="855" customFormat="1">
      <c r="B26" s="997" t="s">
        <v>3278</v>
      </c>
      <c r="C26" s="1012">
        <f>'Revenues"0"'!H41</f>
        <v>0</v>
      </c>
      <c r="D26" s="1012">
        <f>'Revenues"0"'!I41</f>
        <v>0</v>
      </c>
      <c r="E26" s="1012">
        <f>'Revenues"0"'!J41</f>
        <v>0</v>
      </c>
      <c r="F26" s="1012">
        <f>'Revenues"0"'!K41</f>
        <v>0</v>
      </c>
      <c r="G26" s="1012">
        <f>'Revenues"0"'!L41</f>
        <v>0</v>
      </c>
      <c r="H26" s="1012">
        <f>'Revenues"0"'!M41</f>
        <v>0</v>
      </c>
      <c r="I26" s="1012">
        <f>'Revenues"0"'!N41</f>
        <v>0</v>
      </c>
      <c r="J26" s="1012">
        <f>'Revenues"0"'!O41</f>
        <v>0</v>
      </c>
      <c r="K26" s="1012">
        <f>'Revenues"0"'!P41</f>
        <v>0</v>
      </c>
      <c r="L26" s="1012">
        <f>'Revenues"0"'!Q41</f>
        <v>0</v>
      </c>
      <c r="M26" s="1012">
        <f>'Revenues"0"'!R41</f>
        <v>0</v>
      </c>
      <c r="N26" s="1012">
        <f>'Revenues"0"'!S41</f>
        <v>0</v>
      </c>
      <c r="O26" s="1012">
        <f>'Revenues"0"'!T41</f>
        <v>0</v>
      </c>
    </row>
    <row r="27" spans="2:16" s="855" customFormat="1">
      <c r="B27" s="1009" t="s">
        <v>3282</v>
      </c>
      <c r="C27" s="924">
        <f>'Hospit_Data_"0"'!M5</f>
        <v>8508.4094563552753</v>
      </c>
      <c r="D27" s="924">
        <f>'Hospit_Data_"0"'!N5</f>
        <v>8356.0283868004208</v>
      </c>
      <c r="E27" s="924">
        <f>'Hospit_Data_"0"'!O5</f>
        <v>8371.9528222617882</v>
      </c>
      <c r="F27" s="924">
        <f>'Hospit_Data_"0"'!P5</f>
        <v>8386.2262720933013</v>
      </c>
      <c r="G27" s="924">
        <f>'Hospit_Data_"0"'!Q5</f>
        <v>8440.7469470971682</v>
      </c>
      <c r="H27" s="924">
        <f>'Hospit_Data_"0"'!R5</f>
        <v>8114.6487905858985</v>
      </c>
      <c r="I27" s="924">
        <f>'Hospit_Data_"0"'!S5</f>
        <v>7782.1060767976896</v>
      </c>
      <c r="J27" s="924">
        <f>'Hospit_Data_"0"'!T5</f>
        <v>7744.4258910731487</v>
      </c>
      <c r="K27" s="924">
        <f>'Hospit_Data_"0"'!U5</f>
        <v>7701.5439323295786</v>
      </c>
      <c r="L27" s="924">
        <f>'Hospit_Data_"0"'!V5</f>
        <v>7665.0586435498572</v>
      </c>
      <c r="M27" s="924">
        <f>'Hospit_Data_"0"'!W5</f>
        <v>7627.8900180942319</v>
      </c>
      <c r="N27" s="924">
        <f>'Hospit_Data_"0"'!X5</f>
        <v>7590.0283775605694</v>
      </c>
      <c r="O27" s="924">
        <f>'Hospit_Data_"0"'!Y5</f>
        <v>7551.3197362641813</v>
      </c>
    </row>
    <row r="28" spans="2:16" s="855" customFormat="1">
      <c r="B28" s="1009" t="s">
        <v>3283</v>
      </c>
      <c r="C28" s="924">
        <f>'Hospit_Data_"0"'!M6</f>
        <v>5593.0000021739897</v>
      </c>
      <c r="D28" s="924">
        <f>'Hospit_Data_"0"'!N6</f>
        <v>5543.338330461288</v>
      </c>
      <c r="E28" s="924">
        <f>'Hospit_Data_"0"'!O6</f>
        <v>5548.3541497917349</v>
      </c>
      <c r="F28" s="924">
        <f>'Hospit_Data_"0"'!P6</f>
        <v>5552.261348653361</v>
      </c>
      <c r="G28" s="924">
        <f>'Hospit_Data_"0"'!Q6</f>
        <v>5559.4429171819711</v>
      </c>
      <c r="H28" s="924">
        <f>'Hospit_Data_"0"'!R6</f>
        <v>5396.7641438914843</v>
      </c>
      <c r="I28" s="924">
        <f>'Hospit_Data_"0"'!S6</f>
        <v>5176.7695790764246</v>
      </c>
      <c r="J28" s="924">
        <f>'Hospit_Data_"0"'!T6</f>
        <v>5164.9049432588226</v>
      </c>
      <c r="K28" s="924">
        <f>'Hospit_Data_"0"'!U6</f>
        <v>5152.2025565724653</v>
      </c>
      <c r="L28" s="924">
        <f>'Hospit_Data_"0"'!V6</f>
        <v>5143.8270777420739</v>
      </c>
      <c r="M28" s="924">
        <f>'Hospit_Data_"0"'!W6</f>
        <v>5135.0535189174589</v>
      </c>
      <c r="N28" s="924">
        <f>'Hospit_Data_"0"'!X6</f>
        <v>5125.872059696494</v>
      </c>
      <c r="O28" s="924">
        <f>'Hospit_Data_"0"'!Y6</f>
        <v>5117.1983735832864</v>
      </c>
    </row>
    <row r="29" spans="2:16" s="855" customFormat="1">
      <c r="B29" s="1009" t="s">
        <v>3285</v>
      </c>
      <c r="C29" s="924">
        <f>'Hospit_Data_"0"'!M7+'Hospit_Data_"0"'!M8+'Hospit_Data_"0"'!M50</f>
        <v>5771.3452383512249</v>
      </c>
      <c r="D29" s="924">
        <f>'Hospit_Data_"0"'!N7+'Hospit_Data_"0"'!N8+'Hospit_Data_"0"'!N50</f>
        <v>5737.8233595606234</v>
      </c>
      <c r="E29" s="924">
        <f>'Hospit_Data_"0"'!O7+'Hospit_Data_"0"'!O8+'Hospit_Data_"0"'!O50</f>
        <v>5743.430413559422</v>
      </c>
      <c r="F29" s="924">
        <f>'Hospit_Data_"0"'!P7+'Hospit_Data_"0"'!P8+'Hospit_Data_"0"'!P50</f>
        <v>5747.8909521448822</v>
      </c>
      <c r="G29" s="924">
        <f>'Hospit_Data_"0"'!Q7+'Hospit_Data_"0"'!Q8+'Hospit_Data_"0"'!Q50</f>
        <v>5760.6468857161508</v>
      </c>
      <c r="H29" s="924">
        <f>'Hospit_Data_"0"'!R7+'Hospit_Data_"0"'!R8+'Hospit_Data_"0"'!R50</f>
        <v>5190.7143436921333</v>
      </c>
      <c r="I29" s="924">
        <f>'Hospit_Data_"0"'!S7+'Hospit_Data_"0"'!S8+'Hospit_Data_"0"'!S50</f>
        <v>5187.4423213063174</v>
      </c>
      <c r="J29" s="924">
        <f>'Hospit_Data_"0"'!T7+'Hospit_Data_"0"'!T8+'Hospit_Data_"0"'!T50</f>
        <v>5181.4194203567513</v>
      </c>
      <c r="K29" s="924">
        <f>'Hospit_Data_"0"'!U7+'Hospit_Data_"0"'!U8+'Hospit_Data_"0"'!U50</f>
        <v>5174.5545489739507</v>
      </c>
      <c r="L29" s="924">
        <f>'Hospit_Data_"0"'!V7+'Hospit_Data_"0"'!V8+'Hospit_Data_"0"'!V50</f>
        <v>5170.3533203451616</v>
      </c>
      <c r="M29" s="924">
        <f>'Hospit_Data_"0"'!W7+'Hospit_Data_"0"'!W8+'Hospit_Data_"0"'!W50</f>
        <v>5165.7564559937864</v>
      </c>
      <c r="N29" s="924">
        <f>'Hospit_Data_"0"'!X7+'Hospit_Data_"0"'!X8+'Hospit_Data_"0"'!X50</f>
        <v>5160.3331715258773</v>
      </c>
      <c r="O29" s="924">
        <f>'Hospit_Data_"0"'!Y7+'Hospit_Data_"0"'!Y8+'Hospit_Data_"0"'!Y50</f>
        <v>5154.3956018588924</v>
      </c>
    </row>
    <row r="30" spans="2:16" s="855" customFormat="1">
      <c r="B30" s="1009" t="s">
        <v>3284</v>
      </c>
      <c r="C30" s="924">
        <f>SUM('Hospit_Data_"0"'!M9:M11)</f>
        <v>8591.9082217701252</v>
      </c>
      <c r="D30" s="924">
        <f>SUM('Hospit_Data_"0"'!N9:N11)</f>
        <v>8501.9575529554459</v>
      </c>
      <c r="E30" s="924">
        <f>SUM('Hospit_Data_"0"'!O9:O11)</f>
        <v>8450.6317233710888</v>
      </c>
      <c r="F30" s="924">
        <f>SUM('Hospit_Data_"0"'!P9:P11)</f>
        <v>8410.7170399787719</v>
      </c>
      <c r="G30" s="924">
        <f>SUM('Hospit_Data_"0"'!Q9:Q11)</f>
        <v>8364.8235550980044</v>
      </c>
      <c r="H30" s="924">
        <f>SUM('Hospit_Data_"0"'!R9:R11)</f>
        <v>8254.8346615728296</v>
      </c>
      <c r="I30" s="924">
        <f>SUM('Hospit_Data_"0"'!S9:S11)</f>
        <v>8142.7586136923228</v>
      </c>
      <c r="J30" s="924">
        <f>SUM('Hospit_Data_"0"'!T9:T11)</f>
        <v>8112.4830641029121</v>
      </c>
      <c r="K30" s="924">
        <f>SUM('Hospit_Data_"0"'!U9:U11)</f>
        <v>8072.7371069723722</v>
      </c>
      <c r="L30" s="924">
        <f>SUM('Hospit_Data_"0"'!V9:V11)</f>
        <v>8052.7730097629174</v>
      </c>
      <c r="M30" s="924">
        <f>SUM('Hospit_Data_"0"'!W9:W11)</f>
        <v>8038.6468509061724</v>
      </c>
      <c r="N30" s="924">
        <f>SUM('Hospit_Data_"0"'!X9:X11)</f>
        <v>8029.9349063366499</v>
      </c>
      <c r="O30" s="924">
        <f>SUM('Hospit_Data_"0"'!Y9:Y11)</f>
        <v>8017.021229972258</v>
      </c>
    </row>
    <row r="31" spans="2:16" s="855" customFormat="1">
      <c r="B31" s="1009" t="s">
        <v>3287</v>
      </c>
      <c r="C31" s="924">
        <f>'Hospit_Data_"0"'!M53+'Hospit_Data_"0"'!M15+'Hospit_Data_"0"'!M14</f>
        <v>5027.967327458502</v>
      </c>
      <c r="D31" s="924">
        <f>'Hospit_Data_"0"'!N53+'Hospit_Data_"0"'!N15+'Hospit_Data_"0"'!N14</f>
        <v>5002.6016085254178</v>
      </c>
      <c r="E31" s="924">
        <f>'Hospit_Data_"0"'!O53+'Hospit_Data_"0"'!O15+'Hospit_Data_"0"'!O14</f>
        <v>5009.0076183809215</v>
      </c>
      <c r="F31" s="924">
        <f>'Hospit_Data_"0"'!P53+'Hospit_Data_"0"'!P15+'Hospit_Data_"0"'!P14</f>
        <v>5014.4176783778257</v>
      </c>
      <c r="G31" s="924">
        <f>'Hospit_Data_"0"'!Q53+'Hospit_Data_"0"'!Q15+'Hospit_Data_"0"'!Q14</f>
        <v>5040.7816684000409</v>
      </c>
      <c r="H31" s="924">
        <f>'Hospit_Data_"0"'!R53+'Hospit_Data_"0"'!R15+'Hospit_Data_"0"'!R14</f>
        <v>4999.2533497282175</v>
      </c>
      <c r="I31" s="924">
        <f>'Hospit_Data_"0"'!S53+'Hospit_Data_"0"'!S15+'Hospit_Data_"0"'!S14</f>
        <v>5011.2150765335846</v>
      </c>
      <c r="J31" s="924">
        <f>'Hospit_Data_"0"'!T53+'Hospit_Data_"0"'!T15+'Hospit_Data_"0"'!T14</f>
        <v>5013.1239485321676</v>
      </c>
      <c r="K31" s="924">
        <f>'Hospit_Data_"0"'!U53+'Hospit_Data_"0"'!U15+'Hospit_Data_"0"'!U14</f>
        <v>5014.2117199364484</v>
      </c>
      <c r="L31" s="924">
        <f>'Hospit_Data_"0"'!V53+'Hospit_Data_"0"'!V15+'Hospit_Data_"0"'!V14</f>
        <v>5011.8874451565989</v>
      </c>
      <c r="M31" s="924">
        <f>'Hospit_Data_"0"'!W53+'Hospit_Data_"0"'!W15+'Hospit_Data_"0"'!W14</f>
        <v>5009.1752138712718</v>
      </c>
      <c r="N31" s="924">
        <f>'Hospit_Data_"0"'!X53+'Hospit_Data_"0"'!X15+'Hospit_Data_"0"'!X14</f>
        <v>5004.1632533757747</v>
      </c>
      <c r="O31" s="924">
        <f>'Hospit_Data_"0"'!Y53+'Hospit_Data_"0"'!Y15+'Hospit_Data_"0"'!Y14</f>
        <v>4998.6533209224217</v>
      </c>
    </row>
    <row r="32" spans="2:16" s="855" customFormat="1">
      <c r="B32" s="1009" t="s">
        <v>3288</v>
      </c>
      <c r="C32" s="924">
        <f>'Hospit_Data_"0"'!M49</f>
        <v>2685.6012900958985</v>
      </c>
      <c r="D32" s="924">
        <f>'Hospit_Data_"0"'!N49</f>
        <v>2661.7551521434384</v>
      </c>
      <c r="E32" s="924">
        <f>'Hospit_Data_"0"'!O49</f>
        <v>2690.805243584075</v>
      </c>
      <c r="F32" s="924">
        <f>'Hospit_Data_"0"'!P49</f>
        <v>2719.6271331704938</v>
      </c>
      <c r="G32" s="924">
        <f>'Hospit_Data_"0"'!Q49</f>
        <v>2778.1633623011562</v>
      </c>
      <c r="H32" s="924">
        <f>'Hospit_Data_"0"'!R49</f>
        <v>2751.3572310187897</v>
      </c>
      <c r="I32" s="924">
        <f>'Hospit_Data_"0"'!S49</f>
        <v>2760.3094783960964</v>
      </c>
      <c r="J32" s="924">
        <f>'Hospit_Data_"0"'!T49</f>
        <v>2768.7719072304435</v>
      </c>
      <c r="K32" s="924">
        <f>'Hospit_Data_"0"'!U49</f>
        <v>2749.1546118249307</v>
      </c>
      <c r="L32" s="924">
        <f>'Hospit_Data_"0"'!V49</f>
        <v>2731.8096301503388</v>
      </c>
      <c r="M32" s="924">
        <f>'Hospit_Data_"0"'!W49</f>
        <v>2714.2066023825246</v>
      </c>
      <c r="N32" s="924">
        <f>'Hospit_Data_"0"'!X49</f>
        <v>2696.3429833327909</v>
      </c>
      <c r="O32" s="924">
        <f>'Hospit_Data_"0"'!Y49</f>
        <v>2678.1650937967374</v>
      </c>
    </row>
    <row r="33" spans="2:15" s="855" customFormat="1">
      <c r="B33" s="1009" t="s">
        <v>3289</v>
      </c>
      <c r="C33" s="924">
        <f>'Hospit_Data_"0"'!M59</f>
        <v>0</v>
      </c>
      <c r="D33" s="924">
        <f>'Hospit_Data_"0"'!N59</f>
        <v>0</v>
      </c>
      <c r="E33" s="924">
        <f>'Hospit_Data_"0"'!O59</f>
        <v>0</v>
      </c>
      <c r="F33" s="924">
        <f>'Hospit_Data_"0"'!P59</f>
        <v>0</v>
      </c>
      <c r="G33" s="924">
        <f>'Hospit_Data_"0"'!Q59</f>
        <v>0</v>
      </c>
      <c r="H33" s="924">
        <f>'Hospit_Data_"0"'!R59</f>
        <v>150</v>
      </c>
      <c r="I33" s="924">
        <f>'Hospit_Data_"0"'!S59</f>
        <v>300</v>
      </c>
      <c r="J33" s="924">
        <f>'Hospit_Data_"0"'!T59</f>
        <v>450</v>
      </c>
      <c r="K33" s="924">
        <f>'Hospit_Data_"0"'!U59</f>
        <v>500</v>
      </c>
      <c r="L33" s="924">
        <f>'Hospit_Data_"0"'!V59</f>
        <v>500.85221491891474</v>
      </c>
      <c r="M33" s="924">
        <f>'Hospit_Data_"0"'!W59</f>
        <v>501.67059197166122</v>
      </c>
      <c r="N33" s="924">
        <f>'Hospit_Data_"0"'!X59</f>
        <v>502.45382479279635</v>
      </c>
      <c r="O33" s="924">
        <f>'Hospit_Data_"0"'!Y59</f>
        <v>503.19095644209108</v>
      </c>
    </row>
    <row r="34" spans="2:15" s="855" customFormat="1">
      <c r="B34" s="1009" t="s">
        <v>3290</v>
      </c>
      <c r="C34" s="924">
        <f>'Hospit_Data_"0"'!M55</f>
        <v>1129.0139651689506</v>
      </c>
      <c r="D34" s="924">
        <f>'Hospit_Data_"0"'!N55</f>
        <v>1132.5526675817871</v>
      </c>
      <c r="E34" s="924">
        <f>'Hospit_Data_"0"'!O55</f>
        <v>1138.1117532622713</v>
      </c>
      <c r="F34" s="924">
        <f>'Hospit_Data_"0"'!P55</f>
        <v>1148.0245271491913</v>
      </c>
      <c r="G34" s="924">
        <f>'Hospit_Data_"0"'!Q55</f>
        <v>1161.2367804075227</v>
      </c>
      <c r="H34" s="924">
        <f>'Hospit_Data_"0"'!R55</f>
        <v>1174.3435017349552</v>
      </c>
      <c r="I34" s="924">
        <f>'Hospit_Data_"0"'!S55</f>
        <v>1185.0900468442212</v>
      </c>
      <c r="J34" s="924">
        <f>'Hospit_Data_"0"'!T55</f>
        <v>1191.0397847687468</v>
      </c>
      <c r="K34" s="924">
        <f>'Hospit_Data_"0"'!U55</f>
        <v>1196.8300884579469</v>
      </c>
      <c r="L34" s="924">
        <f>'Hospit_Data_"0"'!V55</f>
        <v>1201.2677413742699</v>
      </c>
      <c r="M34" s="924">
        <f>'Hospit_Data_"0"'!W55</f>
        <v>1205.6370369197891</v>
      </c>
      <c r="N34" s="924">
        <f>'Hospit_Data_"0"'!X55</f>
        <v>1207.5193368050195</v>
      </c>
      <c r="O34" s="924">
        <f>'Hospit_Data_"0"'!Y55</f>
        <v>1209.2908443075476</v>
      </c>
    </row>
    <row r="35" spans="2:15" s="855" customFormat="1">
      <c r="B35" s="1009" t="s">
        <v>3291</v>
      </c>
      <c r="C35" s="924">
        <f>'Hospit_Data_"0"'!M17</f>
        <v>740.49297316402578</v>
      </c>
      <c r="D35" s="924">
        <f>'Hospit_Data_"0"'!N17</f>
        <v>726.50463483073509</v>
      </c>
      <c r="E35" s="924">
        <f>'Hospit_Data_"0"'!O17</f>
        <v>727.16200332852634</v>
      </c>
      <c r="F35" s="924">
        <f>'Hospit_Data_"0"'!P17</f>
        <v>727.67407708498058</v>
      </c>
      <c r="G35" s="924">
        <f>'Hospit_Data_"0"'!Q17</f>
        <v>728.76103881494078</v>
      </c>
      <c r="H35" s="924">
        <f>'Hospit_Data_"0"'!R17</f>
        <v>699.90632193130682</v>
      </c>
      <c r="I35" s="924">
        <f>'Hospit_Data_"0"'!S17</f>
        <v>670.88833663285777</v>
      </c>
      <c r="J35" s="924">
        <f>'Hospit_Data_"0"'!T17</f>
        <v>667.30630869727554</v>
      </c>
      <c r="K35" s="924">
        <f>'Hospit_Data_"0"'!U17</f>
        <v>663.61134124567081</v>
      </c>
      <c r="L35" s="924">
        <f>'Hospit_Data_"0"'!V17</f>
        <v>660.46754934685305</v>
      </c>
      <c r="M35" s="924">
        <f>'Hospit_Data_"0"'!W17</f>
        <v>657.26487705054592</v>
      </c>
      <c r="N35" s="924">
        <f>'Hospit_Data_"0"'!X17</f>
        <v>654.00249040741653</v>
      </c>
      <c r="O35" s="924">
        <f>'Hospit_Data_"0"'!Y17</f>
        <v>650.66712108482352</v>
      </c>
    </row>
    <row r="36" spans="2:15" s="855" customFormat="1">
      <c r="B36" s="1009" t="s">
        <v>3292</v>
      </c>
      <c r="C36" s="924">
        <f>'Hospit_Data_"0"'!M18</f>
        <v>606.81371431697039</v>
      </c>
      <c r="D36" s="924">
        <f>'Hospit_Data_"0"'!N18</f>
        <v>607.50066744963567</v>
      </c>
      <c r="E36" s="924">
        <f>'Hospit_Data_"0"'!O18</f>
        <v>608.05035671797953</v>
      </c>
      <c r="F36" s="924">
        <f>'Hospit_Data_"0"'!P18</f>
        <v>608.47855102523522</v>
      </c>
      <c r="G36" s="924">
        <f>'Hospit_Data_"0"'!Q18</f>
        <v>670.32621113830282</v>
      </c>
      <c r="H36" s="924">
        <f>'Hospit_Data_"0"'!R18</f>
        <v>738.29831775257878</v>
      </c>
      <c r="I36" s="924">
        <f>'Hospit_Data_"0"'!S18</f>
        <v>813.05557793005823</v>
      </c>
      <c r="J36" s="924">
        <f>'Hospit_Data_"0"'!T18</f>
        <v>895.27019002199836</v>
      </c>
      <c r="K36" s="924">
        <f>'Hospit_Data_"0"'!U18</f>
        <v>985.64228425092517</v>
      </c>
      <c r="L36" s="924">
        <f>'Hospit_Data_"0"'!V18</f>
        <v>1086.0544666065916</v>
      </c>
      <c r="M36" s="924">
        <f>'Hospit_Data_"0"'!W18</f>
        <v>1196.6119506741582</v>
      </c>
      <c r="N36" s="924">
        <f>'Hospit_Data_"0"'!X18</f>
        <v>1294.3585729625554</v>
      </c>
      <c r="O36" s="924">
        <f>'Hospit_Data_"0"'!Y18</f>
        <v>1361.0703530925844</v>
      </c>
    </row>
    <row r="37" spans="2:15" s="855" customFormat="1">
      <c r="B37" s="1009" t="s">
        <v>3286</v>
      </c>
      <c r="C37" s="924">
        <f>C24-SUM(C27:C36)</f>
        <v>12237.168312301663</v>
      </c>
      <c r="D37" s="924">
        <f t="shared" ref="D37:O37" si="3">D24-SUM(D27:D36)</f>
        <v>12111.130190225158</v>
      </c>
      <c r="E37" s="924">
        <f t="shared" si="3"/>
        <v>12134.132831264797</v>
      </c>
      <c r="F37" s="924">
        <f t="shared" si="3"/>
        <v>12154.741629720214</v>
      </c>
      <c r="G37" s="924">
        <f t="shared" si="3"/>
        <v>12210.760277739624</v>
      </c>
      <c r="H37" s="924">
        <f t="shared" si="3"/>
        <v>11614.534999502102</v>
      </c>
      <c r="I37" s="924">
        <f t="shared" si="3"/>
        <v>10678.038801162991</v>
      </c>
      <c r="J37" s="924">
        <f t="shared" si="3"/>
        <v>9847.9987065825917</v>
      </c>
      <c r="K37" s="924">
        <f t="shared" si="3"/>
        <v>9844.2989197150528</v>
      </c>
      <c r="L37" s="924">
        <f t="shared" si="3"/>
        <v>9821.8721816733232</v>
      </c>
      <c r="M37" s="924">
        <f t="shared" si="3"/>
        <v>9797.7968156953575</v>
      </c>
      <c r="N37" s="924">
        <f t="shared" si="3"/>
        <v>9771.8655384846497</v>
      </c>
      <c r="O37" s="924">
        <f t="shared" si="3"/>
        <v>9745.5583322516541</v>
      </c>
    </row>
    <row r="38" spans="2:15">
      <c r="B38" s="552" t="s">
        <v>3279</v>
      </c>
      <c r="C38" s="70">
        <f>'Revenues"0"'!H50</f>
        <v>8040.1189238951947</v>
      </c>
      <c r="D38" s="70">
        <f>'Revenues"0"'!I50</f>
        <v>7946.474308933005</v>
      </c>
      <c r="E38" s="70">
        <f>'Revenues"0"'!J50</f>
        <v>7939.8601997757833</v>
      </c>
      <c r="F38" s="70">
        <f>'Revenues"0"'!K50</f>
        <v>7934.4846275553582</v>
      </c>
      <c r="G38" s="70">
        <f>'Revenues"0"'!L50</f>
        <v>7960.0428702787322</v>
      </c>
      <c r="H38" s="70">
        <f>'Revenues"0"'!M50</f>
        <v>7691.4129842927541</v>
      </c>
      <c r="I38" s="70">
        <f>'Revenues"0"'!N50</f>
        <v>7463.371881560498</v>
      </c>
      <c r="J38" s="70">
        <f>'Revenues"0"'!O50</f>
        <v>7346.3174953095704</v>
      </c>
      <c r="K38" s="70">
        <f>'Revenues"0"'!P50</f>
        <v>7337.0418569405829</v>
      </c>
      <c r="L38" s="70">
        <f>'Revenues"0"'!Q50</f>
        <v>7323.6204817122671</v>
      </c>
      <c r="M38" s="70">
        <f>'Revenues"0"'!R50</f>
        <v>7312.0816638899614</v>
      </c>
      <c r="N38" s="70">
        <f>'Revenues"0"'!S50</f>
        <v>7298.0139702715487</v>
      </c>
      <c r="O38" s="70">
        <f>'Revenues"0"'!T50</f>
        <v>7278.1482689473869</v>
      </c>
    </row>
    <row r="39" spans="2:15">
      <c r="C39" s="332">
        <f t="shared" ref="C39:O39" si="4">C38/C24</f>
        <v>0.15798481255339886</v>
      </c>
      <c r="D39" s="332">
        <f t="shared" si="4"/>
        <v>0.15772699903763565</v>
      </c>
      <c r="E39" s="332">
        <f t="shared" si="4"/>
        <v>0.15746930029542236</v>
      </c>
      <c r="F39" s="332">
        <f t="shared" si="4"/>
        <v>0.15721171625013355</v>
      </c>
      <c r="G39" s="332">
        <f t="shared" si="4"/>
        <v>0.15695424682521214</v>
      </c>
      <c r="H39" s="332">
        <f t="shared" si="4"/>
        <v>0.15669689194416903</v>
      </c>
      <c r="I39" s="332">
        <f t="shared" si="4"/>
        <v>0.15643965153058315</v>
      </c>
      <c r="J39" s="332">
        <f t="shared" si="4"/>
        <v>0.15618252550810158</v>
      </c>
      <c r="K39" s="332">
        <f t="shared" si="4"/>
        <v>0.15592551380043906</v>
      </c>
      <c r="L39" s="332">
        <f t="shared" si="4"/>
        <v>0.1556686163313783</v>
      </c>
      <c r="M39" s="332">
        <f t="shared" si="4"/>
        <v>0.15541183302476977</v>
      </c>
      <c r="N39" s="332">
        <f t="shared" si="4"/>
        <v>0.1551551638045314</v>
      </c>
      <c r="O39" s="332">
        <f t="shared" si="4"/>
        <v>0.15489860859464896</v>
      </c>
    </row>
    <row r="42" spans="2:15">
      <c r="B42" s="855" t="s">
        <v>3281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515A8-0E50-434B-A396-703F6F80CC3E}">
  <sheetPr>
    <tabColor theme="0"/>
  </sheetPr>
  <dimension ref="A1:E884"/>
  <sheetViews>
    <sheetView workbookViewId="0"/>
  </sheetViews>
  <sheetFormatPr baseColWidth="10" defaultColWidth="8.83203125" defaultRowHeight="15"/>
  <cols>
    <col min="1" max="1" width="20.6640625" bestFit="1" customWidth="1"/>
    <col min="2" max="2" width="31.5" bestFit="1" customWidth="1"/>
    <col min="3" max="3" width="20.5" bestFit="1" customWidth="1"/>
    <col min="4" max="4" width="22.33203125" bestFit="1" customWidth="1"/>
    <col min="5" max="5" width="20" customWidth="1"/>
  </cols>
  <sheetData>
    <row r="1" spans="1:5">
      <c r="A1" s="577" t="s">
        <v>1206</v>
      </c>
      <c r="B1" s="577" t="s">
        <v>1207</v>
      </c>
      <c r="C1" s="577" t="s">
        <v>1208</v>
      </c>
      <c r="D1" s="577" t="s">
        <v>1209</v>
      </c>
    </row>
    <row r="2" spans="1:5">
      <c r="A2" s="578" t="s">
        <v>1210</v>
      </c>
      <c r="B2" s="578" t="s">
        <v>1211</v>
      </c>
      <c r="C2" s="513">
        <v>953403.85</v>
      </c>
      <c r="D2" s="513">
        <v>957185.62</v>
      </c>
      <c r="E2">
        <f>VLOOKUP(A2,Ucto_HK_summ!$A$2:$K$965,8,FALSE)</f>
        <v>961685.62</v>
      </c>
    </row>
    <row r="3" spans="1:5">
      <c r="A3" s="578" t="s">
        <v>1212</v>
      </c>
      <c r="C3" s="513">
        <v>953403.85</v>
      </c>
      <c r="D3" s="513">
        <v>957185.62</v>
      </c>
      <c r="E3">
        <f>VLOOKUP(A3,Ucto_HK_summ!$A$2:$K$965,8,FALSE)</f>
        <v>961685.62</v>
      </c>
    </row>
    <row r="4" spans="1:5">
      <c r="A4" s="577" t="s">
        <v>1213</v>
      </c>
      <c r="C4" s="579">
        <v>953403.85</v>
      </c>
      <c r="D4" s="579">
        <v>957185.62</v>
      </c>
      <c r="E4">
        <f>VLOOKUP(A4,Ucto_HK_summ!$A$2:$K$965,8,FALSE)</f>
        <v>961685.62</v>
      </c>
    </row>
    <row r="6" spans="1:5">
      <c r="A6" s="578" t="s">
        <v>1214</v>
      </c>
      <c r="B6" s="578" t="s">
        <v>1215</v>
      </c>
      <c r="C6" s="513">
        <v>33023206.77</v>
      </c>
      <c r="D6" s="513">
        <v>33099432.09</v>
      </c>
      <c r="E6">
        <f>VLOOKUP(A6,Ucto_HK_summ!$A$2:$K$965,8,FALSE)</f>
        <v>33206694.27</v>
      </c>
    </row>
    <row r="7" spans="1:5">
      <c r="A7" s="578" t="s">
        <v>1216</v>
      </c>
      <c r="B7" s="578" t="s">
        <v>1217</v>
      </c>
      <c r="C7" s="513">
        <v>33779823.770000003</v>
      </c>
      <c r="D7" s="513">
        <v>34418921.93</v>
      </c>
      <c r="E7">
        <f>VLOOKUP(A7,Ucto_HK_summ!$A$2:$K$965,8,FALSE)</f>
        <v>34574733.130000003</v>
      </c>
    </row>
    <row r="8" spans="1:5">
      <c r="A8" s="578" t="s">
        <v>1218</v>
      </c>
      <c r="C8" s="513">
        <v>66803030.539999999</v>
      </c>
      <c r="D8" s="513">
        <v>67518354.019999996</v>
      </c>
      <c r="E8">
        <f>VLOOKUP(A8,Ucto_HK_summ!$A$2:$K$965,8,FALSE)</f>
        <v>67781427.400000006</v>
      </c>
    </row>
    <row r="9" spans="1:5">
      <c r="A9" s="578" t="s">
        <v>1219</v>
      </c>
      <c r="B9" s="578" t="s">
        <v>1220</v>
      </c>
      <c r="C9" s="513">
        <v>76283712.549999997</v>
      </c>
      <c r="D9" s="513">
        <v>78074740.590000004</v>
      </c>
      <c r="E9">
        <f>VLOOKUP(A9,Ucto_HK_summ!$A$2:$K$965,8,FALSE)</f>
        <v>79337986.730000004</v>
      </c>
    </row>
    <row r="10" spans="1:5">
      <c r="A10" s="578" t="s">
        <v>1221</v>
      </c>
      <c r="C10" s="513">
        <v>76283712.549999997</v>
      </c>
      <c r="D10" s="513">
        <v>78074740.590000004</v>
      </c>
      <c r="E10">
        <f>VLOOKUP(A10,Ucto_HK_summ!$A$2:$K$965,8,FALSE)</f>
        <v>79337986.730000004</v>
      </c>
    </row>
    <row r="11" spans="1:5">
      <c r="A11" s="578" t="s">
        <v>1222</v>
      </c>
      <c r="B11" s="578" t="s">
        <v>1223</v>
      </c>
      <c r="C11" s="513">
        <v>552522.13</v>
      </c>
      <c r="D11" s="513">
        <v>601287.93000000005</v>
      </c>
      <c r="E11">
        <f>VLOOKUP(A11,Ucto_HK_summ!$A$2:$K$965,8,FALSE)</f>
        <v>601287.93000000005</v>
      </c>
    </row>
    <row r="12" spans="1:5">
      <c r="A12" s="578" t="s">
        <v>1224</v>
      </c>
      <c r="C12" s="513">
        <v>552522.13</v>
      </c>
      <c r="D12" s="513">
        <v>601287.93000000005</v>
      </c>
      <c r="E12">
        <f>VLOOKUP(A12,Ucto_HK_summ!$A$2:$K$965,8,FALSE)</f>
        <v>601287.93000000005</v>
      </c>
    </row>
    <row r="13" spans="1:5">
      <c r="A13" s="578" t="s">
        <v>1225</v>
      </c>
      <c r="B13" s="578" t="s">
        <v>1226</v>
      </c>
      <c r="C13" s="513">
        <v>288686.67</v>
      </c>
      <c r="D13" s="513">
        <v>285599.8</v>
      </c>
      <c r="E13">
        <f>VLOOKUP(A13,Ucto_HK_summ!$A$2:$K$965,8,FALSE)</f>
        <v>285599.8</v>
      </c>
    </row>
    <row r="14" spans="1:5">
      <c r="A14" s="578" t="s">
        <v>1227</v>
      </c>
      <c r="B14" s="578" t="s">
        <v>1228</v>
      </c>
      <c r="C14" s="513">
        <v>8800347.3000000007</v>
      </c>
      <c r="D14" s="513">
        <v>8800347.3000000007</v>
      </c>
      <c r="E14">
        <f>VLOOKUP(A14,Ucto_HK_summ!$A$2:$K$965,8,FALSE)</f>
        <v>8800347.3000000007</v>
      </c>
    </row>
    <row r="15" spans="1:5">
      <c r="A15" s="578" t="s">
        <v>1229</v>
      </c>
      <c r="B15" s="578" t="s">
        <v>1230</v>
      </c>
      <c r="C15" s="513">
        <v>469000.92</v>
      </c>
      <c r="D15" s="513">
        <v>469000.92</v>
      </c>
      <c r="E15">
        <f>VLOOKUP(A15,Ucto_HK_summ!$A$2:$K$965,8,FALSE)</f>
        <v>577762.07999999996</v>
      </c>
    </row>
    <row r="16" spans="1:5">
      <c r="A16" s="578" t="s">
        <v>1231</v>
      </c>
      <c r="C16" s="513">
        <v>9558034.8900000006</v>
      </c>
      <c r="D16" s="513">
        <v>9554948.0199999996</v>
      </c>
      <c r="E16">
        <f>VLOOKUP(A16,Ucto_HK_summ!$A$2:$K$965,8,FALSE)</f>
        <v>9663709.1799999997</v>
      </c>
    </row>
    <row r="17" spans="1:5">
      <c r="A17" s="577" t="s">
        <v>1232</v>
      </c>
      <c r="C17" s="579">
        <v>153197300.11000001</v>
      </c>
      <c r="D17" s="579">
        <v>155749330.56</v>
      </c>
      <c r="E17">
        <f>VLOOKUP(A17,Ucto_HK_summ!$A$2:$K$965,8,FALSE)</f>
        <v>157384411.24000001</v>
      </c>
    </row>
    <row r="19" spans="1:5">
      <c r="A19" s="578" t="s">
        <v>1233</v>
      </c>
      <c r="B19" s="578" t="s">
        <v>1234</v>
      </c>
      <c r="C19" s="513">
        <v>7945421.4400000004</v>
      </c>
      <c r="D19" s="513">
        <v>7945421.4400000004</v>
      </c>
      <c r="E19">
        <f>VLOOKUP(A19,Ucto_HK_summ!$A$2:$K$965,8,FALSE)</f>
        <v>7945421.4400000004</v>
      </c>
    </row>
    <row r="20" spans="1:5">
      <c r="A20" s="578" t="s">
        <v>1235</v>
      </c>
      <c r="B20" s="578" t="s">
        <v>1236</v>
      </c>
      <c r="C20" s="513">
        <v>3587652.16</v>
      </c>
      <c r="D20" s="513">
        <v>3587652.16</v>
      </c>
      <c r="E20">
        <f>VLOOKUP(A20,Ucto_HK_summ!$A$2:$K$965,8,FALSE)</f>
        <v>3587652.16</v>
      </c>
    </row>
    <row r="21" spans="1:5">
      <c r="A21" s="578" t="s">
        <v>1237</v>
      </c>
      <c r="C21" s="513">
        <v>11533073.6</v>
      </c>
      <c r="D21" s="513">
        <v>11533073.6</v>
      </c>
      <c r="E21">
        <f>VLOOKUP(A21,Ucto_HK_summ!$A$2:$K$965,8,FALSE)</f>
        <v>11533073.6</v>
      </c>
    </row>
    <row r="22" spans="1:5">
      <c r="A22" s="578" t="s">
        <v>1238</v>
      </c>
      <c r="B22" s="578" t="s">
        <v>1239</v>
      </c>
      <c r="C22" s="513">
        <v>43644.53</v>
      </c>
      <c r="D22" s="513">
        <v>43644.53</v>
      </c>
      <c r="E22">
        <f>VLOOKUP(A22,Ucto_HK_summ!$A$2:$K$965,8,FALSE)</f>
        <v>43644.53</v>
      </c>
    </row>
    <row r="23" spans="1:5">
      <c r="A23" s="578" t="s">
        <v>1240</v>
      </c>
      <c r="C23" s="513">
        <v>43644.53</v>
      </c>
      <c r="D23" s="513">
        <v>43644.53</v>
      </c>
      <c r="E23">
        <f>VLOOKUP(A23,Ucto_HK_summ!$A$2:$K$965,8,FALSE)</f>
        <v>43644.53</v>
      </c>
    </row>
    <row r="24" spans="1:5">
      <c r="A24" s="577" t="s">
        <v>1241</v>
      </c>
      <c r="C24" s="579">
        <v>11576718.130000001</v>
      </c>
      <c r="D24" s="579">
        <v>11576718.130000001</v>
      </c>
      <c r="E24">
        <f>VLOOKUP(A24,Ucto_HK_summ!$A$2:$K$965,8,FALSE)</f>
        <v>11576718.130000001</v>
      </c>
    </row>
    <row r="26" spans="1:5">
      <c r="A26" s="578" t="s">
        <v>1242</v>
      </c>
      <c r="B26" s="578" t="s">
        <v>1243</v>
      </c>
      <c r="C26">
        <v>0</v>
      </c>
      <c r="D26" s="550">
        <v>4500</v>
      </c>
      <c r="E26">
        <f>VLOOKUP(A26,Ucto_HK_summ!$A$2:$K$965,8,FALSE)</f>
        <v>126804.89</v>
      </c>
    </row>
    <row r="27" spans="1:5">
      <c r="A27" s="578" t="s">
        <v>1244</v>
      </c>
      <c r="C27">
        <v>0</v>
      </c>
      <c r="D27" s="550">
        <v>4500</v>
      </c>
      <c r="E27">
        <f>VLOOKUP(A27,Ucto_HK_summ!$A$2:$K$965,8,FALSE)</f>
        <v>126804.89</v>
      </c>
    </row>
    <row r="28" spans="1:5">
      <c r="A28" s="578" t="s">
        <v>1245</v>
      </c>
      <c r="B28" s="578" t="s">
        <v>1246</v>
      </c>
      <c r="C28" s="550">
        <v>126840</v>
      </c>
      <c r="D28" s="513">
        <v>490057.84</v>
      </c>
      <c r="E28">
        <f>VLOOKUP(A28,Ucto_HK_summ!$A$2:$K$965,8,FALSE)</f>
        <v>246930.37</v>
      </c>
    </row>
    <row r="29" spans="1:5">
      <c r="A29" s="578" t="s">
        <v>1247</v>
      </c>
      <c r="B29" s="578" t="s">
        <v>1248</v>
      </c>
      <c r="C29" s="513">
        <v>4459797.7300000004</v>
      </c>
      <c r="D29" s="513">
        <v>2239561.34</v>
      </c>
      <c r="E29">
        <f>VLOOKUP(A29,Ucto_HK_summ!$A$2:$K$965,8,FALSE)</f>
        <v>1211411.1499999999</v>
      </c>
    </row>
    <row r="30" spans="1:5">
      <c r="A30" s="578" t="s">
        <v>1249</v>
      </c>
      <c r="B30" s="578" t="s">
        <v>1250</v>
      </c>
      <c r="C30" s="513">
        <v>436414.71999999997</v>
      </c>
      <c r="D30" s="513">
        <v>503206.72</v>
      </c>
      <c r="E30">
        <f>VLOOKUP(A30,Ucto_HK_summ!$A$2:$K$965,8,FALSE)</f>
        <v>482146.72</v>
      </c>
    </row>
    <row r="31" spans="1:5">
      <c r="A31" s="578" t="s">
        <v>2642</v>
      </c>
      <c r="B31" s="578" t="s">
        <v>2643</v>
      </c>
      <c r="C31">
        <v>0</v>
      </c>
      <c r="D31">
        <v>0</v>
      </c>
      <c r="E31">
        <f>VLOOKUP(A31,Ucto_HK_summ!$A$2:$K$965,8,FALSE)</f>
        <v>61336.91</v>
      </c>
    </row>
    <row r="32" spans="1:5">
      <c r="A32" s="578" t="s">
        <v>1251</v>
      </c>
      <c r="C32" s="513">
        <v>5023052.45</v>
      </c>
      <c r="D32" s="513">
        <v>3232825.9</v>
      </c>
      <c r="E32">
        <f>VLOOKUP(A32,Ucto_HK_summ!$A$2:$K$965,8,FALSE)</f>
        <v>2001825.15</v>
      </c>
    </row>
    <row r="33" spans="1:5">
      <c r="A33" s="577" t="s">
        <v>1252</v>
      </c>
      <c r="C33" s="579">
        <v>5023052.45</v>
      </c>
      <c r="D33" s="579">
        <v>3237325.9</v>
      </c>
      <c r="E33">
        <f>VLOOKUP(A33,Ucto_HK_summ!$A$2:$K$965,8,FALSE)</f>
        <v>2128630.04</v>
      </c>
    </row>
    <row r="35" spans="1:5">
      <c r="A35" s="578" t="s">
        <v>1253</v>
      </c>
      <c r="B35" s="578" t="s">
        <v>1254</v>
      </c>
      <c r="C35">
        <v>0</v>
      </c>
      <c r="D35">
        <v>0</v>
      </c>
      <c r="E35">
        <f>VLOOKUP(A35,Ucto_HK_summ!$A$2:$K$965,8,FALSE)</f>
        <v>0</v>
      </c>
    </row>
    <row r="36" spans="1:5">
      <c r="A36" s="578" t="s">
        <v>1255</v>
      </c>
      <c r="C36">
        <v>0</v>
      </c>
      <c r="D36">
        <v>0</v>
      </c>
      <c r="E36">
        <f>VLOOKUP(A36,Ucto_HK_summ!$A$2:$K$965,8,FALSE)</f>
        <v>0</v>
      </c>
    </row>
    <row r="37" spans="1:5">
      <c r="A37" s="577" t="s">
        <v>1256</v>
      </c>
      <c r="C37" s="369">
        <v>0</v>
      </c>
      <c r="D37" s="369">
        <v>0</v>
      </c>
      <c r="E37">
        <f>VLOOKUP(A37,Ucto_HK_summ!$A$2:$K$965,8,FALSE)</f>
        <v>0</v>
      </c>
    </row>
    <row r="39" spans="1:5">
      <c r="A39" s="578" t="s">
        <v>1257</v>
      </c>
      <c r="B39" s="578" t="s">
        <v>1258</v>
      </c>
      <c r="C39" s="513">
        <v>-928446.37</v>
      </c>
      <c r="D39" s="513">
        <v>-935515.89</v>
      </c>
      <c r="E39">
        <f>VLOOKUP(A39,Ucto_HK_summ!$A$2:$K$965,8,FALSE)</f>
        <v>-936267.19</v>
      </c>
    </row>
    <row r="40" spans="1:5">
      <c r="A40" s="578" t="s">
        <v>1259</v>
      </c>
      <c r="C40" s="513">
        <v>-928446.37</v>
      </c>
      <c r="D40" s="513">
        <v>-935515.89</v>
      </c>
      <c r="E40">
        <f>VLOOKUP(A40,Ucto_HK_summ!$A$2:$K$965,8,FALSE)</f>
        <v>-936267.19</v>
      </c>
    </row>
    <row r="41" spans="1:5">
      <c r="A41" s="577" t="s">
        <v>1260</v>
      </c>
      <c r="C41" s="579">
        <v>-928446.37</v>
      </c>
      <c r="D41" s="579">
        <v>-935515.89</v>
      </c>
      <c r="E41">
        <f>VLOOKUP(A41,Ucto_HK_summ!$A$2:$K$965,8,FALSE)</f>
        <v>-936267.19</v>
      </c>
    </row>
    <row r="43" spans="1:5">
      <c r="A43" s="578" t="s">
        <v>1261</v>
      </c>
      <c r="B43" s="578" t="s">
        <v>1262</v>
      </c>
      <c r="C43" s="513">
        <v>-40585111.850000001</v>
      </c>
      <c r="D43" s="513">
        <v>-41816619.560000002</v>
      </c>
      <c r="E43">
        <f>VLOOKUP(A43,Ucto_HK_summ!$A$2:$K$965,8,FALSE)</f>
        <v>-42000787.619999997</v>
      </c>
    </row>
    <row r="44" spans="1:5">
      <c r="A44" s="578" t="s">
        <v>1263</v>
      </c>
      <c r="C44" s="513">
        <v>-40585111.850000001</v>
      </c>
      <c r="D44" s="513">
        <v>-41816619.560000002</v>
      </c>
      <c r="E44">
        <f>VLOOKUP(A44,Ucto_HK_summ!$A$2:$K$965,8,FALSE)</f>
        <v>-42000787.619999997</v>
      </c>
    </row>
    <row r="45" spans="1:5">
      <c r="A45" s="578" t="s">
        <v>1264</v>
      </c>
      <c r="B45" s="578" t="s">
        <v>1265</v>
      </c>
      <c r="C45" s="513">
        <v>-57373471.280000001</v>
      </c>
      <c r="D45" s="513">
        <v>-57753323.240000002</v>
      </c>
      <c r="E45">
        <f>VLOOKUP(A45,Ucto_HK_summ!$A$2:$K$965,8,FALSE)</f>
        <v>-58248489.960000001</v>
      </c>
    </row>
    <row r="46" spans="1:5">
      <c r="A46" s="578" t="s">
        <v>1266</v>
      </c>
      <c r="C46" s="513">
        <v>-57373471.280000001</v>
      </c>
      <c r="D46" s="513">
        <v>-57753323.240000002</v>
      </c>
      <c r="E46">
        <f>VLOOKUP(A46,Ucto_HK_summ!$A$2:$K$965,8,FALSE)</f>
        <v>-58248489.960000001</v>
      </c>
    </row>
    <row r="47" spans="1:5">
      <c r="A47" s="578" t="s">
        <v>1267</v>
      </c>
      <c r="B47" s="578" t="s">
        <v>1268</v>
      </c>
      <c r="C47" s="513">
        <v>-493083.81</v>
      </c>
      <c r="D47" s="513">
        <v>-463052.79999999999</v>
      </c>
      <c r="E47">
        <f>VLOOKUP(A47,Ucto_HK_summ!$A$2:$K$965,8,FALSE)</f>
        <v>-466927.94</v>
      </c>
    </row>
    <row r="48" spans="1:5">
      <c r="A48" s="578" t="s">
        <v>1269</v>
      </c>
      <c r="C48" s="513">
        <v>-493083.81</v>
      </c>
      <c r="D48" s="513">
        <v>-463052.79999999999</v>
      </c>
      <c r="E48">
        <f>VLOOKUP(A48,Ucto_HK_summ!$A$2:$K$965,8,FALSE)</f>
        <v>-466927.94</v>
      </c>
    </row>
    <row r="49" spans="1:5">
      <c r="A49" s="578" t="s">
        <v>1270</v>
      </c>
      <c r="B49" s="578" t="s">
        <v>1271</v>
      </c>
      <c r="C49" s="513">
        <v>-2359914.0099999998</v>
      </c>
      <c r="D49" s="513">
        <v>-2363416.94</v>
      </c>
      <c r="E49">
        <f>VLOOKUP(A49,Ucto_HK_summ!$A$2:$K$965,8,FALSE)</f>
        <v>-2364734.88</v>
      </c>
    </row>
    <row r="50" spans="1:5">
      <c r="A50" s="578" t="s">
        <v>1272</v>
      </c>
      <c r="B50" s="578" t="s">
        <v>1273</v>
      </c>
      <c r="C50" s="513">
        <v>-5302192.8899999997</v>
      </c>
      <c r="D50" s="513">
        <v>-5406662.8899999997</v>
      </c>
      <c r="E50">
        <f>VLOOKUP(A50,Ucto_HK_summ!$A$2:$K$965,8,FALSE)</f>
        <v>-5427556.8899999997</v>
      </c>
    </row>
    <row r="51" spans="1:5">
      <c r="A51" s="578" t="s">
        <v>1274</v>
      </c>
      <c r="B51" s="578" t="s">
        <v>1275</v>
      </c>
      <c r="C51" s="550">
        <v>-24729</v>
      </c>
      <c r="D51" s="550">
        <v>-34509</v>
      </c>
      <c r="E51">
        <f>VLOOKUP(A51,Ucto_HK_summ!$A$2:$K$965,8,FALSE)</f>
        <v>-36902.39</v>
      </c>
    </row>
    <row r="52" spans="1:5">
      <c r="A52" s="578" t="s">
        <v>1276</v>
      </c>
      <c r="C52" s="513">
        <v>-7686835.9000000004</v>
      </c>
      <c r="D52" s="513">
        <v>-7804588.8300000001</v>
      </c>
      <c r="E52">
        <f>VLOOKUP(A52,Ucto_HK_summ!$A$2:$K$965,8,FALSE)</f>
        <v>-7829194.1600000001</v>
      </c>
    </row>
    <row r="53" spans="1:5">
      <c r="A53" s="577" t="s">
        <v>1277</v>
      </c>
      <c r="C53" s="579">
        <v>-106138502.84</v>
      </c>
      <c r="D53" s="579">
        <v>-107837584.43000001</v>
      </c>
      <c r="E53">
        <f>VLOOKUP(A53,Ucto_HK_summ!$A$2:$K$965,8,FALSE)</f>
        <v>-108545399.68000001</v>
      </c>
    </row>
    <row r="55" spans="1:5">
      <c r="A55" s="577" t="s">
        <v>1278</v>
      </c>
      <c r="C55" s="579">
        <v>63683525.329999998</v>
      </c>
      <c r="D55" s="579">
        <v>62747459.890000001</v>
      </c>
      <c r="E55">
        <f>VLOOKUP(A55,Ucto_HK_summ!$A$2:$K$965,8,FALSE)</f>
        <v>62556218.159999996</v>
      </c>
    </row>
    <row r="58" spans="1:5">
      <c r="A58" s="578" t="s">
        <v>1279</v>
      </c>
      <c r="B58" s="578" t="s">
        <v>1280</v>
      </c>
      <c r="C58">
        <v>0</v>
      </c>
      <c r="D58">
        <v>0</v>
      </c>
      <c r="E58">
        <f>VLOOKUP(A58,Ucto_HK_summ!$A$2:$K$965,8,FALSE)</f>
        <v>0</v>
      </c>
    </row>
    <row r="59" spans="1:5">
      <c r="A59" s="578" t="s">
        <v>1281</v>
      </c>
      <c r="B59" s="578" t="s">
        <v>1282</v>
      </c>
      <c r="C59">
        <v>0</v>
      </c>
      <c r="D59" s="513">
        <v>-2850.97</v>
      </c>
      <c r="E59">
        <f>VLOOKUP(A59,Ucto_HK_summ!$A$2:$K$965,8,FALSE)</f>
        <v>0</v>
      </c>
    </row>
    <row r="60" spans="1:5">
      <c r="A60" s="578" t="s">
        <v>1283</v>
      </c>
      <c r="B60" s="578" t="s">
        <v>1284</v>
      </c>
      <c r="C60">
        <v>0</v>
      </c>
      <c r="D60">
        <v>527.04</v>
      </c>
      <c r="E60">
        <f>VLOOKUP(A60,Ucto_HK_summ!$A$2:$K$965,8,FALSE)</f>
        <v>0</v>
      </c>
    </row>
    <row r="61" spans="1:5">
      <c r="A61" s="578" t="s">
        <v>1285</v>
      </c>
      <c r="B61" s="578" t="s">
        <v>1286</v>
      </c>
      <c r="C61">
        <v>0</v>
      </c>
      <c r="D61">
        <v>0</v>
      </c>
      <c r="E61">
        <f>VLOOKUP(A61,Ucto_HK_summ!$A$2:$K$965,8,FALSE)</f>
        <v>0</v>
      </c>
    </row>
    <row r="62" spans="1:5">
      <c r="A62" s="578" t="s">
        <v>793</v>
      </c>
      <c r="C62">
        <v>0</v>
      </c>
      <c r="D62" s="513">
        <v>-2323.9299999999998</v>
      </c>
      <c r="E62">
        <f>VLOOKUP(A62,Ucto_HK_summ!$A$2:$K$965,8,FALSE)</f>
        <v>0</v>
      </c>
    </row>
    <row r="63" spans="1:5">
      <c r="A63" s="578" t="s">
        <v>1291</v>
      </c>
      <c r="B63" s="578" t="s">
        <v>1292</v>
      </c>
      <c r="C63" s="513">
        <v>68367.320000000007</v>
      </c>
      <c r="D63" s="513">
        <v>51386.66</v>
      </c>
      <c r="E63">
        <f>VLOOKUP(A63,Ucto_HK_summ!$A$2:$K$965,8,FALSE)</f>
        <v>51519.360000000001</v>
      </c>
    </row>
    <row r="64" spans="1:5">
      <c r="A64" s="578" t="s">
        <v>1293</v>
      </c>
      <c r="B64" s="578" t="s">
        <v>1294</v>
      </c>
      <c r="C64">
        <v>122.04</v>
      </c>
      <c r="D64">
        <v>122.04</v>
      </c>
      <c r="E64">
        <f>VLOOKUP(A64,Ucto_HK_summ!$A$2:$K$965,8,FALSE)</f>
        <v>122.04</v>
      </c>
    </row>
    <row r="65" spans="1:5">
      <c r="A65" s="578" t="s">
        <v>1295</v>
      </c>
      <c r="B65" s="578" t="s">
        <v>1296</v>
      </c>
      <c r="C65">
        <v>651.04</v>
      </c>
      <c r="D65">
        <v>651.04</v>
      </c>
      <c r="E65">
        <f>VLOOKUP(A65,Ucto_HK_summ!$A$2:$K$965,8,FALSE)</f>
        <v>651.04</v>
      </c>
    </row>
    <row r="66" spans="1:5">
      <c r="A66" s="578" t="s">
        <v>1297</v>
      </c>
      <c r="B66" s="578" t="s">
        <v>1298</v>
      </c>
      <c r="C66">
        <v>661.93</v>
      </c>
      <c r="D66">
        <v>661.93</v>
      </c>
      <c r="E66">
        <f>VLOOKUP(A66,Ucto_HK_summ!$A$2:$K$965,8,FALSE)</f>
        <v>661.93</v>
      </c>
    </row>
    <row r="67" spans="1:5">
      <c r="A67" s="578" t="s">
        <v>1299</v>
      </c>
      <c r="B67" s="578" t="s">
        <v>1300</v>
      </c>
      <c r="C67" s="513">
        <v>27669.14</v>
      </c>
      <c r="D67" s="513">
        <v>25660.55</v>
      </c>
      <c r="E67">
        <f>VLOOKUP(A67,Ucto_HK_summ!$A$2:$K$965,8,FALSE)</f>
        <v>31707.43</v>
      </c>
    </row>
    <row r="68" spans="1:5">
      <c r="A68" s="578" t="s">
        <v>1301</v>
      </c>
      <c r="B68" s="578" t="s">
        <v>1302</v>
      </c>
      <c r="C68" s="513">
        <v>1636.9</v>
      </c>
      <c r="D68" s="513">
        <v>1614.71</v>
      </c>
      <c r="E68">
        <f>VLOOKUP(A68,Ucto_HK_summ!$A$2:$K$965,8,FALSE)</f>
        <v>1910.6</v>
      </c>
    </row>
    <row r="69" spans="1:5">
      <c r="A69" s="578" t="s">
        <v>1303</v>
      </c>
      <c r="B69" s="578" t="s">
        <v>1304</v>
      </c>
      <c r="C69">
        <v>0</v>
      </c>
      <c r="D69">
        <v>0</v>
      </c>
      <c r="E69">
        <f>VLOOKUP(A69,Ucto_HK_summ!$A$2:$K$965,8,FALSE)</f>
        <v>0</v>
      </c>
    </row>
    <row r="70" spans="1:5">
      <c r="A70" s="578" t="s">
        <v>1305</v>
      </c>
      <c r="B70" s="578" t="s">
        <v>1306</v>
      </c>
      <c r="C70">
        <v>0</v>
      </c>
      <c r="D70">
        <v>0</v>
      </c>
      <c r="E70">
        <f>VLOOKUP(A70,Ucto_HK_summ!$A$2:$K$965,8,FALSE)</f>
        <v>0</v>
      </c>
    </row>
    <row r="71" spans="1:5">
      <c r="A71" s="578" t="s">
        <v>1307</v>
      </c>
      <c r="B71" s="578" t="s">
        <v>1308</v>
      </c>
      <c r="C71">
        <v>0</v>
      </c>
      <c r="D71">
        <v>0</v>
      </c>
      <c r="E71">
        <f>VLOOKUP(A71,Ucto_HK_summ!$A$2:$K$965,8,FALSE)</f>
        <v>0</v>
      </c>
    </row>
    <row r="72" spans="1:5">
      <c r="A72" s="578" t="s">
        <v>1309</v>
      </c>
      <c r="B72" s="578" t="s">
        <v>1310</v>
      </c>
      <c r="C72" s="513">
        <v>24805.200000000001</v>
      </c>
      <c r="D72" s="513">
        <v>24949.1</v>
      </c>
      <c r="E72">
        <f>VLOOKUP(A72,Ucto_HK_summ!$A$2:$K$965,8,FALSE)</f>
        <v>29887.78</v>
      </c>
    </row>
    <row r="73" spans="1:5">
      <c r="A73" s="578" t="s">
        <v>1311</v>
      </c>
      <c r="B73" s="578" t="s">
        <v>1312</v>
      </c>
      <c r="C73" s="513">
        <v>1585.4</v>
      </c>
      <c r="D73" s="513">
        <v>1715.11</v>
      </c>
      <c r="E73">
        <f>VLOOKUP(A73,Ucto_HK_summ!$A$2:$K$965,8,FALSE)</f>
        <v>1206.1300000000001</v>
      </c>
    </row>
    <row r="74" spans="1:5">
      <c r="A74" s="578" t="s">
        <v>1313</v>
      </c>
      <c r="B74" s="578" t="s">
        <v>1314</v>
      </c>
      <c r="C74" s="513">
        <v>19871.439999999999</v>
      </c>
      <c r="D74" s="513">
        <v>26722.06</v>
      </c>
      <c r="E74">
        <f>VLOOKUP(A74,Ucto_HK_summ!$A$2:$K$965,8,FALSE)</f>
        <v>21826.18</v>
      </c>
    </row>
    <row r="75" spans="1:5">
      <c r="A75" s="578" t="s">
        <v>1315</v>
      </c>
      <c r="B75" s="578" t="s">
        <v>1316</v>
      </c>
      <c r="C75" s="513">
        <v>95856.28</v>
      </c>
      <c r="D75" s="513">
        <v>162710.67000000001</v>
      </c>
      <c r="E75">
        <f>VLOOKUP(A75,Ucto_HK_summ!$A$2:$K$965,8,FALSE)</f>
        <v>114277.34</v>
      </c>
    </row>
    <row r="76" spans="1:5">
      <c r="A76" s="578" t="s">
        <v>1317</v>
      </c>
      <c r="B76" s="578" t="s">
        <v>1318</v>
      </c>
      <c r="C76" s="513">
        <v>10060.14</v>
      </c>
      <c r="D76" s="513">
        <v>10992.65</v>
      </c>
      <c r="E76">
        <f>VLOOKUP(A76,Ucto_HK_summ!$A$2:$K$965,8,FALSE)</f>
        <v>11297.85</v>
      </c>
    </row>
    <row r="77" spans="1:5">
      <c r="A77" s="578" t="s">
        <v>1319</v>
      </c>
      <c r="B77" s="578" t="s">
        <v>1320</v>
      </c>
      <c r="C77" s="513">
        <v>9577.2199999999993</v>
      </c>
      <c r="D77" s="513">
        <v>24661.040000000001</v>
      </c>
      <c r="E77">
        <f>VLOOKUP(A77,Ucto_HK_summ!$A$2:$K$965,8,FALSE)</f>
        <v>43410.09</v>
      </c>
    </row>
    <row r="78" spans="1:5">
      <c r="A78" s="578" t="s">
        <v>1321</v>
      </c>
      <c r="B78" s="578" t="s">
        <v>1322</v>
      </c>
      <c r="C78" s="513">
        <v>13050.15</v>
      </c>
      <c r="D78" s="513">
        <v>16396.650000000001</v>
      </c>
      <c r="E78">
        <f>VLOOKUP(A78,Ucto_HK_summ!$A$2:$K$965,8,FALSE)</f>
        <v>14421.44</v>
      </c>
    </row>
    <row r="79" spans="1:5">
      <c r="A79" s="578" t="s">
        <v>1323</v>
      </c>
      <c r="B79" s="578" t="s">
        <v>1324</v>
      </c>
      <c r="C79" s="513">
        <v>6012.15</v>
      </c>
      <c r="D79" s="513">
        <v>6528.39</v>
      </c>
      <c r="E79">
        <f>VLOOKUP(A79,Ucto_HK_summ!$A$2:$K$965,8,FALSE)</f>
        <v>7976.45</v>
      </c>
    </row>
    <row r="80" spans="1:5">
      <c r="A80" s="578" t="s">
        <v>1325</v>
      </c>
      <c r="B80" s="578" t="s">
        <v>1326</v>
      </c>
      <c r="C80" s="513">
        <v>65705.14</v>
      </c>
      <c r="D80" s="513">
        <v>60775.65</v>
      </c>
      <c r="E80">
        <f>VLOOKUP(A80,Ucto_HK_summ!$A$2:$K$965,8,FALSE)</f>
        <v>110831.22</v>
      </c>
    </row>
    <row r="81" spans="1:5">
      <c r="A81" s="578" t="s">
        <v>1327</v>
      </c>
      <c r="B81" s="578" t="s">
        <v>1328</v>
      </c>
      <c r="C81" s="513">
        <v>39644.050000000003</v>
      </c>
      <c r="D81" s="513">
        <v>25135.119999999999</v>
      </c>
      <c r="E81">
        <f>VLOOKUP(A81,Ucto_HK_summ!$A$2:$K$965,8,FALSE)</f>
        <v>20549.41</v>
      </c>
    </row>
    <row r="82" spans="1:5">
      <c r="A82" s="578" t="s">
        <v>1329</v>
      </c>
      <c r="B82" s="578" t="s">
        <v>1330</v>
      </c>
      <c r="C82">
        <v>26.55</v>
      </c>
      <c r="D82">
        <v>866.47</v>
      </c>
      <c r="E82">
        <f>VLOOKUP(A82,Ucto_HK_summ!$A$2:$K$965,8,FALSE)</f>
        <v>219.7</v>
      </c>
    </row>
    <row r="83" spans="1:5">
      <c r="A83" s="578" t="s">
        <v>1331</v>
      </c>
      <c r="B83" s="578" t="s">
        <v>1332</v>
      </c>
      <c r="C83" s="513">
        <v>3248.25</v>
      </c>
      <c r="D83" s="513">
        <v>1012.1</v>
      </c>
      <c r="E83">
        <f>VLOOKUP(A83,Ucto_HK_summ!$A$2:$K$965,8,FALSE)</f>
        <v>5273.59</v>
      </c>
    </row>
    <row r="84" spans="1:5">
      <c r="A84" s="578" t="s">
        <v>1333</v>
      </c>
      <c r="B84" s="578" t="s">
        <v>1334</v>
      </c>
      <c r="C84" s="513">
        <v>78401.64</v>
      </c>
      <c r="D84" s="513">
        <v>96057.75</v>
      </c>
      <c r="E84">
        <f>VLOOKUP(A84,Ucto_HK_summ!$A$2:$K$965,8,FALSE)</f>
        <v>84142.46</v>
      </c>
    </row>
    <row r="85" spans="1:5">
      <c r="A85" s="578" t="s">
        <v>1335</v>
      </c>
      <c r="B85" s="578" t="s">
        <v>1336</v>
      </c>
      <c r="C85" s="513">
        <v>2119.52</v>
      </c>
      <c r="D85" s="513">
        <v>2000.9</v>
      </c>
      <c r="E85">
        <f>VLOOKUP(A85,Ucto_HK_summ!$A$2:$K$965,8,FALSE)</f>
        <v>2537.75</v>
      </c>
    </row>
    <row r="86" spans="1:5">
      <c r="A86" s="578" t="s">
        <v>1337</v>
      </c>
      <c r="B86" s="578" t="s">
        <v>1338</v>
      </c>
      <c r="C86" s="513">
        <v>23183.37</v>
      </c>
      <c r="D86" s="513">
        <v>57940.35</v>
      </c>
      <c r="E86">
        <f>VLOOKUP(A86,Ucto_HK_summ!$A$2:$K$965,8,FALSE)</f>
        <v>42108.13</v>
      </c>
    </row>
    <row r="87" spans="1:5">
      <c r="A87" s="578" t="s">
        <v>1339</v>
      </c>
      <c r="B87" s="578" t="s">
        <v>1340</v>
      </c>
      <c r="C87">
        <v>908.62</v>
      </c>
      <c r="D87">
        <v>848.18</v>
      </c>
      <c r="E87">
        <f>VLOOKUP(A87,Ucto_HK_summ!$A$2:$K$965,8,FALSE)</f>
        <v>848.18</v>
      </c>
    </row>
    <row r="88" spans="1:5">
      <c r="A88" s="578" t="s">
        <v>1341</v>
      </c>
      <c r="B88" s="578" t="s">
        <v>1342</v>
      </c>
      <c r="C88" s="513">
        <v>2815.42</v>
      </c>
      <c r="D88" s="513">
        <v>4027.95</v>
      </c>
      <c r="E88">
        <f>VLOOKUP(A88,Ucto_HK_summ!$A$2:$K$965,8,FALSE)</f>
        <v>3480.62</v>
      </c>
    </row>
    <row r="89" spans="1:5">
      <c r="A89" s="578" t="s">
        <v>1343</v>
      </c>
      <c r="B89" s="578" t="s">
        <v>1344</v>
      </c>
      <c r="C89" s="513">
        <v>307409.46000000002</v>
      </c>
      <c r="D89" s="513">
        <v>1103179.01</v>
      </c>
      <c r="E89">
        <f>VLOOKUP(A89,Ucto_HK_summ!$A$2:$K$965,8,FALSE)</f>
        <v>786468.86</v>
      </c>
    </row>
    <row r="90" spans="1:5">
      <c r="A90" s="578" t="s">
        <v>1345</v>
      </c>
      <c r="B90" s="578" t="s">
        <v>1346</v>
      </c>
      <c r="C90" s="513">
        <v>828934.65</v>
      </c>
      <c r="D90" s="513">
        <v>441227.19</v>
      </c>
      <c r="E90">
        <f>VLOOKUP(A90,Ucto_HK_summ!$A$2:$K$965,8,FALSE)</f>
        <v>364281.24</v>
      </c>
    </row>
    <row r="91" spans="1:5">
      <c r="A91" s="578" t="s">
        <v>1347</v>
      </c>
      <c r="B91" s="578" t="s">
        <v>1348</v>
      </c>
      <c r="C91">
        <v>0</v>
      </c>
      <c r="D91" s="513">
        <v>170509.69</v>
      </c>
      <c r="E91">
        <f>VLOOKUP(A91,Ucto_HK_summ!$A$2:$K$965,8,FALSE)</f>
        <v>0</v>
      </c>
    </row>
    <row r="92" spans="1:5">
      <c r="A92" s="578" t="s">
        <v>1349</v>
      </c>
      <c r="B92" s="578" t="s">
        <v>1350</v>
      </c>
      <c r="C92" s="513">
        <v>325101.44</v>
      </c>
      <c r="D92" s="513">
        <v>418981.63</v>
      </c>
      <c r="E92">
        <f>VLOOKUP(A92,Ucto_HK_summ!$A$2:$K$965,8,FALSE)</f>
        <v>506786.98</v>
      </c>
    </row>
    <row r="93" spans="1:5">
      <c r="A93" s="578" t="s">
        <v>1351</v>
      </c>
      <c r="B93" s="578" t="s">
        <v>1352</v>
      </c>
      <c r="C93" s="513">
        <v>1919567.68</v>
      </c>
      <c r="D93" s="513">
        <v>1311344.1200000001</v>
      </c>
      <c r="E93">
        <f>VLOOKUP(A93,Ucto_HK_summ!$A$2:$K$965,8,FALSE)</f>
        <v>1462927.7</v>
      </c>
    </row>
    <row r="94" spans="1:5">
      <c r="A94" s="578" t="s">
        <v>795</v>
      </c>
      <c r="C94" s="513">
        <v>3876992.14</v>
      </c>
      <c r="D94" s="513">
        <v>4048678.71</v>
      </c>
      <c r="E94">
        <f>VLOOKUP(A94,Ucto_HK_summ!$A$2:$K$965,8,FALSE)</f>
        <v>6128042.8799999999</v>
      </c>
    </row>
    <row r="95" spans="1:5">
      <c r="A95" s="578" t="s">
        <v>1353</v>
      </c>
      <c r="B95" s="578" t="s">
        <v>1354</v>
      </c>
      <c r="C95" s="513">
        <v>14005.44</v>
      </c>
      <c r="D95">
        <v>0</v>
      </c>
      <c r="E95">
        <f>VLOOKUP(A95,Ucto_HK_summ!$A$2:$K$965,8,FALSE)</f>
        <v>76351.039999999994</v>
      </c>
    </row>
    <row r="96" spans="1:5">
      <c r="A96" s="578" t="s">
        <v>446</v>
      </c>
      <c r="C96" s="513">
        <v>14005.44</v>
      </c>
      <c r="D96">
        <v>0</v>
      </c>
      <c r="E96">
        <f>VLOOKUP(A96,Ucto_HK_summ!$A$2:$K$965,8,FALSE)</f>
        <v>76514.94</v>
      </c>
    </row>
    <row r="97" spans="1:5">
      <c r="A97" s="577" t="s">
        <v>1359</v>
      </c>
      <c r="C97" s="579">
        <v>3890997.58</v>
      </c>
      <c r="D97" s="579">
        <v>4046354.78</v>
      </c>
      <c r="E97">
        <f>VLOOKUP(A97,Ucto_HK_summ!$A$2:$K$965,8,FALSE)</f>
        <v>6204557.8200000003</v>
      </c>
    </row>
    <row r="99" spans="1:5">
      <c r="A99" s="578" t="s">
        <v>1360</v>
      </c>
      <c r="B99" s="578" t="s">
        <v>1361</v>
      </c>
      <c r="C99" s="513">
        <v>111463.11</v>
      </c>
      <c r="D99" s="513">
        <v>144024.16</v>
      </c>
      <c r="E99">
        <f>VLOOKUP(A99,Ucto_HK_summ!$A$2:$K$965,8,FALSE)</f>
        <v>127319.31</v>
      </c>
    </row>
    <row r="100" spans="1:5">
      <c r="A100" s="578" t="s">
        <v>480</v>
      </c>
      <c r="C100" s="513">
        <v>111463.11</v>
      </c>
      <c r="D100" s="513">
        <v>144024.16</v>
      </c>
      <c r="E100">
        <f>VLOOKUP(A100,Ucto_HK_summ!$A$2:$K$965,8,FALSE)</f>
        <v>137959.85999999999</v>
      </c>
    </row>
    <row r="101" spans="1:5">
      <c r="A101" s="577" t="s">
        <v>1362</v>
      </c>
      <c r="C101" s="579">
        <v>111463.11</v>
      </c>
      <c r="D101" s="579">
        <v>144024.16</v>
      </c>
      <c r="E101">
        <f>VLOOKUP(A101,Ucto_HK_summ!$A$2:$K$965,8,FALSE)</f>
        <v>137959.85999999999</v>
      </c>
    </row>
    <row r="103" spans="1:5">
      <c r="A103" s="577" t="s">
        <v>1363</v>
      </c>
      <c r="C103" s="579">
        <v>4002460.69</v>
      </c>
      <c r="D103" s="579">
        <v>4190378.94</v>
      </c>
      <c r="E103">
        <f>VLOOKUP(A103,Ucto_HK_summ!$A$2:$K$965,8,FALSE)</f>
        <v>6342517.6799999997</v>
      </c>
    </row>
    <row r="106" spans="1:5">
      <c r="A106" s="578" t="s">
        <v>1364</v>
      </c>
      <c r="B106" s="578" t="s">
        <v>1365</v>
      </c>
      <c r="C106">
        <v>0</v>
      </c>
      <c r="D106" s="513">
        <v>7870.38</v>
      </c>
      <c r="E106">
        <f>VLOOKUP(A106,Ucto_HK_summ!$A$2:$K$965,8,FALSE)</f>
        <v>0</v>
      </c>
    </row>
    <row r="107" spans="1:5">
      <c r="A107" s="578" t="s">
        <v>1366</v>
      </c>
      <c r="B107" s="578" t="s">
        <v>1367</v>
      </c>
      <c r="C107">
        <v>0</v>
      </c>
      <c r="D107">
        <v>72</v>
      </c>
      <c r="E107">
        <f>VLOOKUP(A107,Ucto_HK_summ!$A$2:$K$965,8,FALSE)</f>
        <v>0</v>
      </c>
    </row>
    <row r="108" spans="1:5">
      <c r="A108" s="578" t="s">
        <v>1368</v>
      </c>
      <c r="B108" s="578" t="s">
        <v>1369</v>
      </c>
      <c r="C108">
        <v>0</v>
      </c>
      <c r="D108">
        <v>250</v>
      </c>
      <c r="E108">
        <f>VLOOKUP(A108,Ucto_HK_summ!$A$2:$K$965,8,FALSE)</f>
        <v>0</v>
      </c>
    </row>
    <row r="109" spans="1:5">
      <c r="A109" s="578" t="s">
        <v>1370</v>
      </c>
      <c r="B109" s="578" t="s">
        <v>1371</v>
      </c>
      <c r="C109">
        <v>174.5</v>
      </c>
      <c r="D109">
        <v>221.8</v>
      </c>
      <c r="E109">
        <f>VLOOKUP(A109,Ucto_HK_summ!$A$2:$K$965,8,FALSE)</f>
        <v>307.8</v>
      </c>
    </row>
    <row r="110" spans="1:5">
      <c r="A110" s="578" t="s">
        <v>1372</v>
      </c>
      <c r="B110" s="578" t="s">
        <v>1373</v>
      </c>
      <c r="C110">
        <v>0</v>
      </c>
      <c r="D110">
        <v>0</v>
      </c>
      <c r="E110">
        <f>VLOOKUP(A110,Ucto_HK_summ!$A$2:$K$965,8,FALSE)</f>
        <v>0</v>
      </c>
    </row>
    <row r="111" spans="1:5">
      <c r="A111" s="578" t="s">
        <v>2768</v>
      </c>
      <c r="B111" s="578" t="s">
        <v>2769</v>
      </c>
      <c r="C111">
        <v>0</v>
      </c>
      <c r="D111">
        <v>0</v>
      </c>
    </row>
    <row r="112" spans="1:5">
      <c r="A112" s="578" t="s">
        <v>2770</v>
      </c>
      <c r="B112" s="578" t="s">
        <v>2771</v>
      </c>
      <c r="C112">
        <v>0</v>
      </c>
      <c r="D112">
        <v>100</v>
      </c>
    </row>
    <row r="113" spans="1:5">
      <c r="A113" s="578" t="s">
        <v>1374</v>
      </c>
      <c r="B113" s="578" t="s">
        <v>1375</v>
      </c>
      <c r="C113">
        <v>150</v>
      </c>
      <c r="D113">
        <v>150</v>
      </c>
      <c r="E113">
        <f>VLOOKUP(A113,Ucto_HK_summ!$A$2:$K$965,8,FALSE)</f>
        <v>150</v>
      </c>
    </row>
    <row r="114" spans="1:5">
      <c r="A114" s="578" t="s">
        <v>1376</v>
      </c>
      <c r="B114" s="578" t="s">
        <v>1377</v>
      </c>
      <c r="C114">
        <v>150</v>
      </c>
      <c r="D114">
        <v>150</v>
      </c>
      <c r="E114">
        <f>VLOOKUP(A114,Ucto_HK_summ!$A$2:$K$965,8,FALSE)</f>
        <v>150</v>
      </c>
    </row>
    <row r="115" spans="1:5">
      <c r="A115" s="578" t="s">
        <v>1378</v>
      </c>
      <c r="B115" s="578" t="s">
        <v>1379</v>
      </c>
      <c r="C115">
        <v>150</v>
      </c>
      <c r="D115">
        <v>150</v>
      </c>
      <c r="E115">
        <f>VLOOKUP(A115,Ucto_HK_summ!$A$2:$K$965,8,FALSE)</f>
        <v>150</v>
      </c>
    </row>
    <row r="116" spans="1:5">
      <c r="A116" s="578" t="s">
        <v>1380</v>
      </c>
      <c r="B116" s="578" t="s">
        <v>1381</v>
      </c>
      <c r="C116" s="513">
        <v>2395.21</v>
      </c>
      <c r="D116" s="513">
        <v>3238.99</v>
      </c>
      <c r="E116">
        <f>VLOOKUP(A116,Ucto_HK_summ!$A$2:$K$965,8,FALSE)</f>
        <v>2418.13</v>
      </c>
    </row>
    <row r="117" spans="1:5">
      <c r="A117" s="578" t="s">
        <v>1382</v>
      </c>
      <c r="C117" s="513">
        <v>3019.71</v>
      </c>
      <c r="D117" s="513">
        <v>12203.17</v>
      </c>
      <c r="E117">
        <f>VLOOKUP(A117,Ucto_HK_summ!$A$2:$K$965,8,FALSE)</f>
        <v>3175.93</v>
      </c>
    </row>
    <row r="118" spans="1:5">
      <c r="A118" s="578" t="s">
        <v>1383</v>
      </c>
      <c r="B118" s="578" t="s">
        <v>1384</v>
      </c>
      <c r="C118">
        <v>0</v>
      </c>
      <c r="D118">
        <v>356</v>
      </c>
      <c r="E118">
        <f>VLOOKUP(A118,Ucto_HK_summ!$A$2:$K$965,8,FALSE)</f>
        <v>0</v>
      </c>
    </row>
    <row r="119" spans="1:5">
      <c r="A119" s="578" t="s">
        <v>1385</v>
      </c>
      <c r="C119">
        <v>0</v>
      </c>
      <c r="D119">
        <v>356</v>
      </c>
      <c r="E119">
        <f>VLOOKUP(A119,Ucto_HK_summ!$A$2:$K$965,8,FALSE)</f>
        <v>0</v>
      </c>
    </row>
    <row r="120" spans="1:5">
      <c r="A120" s="577" t="s">
        <v>1386</v>
      </c>
      <c r="C120" s="579">
        <v>3019.71</v>
      </c>
      <c r="D120" s="579">
        <v>12559.17</v>
      </c>
      <c r="E120">
        <f>VLOOKUP(A120,Ucto_HK_summ!$A$2:$K$965,8,FALSE)</f>
        <v>3175.93</v>
      </c>
    </row>
    <row r="122" spans="1:5">
      <c r="A122" s="578" t="s">
        <v>1387</v>
      </c>
      <c r="B122" s="578" t="s">
        <v>1388</v>
      </c>
      <c r="C122" s="513">
        <v>3696016.65</v>
      </c>
      <c r="D122" s="513">
        <v>13165254.800000001</v>
      </c>
      <c r="E122">
        <f>VLOOKUP(A122,Ucto_HK_summ!$A$2:$K$965,8,FALSE)</f>
        <v>14599593.17</v>
      </c>
    </row>
    <row r="123" spans="1:5">
      <c r="A123" s="578" t="s">
        <v>1389</v>
      </c>
      <c r="B123" s="578" t="s">
        <v>1390</v>
      </c>
      <c r="C123">
        <v>0</v>
      </c>
      <c r="D123">
        <v>0</v>
      </c>
      <c r="E123">
        <f>VLOOKUP(A123,Ucto_HK_summ!$A$2:$K$965,8,FALSE)</f>
        <v>0</v>
      </c>
    </row>
    <row r="124" spans="1:5">
      <c r="A124" s="578" t="s">
        <v>1391</v>
      </c>
      <c r="B124" s="578" t="s">
        <v>1392</v>
      </c>
      <c r="C124" s="513">
        <v>2739423.53</v>
      </c>
      <c r="D124" s="513">
        <v>3634018.01</v>
      </c>
      <c r="E124">
        <f>VLOOKUP(A124,Ucto_HK_summ!$A$2:$K$965,8,FALSE)</f>
        <v>4001355.12</v>
      </c>
    </row>
    <row r="125" spans="1:5">
      <c r="A125" s="578" t="s">
        <v>1393</v>
      </c>
      <c r="B125" s="578" t="s">
        <v>1394</v>
      </c>
      <c r="C125" s="513">
        <v>132407.47</v>
      </c>
      <c r="D125" s="513">
        <v>438538.27</v>
      </c>
      <c r="E125">
        <f>VLOOKUP(A125,Ucto_HK_summ!$A$2:$K$965,8,FALSE)</f>
        <v>221258.69</v>
      </c>
    </row>
    <row r="126" spans="1:5">
      <c r="A126" s="578" t="s">
        <v>1395</v>
      </c>
      <c r="B126" s="578" t="s">
        <v>1396</v>
      </c>
      <c r="C126">
        <v>0</v>
      </c>
      <c r="D126" s="513">
        <v>95554.15</v>
      </c>
      <c r="E126">
        <f>VLOOKUP(A126,Ucto_HK_summ!$A$2:$K$965,8,FALSE)</f>
        <v>0</v>
      </c>
    </row>
    <row r="127" spans="1:5">
      <c r="A127" s="578" t="s">
        <v>1397</v>
      </c>
      <c r="B127" s="578" t="s">
        <v>1398</v>
      </c>
      <c r="C127" s="513">
        <v>4427544.8899999997</v>
      </c>
      <c r="D127" s="513">
        <v>4867298.2300000004</v>
      </c>
      <c r="E127">
        <f>VLOOKUP(A127,Ucto_HK_summ!$A$2:$K$965,8,FALSE)</f>
        <v>9608135.9399999995</v>
      </c>
    </row>
    <row r="128" spans="1:5">
      <c r="A128" s="578" t="s">
        <v>1399</v>
      </c>
      <c r="B128" s="578" t="s">
        <v>1400</v>
      </c>
      <c r="C128" s="513">
        <v>11270.86</v>
      </c>
      <c r="D128" s="513">
        <v>10981.2</v>
      </c>
      <c r="E128">
        <f>VLOOKUP(A128,Ucto_HK_summ!$A$2:$K$965,8,FALSE)</f>
        <v>12084.69</v>
      </c>
    </row>
    <row r="129" spans="1:5">
      <c r="A129" s="578" t="s">
        <v>1401</v>
      </c>
      <c r="B129" s="578" t="s">
        <v>1402</v>
      </c>
      <c r="C129" s="513">
        <v>1815.65</v>
      </c>
      <c r="D129" s="513">
        <v>2052.81</v>
      </c>
      <c r="E129">
        <f>VLOOKUP(A129,Ucto_HK_summ!$A$2:$K$965,8,FALSE)</f>
        <v>0</v>
      </c>
    </row>
    <row r="130" spans="1:5">
      <c r="A130" s="578" t="s">
        <v>2772</v>
      </c>
      <c r="B130" s="578" t="s">
        <v>2773</v>
      </c>
      <c r="C130">
        <v>0</v>
      </c>
      <c r="D130" s="513">
        <v>20439.22</v>
      </c>
      <c r="E130">
        <f>VLOOKUP(A130,Ucto_HK_summ!$A$2:$K$965,8,FALSE)</f>
        <v>13505.12</v>
      </c>
    </row>
    <row r="131" spans="1:5">
      <c r="A131" s="578" t="s">
        <v>1403</v>
      </c>
      <c r="C131" s="513">
        <v>11008479.050000001</v>
      </c>
      <c r="D131" s="513">
        <v>22234136.690000001</v>
      </c>
      <c r="E131">
        <f>VLOOKUP(A131,Ucto_HK_summ!$A$2:$K$965,8,FALSE)</f>
        <v>28455932.73</v>
      </c>
    </row>
    <row r="132" spans="1:5">
      <c r="A132" s="577" t="s">
        <v>1404</v>
      </c>
      <c r="C132" s="579">
        <v>11008479.050000001</v>
      </c>
      <c r="D132" s="579">
        <v>22234136.690000001</v>
      </c>
      <c r="E132">
        <f>VLOOKUP(A132,Ucto_HK_summ!$A$2:$K$965,8,FALSE)</f>
        <v>28455932.73</v>
      </c>
    </row>
    <row r="134" spans="1:5">
      <c r="A134" s="578" t="s">
        <v>1405</v>
      </c>
      <c r="B134" s="578" t="s">
        <v>1406</v>
      </c>
      <c r="C134" s="513">
        <v>6287.35</v>
      </c>
      <c r="D134">
        <v>59.42</v>
      </c>
      <c r="E134">
        <f>VLOOKUP(A134,Ucto_HK_summ!$A$2:$K$965,8,FALSE)</f>
        <v>128.38</v>
      </c>
    </row>
    <row r="135" spans="1:5">
      <c r="A135" s="578" t="s">
        <v>1407</v>
      </c>
      <c r="B135" s="578" t="s">
        <v>1408</v>
      </c>
      <c r="C135">
        <v>-233.73</v>
      </c>
      <c r="D135">
        <v>-10</v>
      </c>
      <c r="E135">
        <f>VLOOKUP(A135,Ucto_HK_summ!$A$2:$K$965,8,FALSE)</f>
        <v>-874.93</v>
      </c>
    </row>
    <row r="136" spans="1:5">
      <c r="A136" s="578" t="s">
        <v>1409</v>
      </c>
      <c r="B136" s="578" t="s">
        <v>1410</v>
      </c>
      <c r="C136">
        <v>0</v>
      </c>
      <c r="D136">
        <v>-60</v>
      </c>
      <c r="E136">
        <f>VLOOKUP(A136,Ucto_HK_summ!$A$2:$K$965,8,FALSE)</f>
        <v>0</v>
      </c>
    </row>
    <row r="137" spans="1:5">
      <c r="A137" s="578" t="s">
        <v>1411</v>
      </c>
      <c r="B137" s="578" t="s">
        <v>1412</v>
      </c>
      <c r="C137">
        <v>0</v>
      </c>
      <c r="D137">
        <v>0</v>
      </c>
      <c r="E137">
        <f>VLOOKUP(A137,Ucto_HK_summ!$A$2:$K$965,8,FALSE)</f>
        <v>0</v>
      </c>
    </row>
    <row r="138" spans="1:5">
      <c r="A138" s="578" t="s">
        <v>2774</v>
      </c>
      <c r="B138" s="578" t="s">
        <v>2775</v>
      </c>
      <c r="C138">
        <v>0</v>
      </c>
      <c r="D138" s="550">
        <v>2670</v>
      </c>
      <c r="E138">
        <f>VLOOKUP(A138,Ucto_HK_summ!$A$2:$K$965,8,FALSE)</f>
        <v>1600</v>
      </c>
    </row>
    <row r="139" spans="1:5">
      <c r="A139" s="578" t="s">
        <v>1413</v>
      </c>
      <c r="B139" s="578" t="s">
        <v>1414</v>
      </c>
      <c r="C139">
        <v>0</v>
      </c>
      <c r="D139">
        <v>0</v>
      </c>
      <c r="E139">
        <f>VLOOKUP(A139,Ucto_HK_summ!$A$2:$K$965,8,FALSE)</f>
        <v>0</v>
      </c>
    </row>
    <row r="140" spans="1:5">
      <c r="A140" s="578" t="s">
        <v>1415</v>
      </c>
      <c r="B140" s="578" t="s">
        <v>1416</v>
      </c>
      <c r="C140">
        <v>0</v>
      </c>
      <c r="D140">
        <v>0</v>
      </c>
      <c r="E140">
        <f>VLOOKUP(A140,Ucto_HK_summ!$A$2:$K$965,8,FALSE)</f>
        <v>0</v>
      </c>
    </row>
    <row r="141" spans="1:5">
      <c r="A141" s="578" t="s">
        <v>1417</v>
      </c>
      <c r="B141" s="578" t="s">
        <v>1418</v>
      </c>
      <c r="C141">
        <v>0</v>
      </c>
      <c r="D141">
        <v>0</v>
      </c>
      <c r="E141">
        <f>VLOOKUP(A141,Ucto_HK_summ!$A$2:$K$965,8,FALSE)</f>
        <v>0</v>
      </c>
    </row>
    <row r="142" spans="1:5">
      <c r="A142" s="578" t="s">
        <v>2776</v>
      </c>
      <c r="B142" s="578" t="s">
        <v>2777</v>
      </c>
      <c r="C142">
        <v>0</v>
      </c>
      <c r="D142">
        <v>0</v>
      </c>
      <c r="E142">
        <f>VLOOKUP(A142,Ucto_HK_summ!$A$2:$K$965,8,FALSE)</f>
        <v>0</v>
      </c>
    </row>
    <row r="143" spans="1:5">
      <c r="A143" s="578" t="s">
        <v>1419</v>
      </c>
      <c r="C143" s="513">
        <v>6053.62</v>
      </c>
      <c r="D143" s="513">
        <v>2659.42</v>
      </c>
      <c r="E143">
        <f>VLOOKUP(A143,Ucto_HK_summ!$A$2:$K$965,8,FALSE)</f>
        <v>853.45</v>
      </c>
    </row>
    <row r="144" spans="1:5">
      <c r="A144" s="577" t="s">
        <v>1420</v>
      </c>
      <c r="C144" s="579">
        <v>6053.62</v>
      </c>
      <c r="D144" s="579">
        <v>2659.42</v>
      </c>
      <c r="E144">
        <f>VLOOKUP(A144,Ucto_HK_summ!$A$2:$K$965,8,FALSE)</f>
        <v>853.45</v>
      </c>
    </row>
    <row r="146" spans="1:5">
      <c r="A146" s="578" t="s">
        <v>1421</v>
      </c>
      <c r="B146" s="578" t="s">
        <v>1422</v>
      </c>
      <c r="C146" s="513">
        <v>-608873.73</v>
      </c>
      <c r="D146" s="513">
        <v>-608873.73</v>
      </c>
      <c r="E146">
        <f>VLOOKUP(A146,Ucto_HK_summ!$A$2:$K$965,8,FALSE)</f>
        <v>-608873.73</v>
      </c>
    </row>
    <row r="147" spans="1:5">
      <c r="A147" s="578" t="s">
        <v>1423</v>
      </c>
      <c r="C147" s="513">
        <v>-608873.73</v>
      </c>
      <c r="D147" s="513">
        <v>-608873.73</v>
      </c>
      <c r="E147">
        <f>VLOOKUP(A147,Ucto_HK_summ!$A$2:$K$965,8,FALSE)</f>
        <v>-608873.73</v>
      </c>
    </row>
    <row r="148" spans="1:5">
      <c r="A148" s="577" t="s">
        <v>1424</v>
      </c>
      <c r="C148" s="579">
        <v>-608873.73</v>
      </c>
      <c r="D148" s="579">
        <v>-608873.73</v>
      </c>
      <c r="E148">
        <f>VLOOKUP(A148,Ucto_HK_summ!$A$2:$K$965,8,FALSE)</f>
        <v>-608873.73</v>
      </c>
    </row>
    <row r="150" spans="1:5">
      <c r="A150" s="577" t="s">
        <v>1425</v>
      </c>
      <c r="C150" s="579">
        <v>10408678.65</v>
      </c>
      <c r="D150" s="579">
        <v>21640481.550000001</v>
      </c>
      <c r="E150">
        <f>VLOOKUP(A150,Ucto_HK_summ!$A$2:$K$965,8,FALSE)</f>
        <v>27851088.379999999</v>
      </c>
    </row>
    <row r="153" spans="1:5">
      <c r="A153" s="578" t="s">
        <v>1426</v>
      </c>
      <c r="B153" s="578" t="s">
        <v>1427</v>
      </c>
      <c r="C153" s="513">
        <v>9468539.1600000001</v>
      </c>
      <c r="D153" s="513">
        <v>12507809.529999999</v>
      </c>
      <c r="E153">
        <f>VLOOKUP(A153,Ucto_HK_summ!$A$2:$K$965,8,FALSE)</f>
        <v>12230996.51</v>
      </c>
    </row>
    <row r="154" spans="1:5">
      <c r="A154" s="578" t="s">
        <v>1428</v>
      </c>
      <c r="B154" s="578" t="s">
        <v>1429</v>
      </c>
      <c r="C154" s="513">
        <v>2381353.2400000002</v>
      </c>
      <c r="D154" s="513">
        <v>3369867.67</v>
      </c>
      <c r="E154">
        <f>VLOOKUP(A154,Ucto_HK_summ!$A$2:$K$965,8,FALSE)</f>
        <v>6588049.2800000003</v>
      </c>
    </row>
    <row r="155" spans="1:5">
      <c r="A155" s="578" t="s">
        <v>1430</v>
      </c>
      <c r="B155" s="578" t="s">
        <v>1431</v>
      </c>
      <c r="C155" s="513">
        <v>1660391.37</v>
      </c>
      <c r="D155" s="513">
        <v>2407498.66</v>
      </c>
      <c r="E155">
        <f>VLOOKUP(A155,Ucto_HK_summ!$A$2:$K$965,8,FALSE)</f>
        <v>2433979.7400000002</v>
      </c>
    </row>
    <row r="156" spans="1:5">
      <c r="A156" s="578" t="s">
        <v>1432</v>
      </c>
      <c r="B156" s="578" t="s">
        <v>1433</v>
      </c>
      <c r="C156">
        <v>457.54</v>
      </c>
      <c r="D156">
        <v>344.33</v>
      </c>
      <c r="E156">
        <f>VLOOKUP(A156,Ucto_HK_summ!$A$2:$K$965,8,FALSE)</f>
        <v>259.44</v>
      </c>
    </row>
    <row r="157" spans="1:5">
      <c r="A157" s="578" t="s">
        <v>1434</v>
      </c>
      <c r="B157" s="578" t="s">
        <v>1435</v>
      </c>
      <c r="C157" s="513">
        <v>17761.2</v>
      </c>
      <c r="D157" s="550">
        <v>39227</v>
      </c>
      <c r="E157">
        <f>VLOOKUP(A157,Ucto_HK_summ!$A$2:$K$965,8,FALSE)</f>
        <v>34323.300000000003</v>
      </c>
    </row>
    <row r="158" spans="1:5">
      <c r="A158" s="578" t="s">
        <v>1436</v>
      </c>
      <c r="B158" s="578" t="s">
        <v>1437</v>
      </c>
      <c r="C158" s="513">
        <v>271800.33</v>
      </c>
      <c r="D158" s="513">
        <v>408685.92</v>
      </c>
      <c r="E158">
        <f>VLOOKUP(A158,Ucto_HK_summ!$A$2:$K$965,8,FALSE)</f>
        <v>420677.03</v>
      </c>
    </row>
    <row r="159" spans="1:5">
      <c r="A159" s="578" t="s">
        <v>1438</v>
      </c>
      <c r="B159" s="578" t="s">
        <v>1439</v>
      </c>
      <c r="C159" s="513">
        <v>1375.05</v>
      </c>
      <c r="D159" s="513">
        <v>2984.51</v>
      </c>
      <c r="E159">
        <f>VLOOKUP(A159,Ucto_HK_summ!$A$2:$K$965,8,FALSE)</f>
        <v>2475.09</v>
      </c>
    </row>
    <row r="160" spans="1:5">
      <c r="A160" s="578" t="s">
        <v>1440</v>
      </c>
      <c r="B160" s="578" t="s">
        <v>1441</v>
      </c>
      <c r="C160" s="513">
        <v>1414569.05</v>
      </c>
      <c r="D160" s="513">
        <v>1040595.43</v>
      </c>
      <c r="E160">
        <f>VLOOKUP(A160,Ucto_HK_summ!$A$2:$K$965,8,FALSE)</f>
        <v>1031772.03</v>
      </c>
    </row>
    <row r="161" spans="1:5">
      <c r="A161" s="578" t="s">
        <v>1442</v>
      </c>
      <c r="B161" s="578" t="s">
        <v>1443</v>
      </c>
      <c r="C161" s="513">
        <v>71321.61</v>
      </c>
      <c r="D161" s="513">
        <v>73577.100000000006</v>
      </c>
      <c r="E161">
        <f>VLOOKUP(A161,Ucto_HK_summ!$A$2:$K$965,8,FALSE)</f>
        <v>72885.89</v>
      </c>
    </row>
    <row r="162" spans="1:5">
      <c r="A162" s="578" t="s">
        <v>1444</v>
      </c>
      <c r="B162" s="578" t="s">
        <v>1445</v>
      </c>
      <c r="C162" s="550">
        <v>4600</v>
      </c>
      <c r="D162" s="550">
        <v>6320</v>
      </c>
      <c r="E162">
        <f>VLOOKUP(A162,Ucto_HK_summ!$A$2:$K$965,8,FALSE)</f>
        <v>10185</v>
      </c>
    </row>
    <row r="163" spans="1:5">
      <c r="A163" s="578" t="s">
        <v>1446</v>
      </c>
      <c r="B163" s="578" t="s">
        <v>1447</v>
      </c>
      <c r="C163" s="513">
        <v>39242.85</v>
      </c>
      <c r="D163" s="513">
        <v>39160.339999999997</v>
      </c>
      <c r="E163">
        <f>VLOOKUP(A163,Ucto_HK_summ!$A$2:$K$965,8,FALSE)</f>
        <v>44302.86</v>
      </c>
    </row>
    <row r="164" spans="1:5">
      <c r="A164" s="578" t="s">
        <v>1448</v>
      </c>
      <c r="B164" s="578" t="s">
        <v>1449</v>
      </c>
      <c r="C164" s="513">
        <v>96983.62</v>
      </c>
      <c r="D164" s="513">
        <v>299445.8</v>
      </c>
      <c r="E164">
        <f>VLOOKUP(A164,Ucto_HK_summ!$A$2:$K$965,8,FALSE)</f>
        <v>161212.29</v>
      </c>
    </row>
    <row r="165" spans="1:5">
      <c r="A165" s="578" t="s">
        <v>1450</v>
      </c>
      <c r="B165" s="578" t="s">
        <v>1451</v>
      </c>
      <c r="C165" s="513">
        <v>29564.93</v>
      </c>
      <c r="D165" s="513">
        <v>81525.8</v>
      </c>
      <c r="E165">
        <f>VLOOKUP(A165,Ucto_HK_summ!$A$2:$K$965,8,FALSE)</f>
        <v>96830.01</v>
      </c>
    </row>
    <row r="166" spans="1:5">
      <c r="A166" s="578" t="s">
        <v>1452</v>
      </c>
      <c r="B166" s="578" t="s">
        <v>1453</v>
      </c>
      <c r="C166" s="513">
        <v>8160.94</v>
      </c>
      <c r="D166" s="513">
        <v>12385.08</v>
      </c>
      <c r="E166">
        <f>VLOOKUP(A166,Ucto_HK_summ!$A$2:$K$965,8,FALSE)</f>
        <v>36505.68</v>
      </c>
    </row>
    <row r="167" spans="1:5">
      <c r="A167" s="578" t="s">
        <v>1454</v>
      </c>
      <c r="C167" s="513">
        <v>15466120.890000001</v>
      </c>
      <c r="D167" s="513">
        <v>20289427.170000002</v>
      </c>
      <c r="E167">
        <f>VLOOKUP(A167,Ucto_HK_summ!$A$2:$K$965,8,FALSE)</f>
        <v>23164454.149999999</v>
      </c>
    </row>
    <row r="168" spans="1:5">
      <c r="A168" s="578" t="s">
        <v>1455</v>
      </c>
      <c r="B168" s="578" t="s">
        <v>1456</v>
      </c>
      <c r="C168" s="513">
        <v>7970.68</v>
      </c>
      <c r="D168" s="513">
        <v>27106.959999999999</v>
      </c>
      <c r="E168">
        <f>VLOOKUP(A168,Ucto_HK_summ!$A$2:$K$965,8,FALSE)</f>
        <v>5293.05</v>
      </c>
    </row>
    <row r="169" spans="1:5">
      <c r="A169" s="578" t="s">
        <v>1457</v>
      </c>
      <c r="C169" s="513">
        <v>7970.68</v>
      </c>
      <c r="D169" s="513">
        <v>27106.959999999999</v>
      </c>
      <c r="E169">
        <f>VLOOKUP(A169,Ucto_HK_summ!$A$2:$K$965,8,FALSE)</f>
        <v>5293.05</v>
      </c>
    </row>
    <row r="170" spans="1:5">
      <c r="A170" s="578" t="s">
        <v>2778</v>
      </c>
      <c r="B170" s="578" t="s">
        <v>2779</v>
      </c>
      <c r="C170">
        <v>0</v>
      </c>
      <c r="D170">
        <v>835.5</v>
      </c>
      <c r="E170">
        <f>VLOOKUP(A170,Ucto_HK_summ!$A$2:$K$965,8,FALSE)</f>
        <v>605</v>
      </c>
    </row>
    <row r="171" spans="1:5">
      <c r="A171" s="578" t="s">
        <v>1458</v>
      </c>
      <c r="B171" s="578" t="s">
        <v>222</v>
      </c>
      <c r="C171" s="513">
        <v>137258.39000000001</v>
      </c>
      <c r="D171" s="513">
        <v>151347.15</v>
      </c>
      <c r="E171">
        <f>VLOOKUP(A171,Ucto_HK_summ!$A$2:$K$965,8,FALSE)</f>
        <v>156163.47</v>
      </c>
    </row>
    <row r="172" spans="1:5">
      <c r="A172" s="578" t="s">
        <v>1459</v>
      </c>
      <c r="B172" s="578" t="s">
        <v>1460</v>
      </c>
      <c r="C172">
        <v>401.48</v>
      </c>
      <c r="D172" s="513">
        <v>1030.3800000000001</v>
      </c>
      <c r="E172">
        <f>VLOOKUP(A172,Ucto_HK_summ!$A$2:$K$965,8,FALSE)</f>
        <v>600.11</v>
      </c>
    </row>
    <row r="173" spans="1:5">
      <c r="A173" s="578" t="s">
        <v>1461</v>
      </c>
      <c r="C173" s="513">
        <v>137659.87</v>
      </c>
      <c r="D173" s="513">
        <v>153213.03</v>
      </c>
      <c r="E173">
        <f>VLOOKUP(A173,Ucto_HK_summ!$A$2:$K$965,8,FALSE)</f>
        <v>157368.57999999999</v>
      </c>
    </row>
    <row r="174" spans="1:5">
      <c r="A174" s="577" t="s">
        <v>1462</v>
      </c>
      <c r="C174" s="579">
        <v>15611751.439999999</v>
      </c>
      <c r="D174" s="579">
        <v>20469747.16</v>
      </c>
      <c r="E174">
        <f>VLOOKUP(A174,Ucto_HK_summ!$A$2:$K$965,8,FALSE)</f>
        <v>23327115.780000001</v>
      </c>
    </row>
    <row r="176" spans="1:5">
      <c r="A176" s="578" t="s">
        <v>1463</v>
      </c>
      <c r="B176" s="578" t="s">
        <v>1464</v>
      </c>
      <c r="C176" s="513">
        <v>-8875838.3399999999</v>
      </c>
      <c r="D176" s="513">
        <v>-9806870.4000000004</v>
      </c>
      <c r="E176">
        <f>VLOOKUP(A176,Ucto_HK_summ!$A$2:$K$965,8,FALSE)</f>
        <v>-9869999.3100000005</v>
      </c>
    </row>
    <row r="177" spans="1:5">
      <c r="A177" s="578" t="s">
        <v>1465</v>
      </c>
      <c r="B177" s="578" t="s">
        <v>1466</v>
      </c>
      <c r="C177" s="513">
        <v>-3827373.17</v>
      </c>
      <c r="D177" s="513">
        <v>-4610668.6500000004</v>
      </c>
      <c r="E177">
        <f>VLOOKUP(A177,Ucto_HK_summ!$A$2:$K$965,8,FALSE)</f>
        <v>-5324754.1900000004</v>
      </c>
    </row>
    <row r="178" spans="1:5">
      <c r="A178" s="578" t="s">
        <v>1467</v>
      </c>
      <c r="B178" s="578" t="s">
        <v>1468</v>
      </c>
      <c r="C178" s="513">
        <v>-28408864.100000001</v>
      </c>
      <c r="D178" s="513">
        <v>-30225609.309999999</v>
      </c>
      <c r="E178">
        <f>VLOOKUP(A178,Ucto_HK_summ!$A$2:$K$965,8,FALSE)</f>
        <v>-29493388.739999998</v>
      </c>
    </row>
    <row r="179" spans="1:5">
      <c r="A179" s="578" t="s">
        <v>1469</v>
      </c>
      <c r="B179" s="578" t="s">
        <v>1470</v>
      </c>
      <c r="C179" s="513">
        <v>-4818466.1500000004</v>
      </c>
      <c r="D179" s="513">
        <v>-5105967.1500000004</v>
      </c>
      <c r="E179">
        <f>VLOOKUP(A179,Ucto_HK_summ!$A$2:$K$965,8,FALSE)</f>
        <v>-5128952.67</v>
      </c>
    </row>
    <row r="180" spans="1:5">
      <c r="A180" s="578" t="s">
        <v>1471</v>
      </c>
      <c r="B180" s="578" t="s">
        <v>1472</v>
      </c>
      <c r="C180" s="513">
        <v>-202635.21</v>
      </c>
      <c r="D180" s="513">
        <v>-118658.17</v>
      </c>
      <c r="E180">
        <f>VLOOKUP(A180,Ucto_HK_summ!$A$2:$K$965,8,FALSE)</f>
        <v>-133827.21</v>
      </c>
    </row>
    <row r="181" spans="1:5">
      <c r="A181" s="578" t="s">
        <v>1473</v>
      </c>
      <c r="B181" s="578" t="s">
        <v>1474</v>
      </c>
      <c r="C181" s="513">
        <v>-8868159.9499999993</v>
      </c>
      <c r="D181" s="513">
        <v>-8594612.7200000007</v>
      </c>
      <c r="E181">
        <f>VLOOKUP(A181,Ucto_HK_summ!$A$2:$K$965,8,FALSE)</f>
        <v>-7735474.6200000001</v>
      </c>
    </row>
    <row r="182" spans="1:5">
      <c r="A182" s="578" t="s">
        <v>1475</v>
      </c>
      <c r="B182" s="578" t="s">
        <v>1476</v>
      </c>
      <c r="C182" s="513">
        <v>-2005100.41</v>
      </c>
      <c r="D182" s="513">
        <v>-2309530.38</v>
      </c>
      <c r="E182">
        <f>VLOOKUP(A182,Ucto_HK_summ!$A$2:$K$965,8,FALSE)</f>
        <v>-2856478.99</v>
      </c>
    </row>
    <row r="183" spans="1:5">
      <c r="A183" s="578" t="s">
        <v>1477</v>
      </c>
      <c r="B183" s="578" t="s">
        <v>1478</v>
      </c>
      <c r="C183" s="513">
        <v>-4729229.2</v>
      </c>
      <c r="D183" s="513">
        <v>-3676633.3</v>
      </c>
      <c r="E183">
        <f>VLOOKUP(A183,Ucto_HK_summ!$A$2:$K$965,8,FALSE)</f>
        <v>-3679333.95</v>
      </c>
    </row>
    <row r="184" spans="1:5">
      <c r="A184" s="578" t="s">
        <v>1479</v>
      </c>
      <c r="B184" s="578" t="s">
        <v>1480</v>
      </c>
      <c r="C184" s="513">
        <v>-199816.58</v>
      </c>
      <c r="D184" s="513">
        <v>-597252.76</v>
      </c>
      <c r="E184">
        <f>VLOOKUP(A184,Ucto_HK_summ!$A$2:$K$965,8,FALSE)</f>
        <v>-406475.7</v>
      </c>
    </row>
    <row r="185" spans="1:5">
      <c r="A185" s="578" t="s">
        <v>1481</v>
      </c>
      <c r="B185" s="578" t="s">
        <v>1482</v>
      </c>
      <c r="C185">
        <v>0</v>
      </c>
      <c r="D185" s="550">
        <v>-1020</v>
      </c>
      <c r="E185">
        <f>VLOOKUP(A185,Ucto_HK_summ!$A$2:$K$965,8,FALSE)</f>
        <v>-1794</v>
      </c>
    </row>
    <row r="186" spans="1:5">
      <c r="A186" s="578" t="s">
        <v>1483</v>
      </c>
      <c r="B186" s="578" t="s">
        <v>1484</v>
      </c>
      <c r="C186" s="513">
        <v>-365084.07</v>
      </c>
      <c r="D186" s="513">
        <v>-507673.27</v>
      </c>
      <c r="E186">
        <f>VLOOKUP(A186,Ucto_HK_summ!$A$2:$K$965,8,FALSE)</f>
        <v>-548655.88</v>
      </c>
    </row>
    <row r="187" spans="1:5">
      <c r="A187" s="578" t="s">
        <v>2780</v>
      </c>
      <c r="B187" s="578" t="s">
        <v>2781</v>
      </c>
      <c r="C187">
        <v>0</v>
      </c>
      <c r="D187">
        <v>0</v>
      </c>
      <c r="E187">
        <f>VLOOKUP(A187,Ucto_HK_summ!$A$2:$K$965,8,FALSE)</f>
        <v>0</v>
      </c>
    </row>
    <row r="188" spans="1:5">
      <c r="A188" s="578" t="s">
        <v>1485</v>
      </c>
      <c r="B188" s="578" t="s">
        <v>1486</v>
      </c>
      <c r="C188" s="513">
        <v>-96653.85</v>
      </c>
      <c r="D188" s="513">
        <v>-158811.79</v>
      </c>
      <c r="E188">
        <f>VLOOKUP(A188,Ucto_HK_summ!$A$2:$K$965,8,FALSE)</f>
        <v>-238188.83</v>
      </c>
    </row>
    <row r="189" spans="1:5">
      <c r="A189" s="578" t="s">
        <v>1487</v>
      </c>
      <c r="B189" s="578" t="s">
        <v>1488</v>
      </c>
      <c r="C189" s="513">
        <v>-43277.42</v>
      </c>
      <c r="D189" s="513">
        <v>-137745.45000000001</v>
      </c>
      <c r="E189">
        <f>VLOOKUP(A189,Ucto_HK_summ!$A$2:$K$965,8,FALSE)</f>
        <v>-138473.22</v>
      </c>
    </row>
    <row r="190" spans="1:5">
      <c r="A190" s="578" t="s">
        <v>1489</v>
      </c>
      <c r="B190" s="578" t="s">
        <v>1490</v>
      </c>
      <c r="C190" s="513">
        <v>-72065.649999999994</v>
      </c>
      <c r="D190" s="513">
        <v>-16395.189999999999</v>
      </c>
      <c r="E190">
        <f>VLOOKUP(A190,Ucto_HK_summ!$A$2:$K$965,8,FALSE)</f>
        <v>-59028.27</v>
      </c>
    </row>
    <row r="191" spans="1:5">
      <c r="A191" s="578" t="s">
        <v>1491</v>
      </c>
      <c r="C191" s="513">
        <v>-62512564.100000001</v>
      </c>
      <c r="D191" s="513">
        <v>-65867448.539999999</v>
      </c>
      <c r="E191">
        <f>VLOOKUP(A191,Ucto_HK_summ!$A$2:$K$965,8,FALSE)</f>
        <v>-65614825.579999998</v>
      </c>
    </row>
    <row r="192" spans="1:5">
      <c r="A192" s="578" t="s">
        <v>1492</v>
      </c>
      <c r="B192" s="578" t="s">
        <v>1493</v>
      </c>
      <c r="C192" s="550">
        <v>-1232088</v>
      </c>
      <c r="D192" s="513">
        <v>-1043906.8</v>
      </c>
      <c r="E192">
        <f>VLOOKUP(A192,Ucto_HK_summ!$A$2:$K$965,8,FALSE)</f>
        <v>-1155146.8</v>
      </c>
    </row>
    <row r="193" spans="1:5">
      <c r="A193" s="578" t="s">
        <v>1494</v>
      </c>
      <c r="B193" s="578" t="s">
        <v>1495</v>
      </c>
      <c r="C193" s="513">
        <v>-18228332.27</v>
      </c>
      <c r="D193" s="550">
        <v>-17816981</v>
      </c>
      <c r="E193">
        <f>VLOOKUP(A193,Ucto_HK_summ!$A$2:$K$965,8,FALSE)</f>
        <v>-27861224</v>
      </c>
    </row>
    <row r="194" spans="1:5">
      <c r="A194" s="578" t="s">
        <v>1496</v>
      </c>
      <c r="B194" s="578" t="s">
        <v>1497</v>
      </c>
      <c r="C194" s="513">
        <v>-357491.97</v>
      </c>
      <c r="D194" s="513">
        <v>-357491.97</v>
      </c>
      <c r="E194">
        <f>VLOOKUP(A194,Ucto_HK_summ!$A$2:$K$965,8,FALSE)</f>
        <v>-173056</v>
      </c>
    </row>
    <row r="195" spans="1:5">
      <c r="A195" s="578" t="s">
        <v>1498</v>
      </c>
      <c r="B195" s="578" t="s">
        <v>1499</v>
      </c>
      <c r="C195" s="513">
        <v>-213742.71</v>
      </c>
      <c r="D195" s="513">
        <v>-213742.71</v>
      </c>
      <c r="E195">
        <f>VLOOKUP(A195,Ucto_HK_summ!$A$2:$K$965,8,FALSE)</f>
        <v>-187245.59</v>
      </c>
    </row>
    <row r="196" spans="1:5">
      <c r="A196" s="578" t="s">
        <v>1500</v>
      </c>
      <c r="B196" s="578" t="s">
        <v>1501</v>
      </c>
      <c r="C196" s="513">
        <v>-72966.62</v>
      </c>
      <c r="D196" s="513">
        <v>-72966.62</v>
      </c>
      <c r="E196">
        <f>VLOOKUP(A196,Ucto_HK_summ!$A$2:$K$965,8,FALSE)</f>
        <v>-64349.74</v>
      </c>
    </row>
    <row r="197" spans="1:5">
      <c r="A197" s="578" t="s">
        <v>1502</v>
      </c>
      <c r="C197" s="513">
        <v>-20104621.57</v>
      </c>
      <c r="D197" s="513">
        <v>-19505089.100000001</v>
      </c>
      <c r="E197">
        <f>VLOOKUP(A197,Ucto_HK_summ!$A$2:$K$965,8,FALSE)</f>
        <v>-29441022.129999999</v>
      </c>
    </row>
    <row r="198" spans="1:5">
      <c r="A198" s="578" t="s">
        <v>1503</v>
      </c>
      <c r="B198" s="578" t="s">
        <v>1504</v>
      </c>
      <c r="C198">
        <v>0</v>
      </c>
      <c r="D198">
        <v>0</v>
      </c>
      <c r="E198">
        <f>VLOOKUP(A198,Ucto_HK_summ!$A$2:$K$965,8,FALSE)</f>
        <v>0</v>
      </c>
    </row>
    <row r="199" spans="1:5">
      <c r="A199" s="578" t="s">
        <v>1505</v>
      </c>
      <c r="C199">
        <v>0</v>
      </c>
      <c r="D199">
        <v>0</v>
      </c>
      <c r="E199">
        <f>VLOOKUP(A199,Ucto_HK_summ!$A$2:$K$965,8,FALSE)</f>
        <v>0</v>
      </c>
    </row>
    <row r="200" spans="1:5">
      <c r="A200" s="578" t="s">
        <v>1506</v>
      </c>
      <c r="B200" s="578" t="s">
        <v>1507</v>
      </c>
      <c r="C200" s="513">
        <v>-1792.58</v>
      </c>
      <c r="D200" s="513">
        <v>-4135.26</v>
      </c>
      <c r="E200">
        <f>VLOOKUP(A200,Ucto_HK_summ!$A$2:$K$965,8,FALSE)</f>
        <v>-602.34</v>
      </c>
    </row>
    <row r="201" spans="1:5">
      <c r="A201" s="578" t="s">
        <v>1508</v>
      </c>
      <c r="C201" s="513">
        <v>-1792.58</v>
      </c>
      <c r="D201" s="513">
        <v>-4135.26</v>
      </c>
      <c r="E201">
        <f>VLOOKUP(A201,Ucto_HK_summ!$A$2:$K$965,8,FALSE)</f>
        <v>-602.34</v>
      </c>
    </row>
    <row r="202" spans="1:5">
      <c r="A202" s="577" t="s">
        <v>1511</v>
      </c>
      <c r="C202" s="579">
        <v>-82618978.25</v>
      </c>
      <c r="D202" s="579">
        <v>-85376672.900000006</v>
      </c>
      <c r="E202">
        <f>VLOOKUP(A202,Ucto_HK_summ!$A$2:$K$965,8,FALSE)</f>
        <v>-95056450.049999997</v>
      </c>
    </row>
    <row r="204" spans="1:5">
      <c r="A204" s="578" t="s">
        <v>1512</v>
      </c>
      <c r="B204" s="578" t="s">
        <v>1513</v>
      </c>
      <c r="C204" s="513">
        <v>-4079522.71</v>
      </c>
      <c r="D204" s="513">
        <v>-4827218.5</v>
      </c>
      <c r="E204">
        <f>VLOOKUP(A204,Ucto_HK_summ!$A$2:$K$965,8,FALSE)</f>
        <v>-5993577.2199999997</v>
      </c>
    </row>
    <row r="205" spans="1:5">
      <c r="A205" s="578" t="s">
        <v>1514</v>
      </c>
      <c r="C205" s="513">
        <v>-4079522.71</v>
      </c>
      <c r="D205" s="513">
        <v>-4827218.5</v>
      </c>
      <c r="E205">
        <f>VLOOKUP(A205,Ucto_HK_summ!$A$2:$K$965,8,FALSE)</f>
        <v>-5993577.2199999997</v>
      </c>
    </row>
    <row r="206" spans="1:5">
      <c r="A206" s="578" t="s">
        <v>1515</v>
      </c>
      <c r="B206" s="578" t="s">
        <v>1516</v>
      </c>
      <c r="C206" s="513">
        <v>-11148.53</v>
      </c>
      <c r="D206" s="513">
        <v>-10981.2</v>
      </c>
      <c r="E206">
        <f>VLOOKUP(A206,Ucto_HK_summ!$A$2:$K$965,8,FALSE)</f>
        <v>-12084.69</v>
      </c>
    </row>
    <row r="207" spans="1:5">
      <c r="A207" s="578" t="s">
        <v>1517</v>
      </c>
      <c r="B207" s="578" t="s">
        <v>1518</v>
      </c>
      <c r="C207">
        <v>-988.2</v>
      </c>
      <c r="D207">
        <v>-448.2</v>
      </c>
      <c r="E207">
        <f>VLOOKUP(A207,Ucto_HK_summ!$A$2:$K$965,8,FALSE)</f>
        <v>-628.16</v>
      </c>
    </row>
    <row r="208" spans="1:5">
      <c r="A208" s="578" t="s">
        <v>1519</v>
      </c>
      <c r="B208" s="578" t="s">
        <v>1520</v>
      </c>
      <c r="C208" s="513">
        <v>-1209.08</v>
      </c>
      <c r="D208" s="513">
        <v>-11900.64</v>
      </c>
      <c r="E208">
        <f>VLOOKUP(A208,Ucto_HK_summ!$A$2:$K$965,8,FALSE)</f>
        <v>-2030</v>
      </c>
    </row>
    <row r="209" spans="1:5">
      <c r="A209" s="578" t="s">
        <v>1521</v>
      </c>
      <c r="C209" s="513">
        <v>-13345.81</v>
      </c>
      <c r="D209" s="513">
        <v>-23330.04</v>
      </c>
      <c r="E209">
        <f>VLOOKUP(A209,Ucto_HK_summ!$A$2:$K$965,8,FALSE)</f>
        <v>-14742.85</v>
      </c>
    </row>
    <row r="210" spans="1:5">
      <c r="A210" s="578" t="s">
        <v>1522</v>
      </c>
      <c r="B210" s="578" t="s">
        <v>1523</v>
      </c>
      <c r="C210">
        <v>0</v>
      </c>
      <c r="D210" s="550">
        <v>4981</v>
      </c>
      <c r="E210">
        <f>VLOOKUP(A210,Ucto_HK_summ!$A$2:$K$965,8,FALSE)</f>
        <v>0</v>
      </c>
    </row>
    <row r="211" spans="1:5">
      <c r="A211" s="578" t="s">
        <v>1524</v>
      </c>
      <c r="B211" s="578" t="s">
        <v>1525</v>
      </c>
      <c r="C211">
        <v>957.88</v>
      </c>
      <c r="D211" s="513">
        <v>1463.36</v>
      </c>
      <c r="E211">
        <f>VLOOKUP(A211,Ucto_HK_summ!$A$2:$K$965,8,FALSE)</f>
        <v>1422.37</v>
      </c>
    </row>
    <row r="212" spans="1:5">
      <c r="A212" s="578" t="s">
        <v>1526</v>
      </c>
      <c r="B212" s="578" t="s">
        <v>1527</v>
      </c>
      <c r="C212" s="513">
        <v>76903.22</v>
      </c>
      <c r="D212" s="513">
        <v>67749.87</v>
      </c>
      <c r="E212">
        <f>VLOOKUP(A212,Ucto_HK_summ!$A$2:$K$965,8,FALSE)</f>
        <v>64687.87</v>
      </c>
    </row>
    <row r="213" spans="1:5">
      <c r="A213" s="578" t="s">
        <v>1528</v>
      </c>
      <c r="B213" s="578" t="s">
        <v>1529</v>
      </c>
      <c r="C213">
        <v>0</v>
      </c>
      <c r="D213">
        <v>-113.1</v>
      </c>
      <c r="E213">
        <f>VLOOKUP(A213,Ucto_HK_summ!$A$2:$K$965,8,FALSE)</f>
        <v>0</v>
      </c>
    </row>
    <row r="214" spans="1:5">
      <c r="A214" s="578" t="s">
        <v>1530</v>
      </c>
      <c r="C214" s="513">
        <v>77861.100000000006</v>
      </c>
      <c r="D214" s="513">
        <v>74081.13</v>
      </c>
      <c r="E214">
        <f>VLOOKUP(A214,Ucto_HK_summ!$A$2:$K$965,8,FALSE)</f>
        <v>66110.240000000005</v>
      </c>
    </row>
    <row r="215" spans="1:5">
      <c r="A215" s="578" t="s">
        <v>1531</v>
      </c>
      <c r="B215" s="578" t="s">
        <v>1532</v>
      </c>
      <c r="C215" s="513">
        <v>-362657.59</v>
      </c>
      <c r="D215" s="513">
        <v>-422819.62</v>
      </c>
      <c r="E215">
        <f>VLOOKUP(A215,Ucto_HK_summ!$A$2:$K$965,8,FALSE)</f>
        <v>-511547.62</v>
      </c>
    </row>
    <row r="216" spans="1:5">
      <c r="A216" s="578" t="s">
        <v>1533</v>
      </c>
      <c r="B216" s="578" t="s">
        <v>1534</v>
      </c>
      <c r="C216" s="513">
        <v>-145041.19</v>
      </c>
      <c r="D216" s="513">
        <v>-169099.23</v>
      </c>
      <c r="E216">
        <f>VLOOKUP(A216,Ucto_HK_summ!$A$2:$K$965,8,FALSE)</f>
        <v>-204598.25</v>
      </c>
    </row>
    <row r="217" spans="1:5">
      <c r="A217" s="578" t="s">
        <v>1537</v>
      </c>
      <c r="B217" s="578" t="s">
        <v>1538</v>
      </c>
      <c r="C217" s="513">
        <v>-122193.94</v>
      </c>
      <c r="D217" s="513">
        <v>-146093.34</v>
      </c>
      <c r="E217">
        <f>VLOOKUP(A217,Ucto_HK_summ!$A$2:$K$965,8,FALSE)</f>
        <v>-184040.61</v>
      </c>
    </row>
    <row r="218" spans="1:5">
      <c r="A218" s="578" t="s">
        <v>1539</v>
      </c>
      <c r="B218" s="578" t="s">
        <v>1540</v>
      </c>
      <c r="C218" s="513">
        <v>-48867.92</v>
      </c>
      <c r="D218" s="513">
        <v>-58398.69</v>
      </c>
      <c r="E218">
        <f>VLOOKUP(A218,Ucto_HK_summ!$A$2:$K$965,8,FALSE)</f>
        <v>-73592.899999999994</v>
      </c>
    </row>
    <row r="219" spans="1:5">
      <c r="A219" s="578" t="s">
        <v>1541</v>
      </c>
      <c r="B219" s="578" t="s">
        <v>1542</v>
      </c>
      <c r="C219">
        <v>788.34</v>
      </c>
      <c r="D219">
        <v>-775.19</v>
      </c>
      <c r="E219">
        <f>VLOOKUP(A219,Ucto_HK_summ!$A$2:$K$965,8,FALSE)</f>
        <v>0</v>
      </c>
    </row>
    <row r="220" spans="1:5">
      <c r="A220" s="578" t="s">
        <v>1543</v>
      </c>
      <c r="B220" s="578" t="s">
        <v>1544</v>
      </c>
      <c r="C220" s="513">
        <v>-63018.95</v>
      </c>
      <c r="D220" s="513">
        <v>-87108.1</v>
      </c>
      <c r="E220">
        <f>VLOOKUP(A220,Ucto_HK_summ!$A$2:$K$965,8,FALSE)</f>
        <v>-107403.06</v>
      </c>
    </row>
    <row r="221" spans="1:5">
      <c r="A221" s="578" t="s">
        <v>1545</v>
      </c>
      <c r="B221" s="578" t="s">
        <v>1546</v>
      </c>
      <c r="C221" s="513">
        <v>-25206.48</v>
      </c>
      <c r="D221" s="513">
        <v>-34841.69</v>
      </c>
      <c r="E221">
        <f>VLOOKUP(A221,Ucto_HK_summ!$A$2:$K$965,8,FALSE)</f>
        <v>-42959.63</v>
      </c>
    </row>
    <row r="222" spans="1:5">
      <c r="A222" s="578" t="s">
        <v>1547</v>
      </c>
      <c r="B222" s="578" t="s">
        <v>1548</v>
      </c>
      <c r="C222">
        <v>0</v>
      </c>
      <c r="D222">
        <v>42.67</v>
      </c>
      <c r="E222">
        <f>VLOOKUP(A222,Ucto_HK_summ!$A$2:$K$965,8,FALSE)</f>
        <v>42.67</v>
      </c>
    </row>
    <row r="223" spans="1:5">
      <c r="A223" s="578" t="s">
        <v>1549</v>
      </c>
      <c r="B223" s="578" t="s">
        <v>1550</v>
      </c>
      <c r="C223" s="513">
        <v>-32521577.289999999</v>
      </c>
      <c r="D223" s="513">
        <v>-45436368.880000003</v>
      </c>
      <c r="E223">
        <f>VLOOKUP(A223,Ucto_HK_summ!$A$2:$K$965,8,FALSE)</f>
        <v>-48517096.350000001</v>
      </c>
    </row>
    <row r="224" spans="1:5">
      <c r="A224" s="578" t="s">
        <v>1551</v>
      </c>
      <c r="B224" s="578" t="s">
        <v>1552</v>
      </c>
      <c r="C224" s="513">
        <v>-501811.29</v>
      </c>
      <c r="D224" s="513">
        <v>-599290.57999999996</v>
      </c>
      <c r="E224">
        <f>VLOOKUP(A224,Ucto_HK_summ!$A$2:$K$965,8,FALSE)</f>
        <v>-744484.09</v>
      </c>
    </row>
    <row r="225" spans="1:5">
      <c r="A225" s="578" t="s">
        <v>1553</v>
      </c>
      <c r="B225" s="578" t="s">
        <v>1554</v>
      </c>
      <c r="C225" s="513">
        <v>-1380.24</v>
      </c>
      <c r="D225" s="513">
        <v>-5927.85</v>
      </c>
      <c r="E225">
        <f>VLOOKUP(A225,Ucto_HK_summ!$A$2:$K$965,8,FALSE)</f>
        <v>-528.4</v>
      </c>
    </row>
    <row r="226" spans="1:5">
      <c r="A226" s="578" t="s">
        <v>1555</v>
      </c>
      <c r="B226" s="578" t="s">
        <v>1556</v>
      </c>
      <c r="C226">
        <v>-485.26</v>
      </c>
      <c r="D226" s="513">
        <v>-2167.1799999999998</v>
      </c>
      <c r="E226">
        <f>VLOOKUP(A226,Ucto_HK_summ!$A$2:$K$965,8,FALSE)</f>
        <v>-188.18</v>
      </c>
    </row>
    <row r="227" spans="1:5">
      <c r="A227" s="578" t="s">
        <v>1557</v>
      </c>
      <c r="B227" s="578" t="s">
        <v>1558</v>
      </c>
      <c r="C227" s="513">
        <v>-12677.17</v>
      </c>
      <c r="D227" s="513">
        <v>-17731.330000000002</v>
      </c>
      <c r="E227">
        <f>VLOOKUP(A227,Ucto_HK_summ!$A$2:$K$965,8,FALSE)</f>
        <v>-22063.42</v>
      </c>
    </row>
    <row r="228" spans="1:5">
      <c r="A228" s="578" t="s">
        <v>1559</v>
      </c>
      <c r="B228" s="578" t="s">
        <v>1560</v>
      </c>
      <c r="C228" s="513">
        <v>-10778.08</v>
      </c>
      <c r="D228" s="513">
        <v>-14940.45</v>
      </c>
      <c r="E228">
        <f>VLOOKUP(A228,Ucto_HK_summ!$A$2:$K$965,8,FALSE)</f>
        <v>-18545.8</v>
      </c>
    </row>
    <row r="229" spans="1:5">
      <c r="A229" s="578" t="s">
        <v>1561</v>
      </c>
      <c r="B229" s="578" t="s">
        <v>1562</v>
      </c>
      <c r="C229" s="513">
        <v>-13147.91</v>
      </c>
      <c r="D229" s="513">
        <v>-18806.05</v>
      </c>
      <c r="E229">
        <f>VLOOKUP(A229,Ucto_HK_summ!$A$2:$K$965,8,FALSE)</f>
        <v>-22824.15</v>
      </c>
    </row>
    <row r="230" spans="1:5">
      <c r="A230" s="578" t="s">
        <v>1563</v>
      </c>
      <c r="B230" s="578" t="s">
        <v>1564</v>
      </c>
      <c r="C230" s="513">
        <v>-7464.83</v>
      </c>
      <c r="D230" s="550">
        <v>-10862</v>
      </c>
      <c r="E230">
        <f>VLOOKUP(A230,Ucto_HK_summ!$A$2:$K$965,8,FALSE)</f>
        <v>-13280.79</v>
      </c>
    </row>
    <row r="231" spans="1:5">
      <c r="A231" s="578" t="s">
        <v>1565</v>
      </c>
      <c r="B231" s="578" t="s">
        <v>1558</v>
      </c>
      <c r="C231" s="513">
        <v>-7222.19</v>
      </c>
      <c r="D231" s="513">
        <v>-7705.44</v>
      </c>
      <c r="E231">
        <f>VLOOKUP(A231,Ucto_HK_summ!$A$2:$K$965,8,FALSE)</f>
        <v>-7916.96</v>
      </c>
    </row>
    <row r="232" spans="1:5">
      <c r="A232" s="578" t="s">
        <v>1566</v>
      </c>
      <c r="B232" s="578" t="s">
        <v>1560</v>
      </c>
      <c r="C232" s="513">
        <v>-5969.52</v>
      </c>
      <c r="D232" s="513">
        <v>-6155.23</v>
      </c>
      <c r="E232">
        <f>VLOOKUP(A232,Ucto_HK_summ!$A$2:$K$965,8,FALSE)</f>
        <v>-6288.43</v>
      </c>
    </row>
    <row r="233" spans="1:5">
      <c r="A233" s="578" t="s">
        <v>1567</v>
      </c>
      <c r="B233" s="578" t="s">
        <v>1562</v>
      </c>
      <c r="C233" s="513">
        <v>-8096.91</v>
      </c>
      <c r="D233" s="513">
        <v>-8920.74</v>
      </c>
      <c r="E233">
        <f>VLOOKUP(A233,Ucto_HK_summ!$A$2:$K$965,8,FALSE)</f>
        <v>-8890.14</v>
      </c>
    </row>
    <row r="234" spans="1:5">
      <c r="A234" s="578" t="s">
        <v>1568</v>
      </c>
      <c r="B234" s="578" t="s">
        <v>1564</v>
      </c>
      <c r="C234" s="513">
        <v>-4141.5600000000004</v>
      </c>
      <c r="D234" s="513">
        <v>-4292.1000000000004</v>
      </c>
      <c r="E234">
        <f>VLOOKUP(A234,Ucto_HK_summ!$A$2:$K$965,8,FALSE)</f>
        <v>-4513.6499999999996</v>
      </c>
    </row>
    <row r="235" spans="1:5">
      <c r="A235" s="578" t="s">
        <v>1569</v>
      </c>
      <c r="B235" s="578" t="s">
        <v>1570</v>
      </c>
      <c r="C235">
        <v>-86</v>
      </c>
      <c r="D235">
        <v>-86</v>
      </c>
      <c r="E235">
        <f>VLOOKUP(A235,Ucto_HK_summ!$A$2:$K$965,8,FALSE)</f>
        <v>-86</v>
      </c>
    </row>
    <row r="236" spans="1:5">
      <c r="A236" s="578" t="s">
        <v>1571</v>
      </c>
      <c r="B236" s="578" t="s">
        <v>1572</v>
      </c>
      <c r="C236">
        <v>-15.75</v>
      </c>
      <c r="D236">
        <v>-24.73</v>
      </c>
      <c r="E236">
        <f>VLOOKUP(A236,Ucto_HK_summ!$A$2:$K$965,8,FALSE)</f>
        <v>-32.200000000000003</v>
      </c>
    </row>
    <row r="237" spans="1:5">
      <c r="A237" s="578" t="s">
        <v>1575</v>
      </c>
      <c r="C237" s="513">
        <v>-33861051.729999997</v>
      </c>
      <c r="D237" s="513">
        <v>-47052371.75</v>
      </c>
      <c r="E237">
        <f>VLOOKUP(A237,Ucto_HK_summ!$A$2:$K$965,8,FALSE)</f>
        <v>-50491739.399999999</v>
      </c>
    </row>
    <row r="238" spans="1:5">
      <c r="A238" s="577" t="s">
        <v>1576</v>
      </c>
      <c r="C238" s="579">
        <v>-37876059.149999999</v>
      </c>
      <c r="D238" s="579">
        <v>-51828839.159999996</v>
      </c>
      <c r="E238">
        <f>VLOOKUP(A238,Ucto_HK_summ!$A$2:$K$965,8,FALSE)</f>
        <v>-56433949.229999997</v>
      </c>
    </row>
    <row r="240" spans="1:5">
      <c r="A240" s="578" t="s">
        <v>1577</v>
      </c>
      <c r="B240" s="578" t="s">
        <v>224</v>
      </c>
      <c r="C240">
        <v>0</v>
      </c>
      <c r="D240">
        <v>0</v>
      </c>
      <c r="E240">
        <f>VLOOKUP(A240,Ucto_HK_summ!$A$2:$K$965,8,FALSE)</f>
        <v>-40091.99</v>
      </c>
    </row>
    <row r="241" spans="1:5">
      <c r="A241" s="578" t="s">
        <v>1578</v>
      </c>
      <c r="B241" s="578" t="s">
        <v>1579</v>
      </c>
      <c r="C241" s="513">
        <v>86737.81</v>
      </c>
      <c r="D241" s="513">
        <v>26485.17</v>
      </c>
      <c r="E241">
        <f>VLOOKUP(A241,Ucto_HK_summ!$A$2:$K$965,8,FALSE)</f>
        <v>22580.73</v>
      </c>
    </row>
    <row r="242" spans="1:5">
      <c r="A242" s="578" t="s">
        <v>1582</v>
      </c>
      <c r="C242" s="513">
        <v>86737.81</v>
      </c>
      <c r="D242" s="513">
        <v>26485.17</v>
      </c>
      <c r="E242">
        <f>VLOOKUP(A242,Ucto_HK_summ!$A$2:$K$965,8,FALSE)</f>
        <v>-17511.259999999998</v>
      </c>
    </row>
    <row r="243" spans="1:5">
      <c r="A243" s="578" t="s">
        <v>1583</v>
      </c>
      <c r="B243" s="578" t="s">
        <v>1584</v>
      </c>
      <c r="C243" s="513">
        <v>-722178.84</v>
      </c>
      <c r="D243" s="513">
        <v>-874948.63</v>
      </c>
      <c r="E243">
        <f>VLOOKUP(A243,Ucto_HK_summ!$A$2:$K$965,8,FALSE)</f>
        <v>-1133753.8899999999</v>
      </c>
    </row>
    <row r="244" spans="1:5">
      <c r="A244" s="578" t="s">
        <v>1585</v>
      </c>
      <c r="C244" s="513">
        <v>-722178.84</v>
      </c>
      <c r="D244" s="513">
        <v>-874948.63</v>
      </c>
      <c r="E244">
        <f>VLOOKUP(A244,Ucto_HK_summ!$A$2:$K$965,8,FALSE)</f>
        <v>-1133753.8899999999</v>
      </c>
    </row>
    <row r="245" spans="1:5">
      <c r="A245" s="578" t="s">
        <v>1586</v>
      </c>
      <c r="B245" s="578" t="s">
        <v>1587</v>
      </c>
      <c r="C245">
        <v>0</v>
      </c>
      <c r="D245">
        <v>0</v>
      </c>
      <c r="E245">
        <f>VLOOKUP(A245,Ucto_HK_summ!$A$2:$K$965,8,FALSE)</f>
        <v>0</v>
      </c>
    </row>
    <row r="246" spans="1:5">
      <c r="A246" s="578" t="s">
        <v>1588</v>
      </c>
      <c r="B246" s="578" t="s">
        <v>1589</v>
      </c>
      <c r="C246">
        <v>0</v>
      </c>
      <c r="D246">
        <v>0</v>
      </c>
      <c r="E246">
        <f>VLOOKUP(A246,Ucto_HK_summ!$A$2:$K$965,8,FALSE)</f>
        <v>0</v>
      </c>
    </row>
    <row r="247" spans="1:5">
      <c r="A247" s="578" t="s">
        <v>1590</v>
      </c>
      <c r="B247" s="578" t="s">
        <v>1591</v>
      </c>
      <c r="C247">
        <v>0</v>
      </c>
      <c r="D247">
        <v>-8.14</v>
      </c>
      <c r="E247">
        <f>VLOOKUP(A247,Ucto_HK_summ!$A$2:$K$965,8,FALSE)</f>
        <v>0</v>
      </c>
    </row>
    <row r="248" spans="1:5">
      <c r="A248" s="578" t="s">
        <v>1592</v>
      </c>
      <c r="B248" s="578" t="s">
        <v>1593</v>
      </c>
      <c r="C248">
        <v>0</v>
      </c>
      <c r="D248">
        <v>0</v>
      </c>
      <c r="E248">
        <f>VLOOKUP(A248,Ucto_HK_summ!$A$2:$K$965,8,FALSE)</f>
        <v>0</v>
      </c>
    </row>
    <row r="249" spans="1:5">
      <c r="A249" s="578" t="s">
        <v>2782</v>
      </c>
      <c r="B249" s="578" t="s">
        <v>2783</v>
      </c>
      <c r="C249">
        <v>0</v>
      </c>
      <c r="D249">
        <v>0</v>
      </c>
      <c r="E249">
        <f>VLOOKUP(A249,Ucto_HK_summ!$A$2:$K$965,8,FALSE)</f>
        <v>0</v>
      </c>
    </row>
    <row r="250" spans="1:5">
      <c r="A250" s="578" t="s">
        <v>1594</v>
      </c>
      <c r="B250" s="578" t="s">
        <v>1595</v>
      </c>
      <c r="C250">
        <v>0</v>
      </c>
      <c r="D250">
        <v>0</v>
      </c>
      <c r="E250">
        <f>VLOOKUP(A250,Ucto_HK_summ!$A$2:$K$965,8,FALSE)</f>
        <v>0</v>
      </c>
    </row>
    <row r="251" spans="1:5">
      <c r="A251" s="578" t="s">
        <v>1596</v>
      </c>
      <c r="B251" s="578" t="s">
        <v>1597</v>
      </c>
      <c r="C251">
        <v>0</v>
      </c>
      <c r="D251">
        <v>-0.01</v>
      </c>
      <c r="E251">
        <f>VLOOKUP(A251,Ucto_HK_summ!$A$2:$K$965,8,FALSE)</f>
        <v>0</v>
      </c>
    </row>
    <row r="252" spans="1:5">
      <c r="A252" s="578" t="s">
        <v>1598</v>
      </c>
      <c r="B252" s="578" t="s">
        <v>1599</v>
      </c>
      <c r="C252">
        <v>0</v>
      </c>
      <c r="D252">
        <v>0</v>
      </c>
      <c r="E252">
        <f>VLOOKUP(A252,Ucto_HK_summ!$A$2:$K$965,8,FALSE)</f>
        <v>0</v>
      </c>
    </row>
    <row r="253" spans="1:5">
      <c r="A253" s="578" t="s">
        <v>1600</v>
      </c>
      <c r="B253" s="578" t="s">
        <v>1601</v>
      </c>
      <c r="C253">
        <v>0</v>
      </c>
      <c r="D253">
        <v>0</v>
      </c>
      <c r="E253">
        <f>VLOOKUP(A253,Ucto_HK_summ!$A$2:$K$965,8,FALSE)</f>
        <v>0</v>
      </c>
    </row>
    <row r="254" spans="1:5">
      <c r="A254" s="578" t="s">
        <v>1602</v>
      </c>
      <c r="B254" s="578" t="s">
        <v>1603</v>
      </c>
      <c r="C254">
        <v>0</v>
      </c>
      <c r="D254">
        <v>0</v>
      </c>
      <c r="E254">
        <f>VLOOKUP(A254,Ucto_HK_summ!$A$2:$K$965,8,FALSE)</f>
        <v>0</v>
      </c>
    </row>
    <row r="255" spans="1:5">
      <c r="A255" s="578" t="s">
        <v>1604</v>
      </c>
      <c r="B255" s="578" t="s">
        <v>1605</v>
      </c>
      <c r="C255">
        <v>0</v>
      </c>
      <c r="D255">
        <v>0</v>
      </c>
      <c r="E255">
        <f>VLOOKUP(A255,Ucto_HK_summ!$A$2:$K$965,8,FALSE)</f>
        <v>0</v>
      </c>
    </row>
    <row r="256" spans="1:5">
      <c r="A256" s="578" t="s">
        <v>1606</v>
      </c>
      <c r="B256" s="578" t="s">
        <v>1607</v>
      </c>
      <c r="C256">
        <v>0</v>
      </c>
      <c r="D256">
        <v>0</v>
      </c>
      <c r="E256">
        <f>VLOOKUP(A256,Ucto_HK_summ!$A$2:$K$965,8,FALSE)</f>
        <v>0</v>
      </c>
    </row>
    <row r="257" spans="1:5">
      <c r="A257" s="578" t="s">
        <v>1608</v>
      </c>
      <c r="B257" s="578" t="s">
        <v>1609</v>
      </c>
      <c r="C257" s="513">
        <v>-19408.169999999998</v>
      </c>
      <c r="D257" s="513">
        <v>-125770.69</v>
      </c>
      <c r="E257">
        <f>VLOOKUP(A257,Ucto_HK_summ!$A$2:$K$965,8,FALSE)</f>
        <v>-75078.559999999998</v>
      </c>
    </row>
    <row r="258" spans="1:5">
      <c r="A258" s="578" t="s">
        <v>1610</v>
      </c>
      <c r="C258" s="513">
        <v>-19408.169999999998</v>
      </c>
      <c r="D258" s="513">
        <v>-125778.84</v>
      </c>
      <c r="E258">
        <f>VLOOKUP(A258,Ucto_HK_summ!$A$2:$K$965,8,FALSE)</f>
        <v>-75078.559999999998</v>
      </c>
    </row>
    <row r="259" spans="1:5">
      <c r="A259" s="578" t="s">
        <v>1611</v>
      </c>
      <c r="B259" s="578" t="s">
        <v>1612</v>
      </c>
      <c r="C259">
        <v>0</v>
      </c>
      <c r="D259" s="513">
        <v>-70237.72</v>
      </c>
      <c r="E259">
        <f>VLOOKUP(A259,Ucto_HK_summ!$A$2:$K$965,8,FALSE)</f>
        <v>0</v>
      </c>
    </row>
    <row r="260" spans="1:5">
      <c r="A260" s="578" t="s">
        <v>1613</v>
      </c>
      <c r="B260" s="578" t="s">
        <v>235</v>
      </c>
      <c r="C260">
        <v>0</v>
      </c>
      <c r="D260">
        <v>0</v>
      </c>
      <c r="E260">
        <f>VLOOKUP(A260,Ucto_HK_summ!$A$2:$K$965,8,FALSE)</f>
        <v>1516.86</v>
      </c>
    </row>
    <row r="261" spans="1:5">
      <c r="A261" s="578" t="s">
        <v>1614</v>
      </c>
      <c r="B261" s="578" t="s">
        <v>1615</v>
      </c>
      <c r="C261">
        <v>0</v>
      </c>
      <c r="D261">
        <v>0</v>
      </c>
      <c r="E261">
        <f>VLOOKUP(A261,Ucto_HK_summ!$A$2:$K$965,8,FALSE)</f>
        <v>0</v>
      </c>
    </row>
    <row r="262" spans="1:5">
      <c r="A262" s="578" t="s">
        <v>1616</v>
      </c>
      <c r="C262">
        <v>0</v>
      </c>
      <c r="D262" s="513">
        <v>-70237.72</v>
      </c>
      <c r="E262">
        <f>VLOOKUP(A262,Ucto_HK_summ!$A$2:$K$965,8,FALSE)</f>
        <v>1516.86</v>
      </c>
    </row>
    <row r="263" spans="1:5">
      <c r="A263" s="577" t="s">
        <v>1617</v>
      </c>
      <c r="C263" s="579">
        <v>-654849.19999999995</v>
      </c>
      <c r="D263" s="579">
        <v>-1044480.02</v>
      </c>
      <c r="E263">
        <f>VLOOKUP(A263,Ucto_HK_summ!$A$2:$K$965,8,FALSE)</f>
        <v>-1224826.8500000001</v>
      </c>
    </row>
    <row r="265" spans="1:5">
      <c r="A265" s="578" t="s">
        <v>1618</v>
      </c>
      <c r="B265" s="578" t="s">
        <v>1619</v>
      </c>
      <c r="C265">
        <v>0</v>
      </c>
      <c r="D265" s="513">
        <v>-2196698.16</v>
      </c>
      <c r="E265">
        <f>VLOOKUP(A265,Ucto_HK_summ!$A$2:$K$965,8,FALSE)</f>
        <v>0</v>
      </c>
    </row>
    <row r="266" spans="1:5">
      <c r="A266" s="578" t="s">
        <v>1620</v>
      </c>
      <c r="B266" s="578" t="s">
        <v>1621</v>
      </c>
      <c r="C266">
        <v>0</v>
      </c>
      <c r="D266" s="513">
        <v>-1806887.23</v>
      </c>
      <c r="E266">
        <f>VLOOKUP(A266,Ucto_HK_summ!$A$2:$K$965,8,FALSE)</f>
        <v>0</v>
      </c>
    </row>
    <row r="267" spans="1:5">
      <c r="A267" s="578" t="s">
        <v>1622</v>
      </c>
      <c r="C267">
        <v>0</v>
      </c>
      <c r="D267" s="513">
        <v>-4003585.39</v>
      </c>
      <c r="E267">
        <f>VLOOKUP(A267,Ucto_HK_summ!$A$2:$K$965,8,FALSE)</f>
        <v>0</v>
      </c>
    </row>
    <row r="268" spans="1:5">
      <c r="A268" s="578" t="s">
        <v>1623</v>
      </c>
      <c r="B268" s="578" t="s">
        <v>1624</v>
      </c>
      <c r="C268" s="513">
        <v>-18861018.140000001</v>
      </c>
      <c r="D268" s="513">
        <v>-19048767.449999999</v>
      </c>
      <c r="E268">
        <f>VLOOKUP(A268,Ucto_HK_summ!$A$2:$K$965,8,FALSE)</f>
        <v>-19301774.16</v>
      </c>
    </row>
    <row r="269" spans="1:5">
      <c r="A269" s="578" t="s">
        <v>1625</v>
      </c>
      <c r="B269" s="578" t="s">
        <v>1626</v>
      </c>
      <c r="C269" s="550">
        <v>-778850</v>
      </c>
      <c r="D269" s="513">
        <v>-739047.49</v>
      </c>
      <c r="E269">
        <f>VLOOKUP(A269,Ucto_HK_summ!$A$2:$K$965,8,FALSE)</f>
        <v>-732187.46</v>
      </c>
    </row>
    <row r="270" spans="1:5">
      <c r="A270" s="578" t="s">
        <v>1627</v>
      </c>
      <c r="B270" s="578" t="s">
        <v>1628</v>
      </c>
      <c r="C270" s="513">
        <v>-18339803.059999999</v>
      </c>
      <c r="D270" s="513">
        <v>-17601057.670000002</v>
      </c>
      <c r="E270">
        <f>VLOOKUP(A270,Ucto_HK_summ!$A$2:$K$965,8,FALSE)</f>
        <v>-17453298.98</v>
      </c>
    </row>
    <row r="271" spans="1:5">
      <c r="A271" s="578" t="s">
        <v>1629</v>
      </c>
      <c r="B271" s="578" t="s">
        <v>1630</v>
      </c>
      <c r="C271" s="513">
        <v>-4427544.8899999997</v>
      </c>
      <c r="D271" s="550">
        <v>-3060411</v>
      </c>
      <c r="E271">
        <f>VLOOKUP(A271,Ucto_HK_summ!$A$2:$K$965,8,FALSE)</f>
        <v>-9608135.9399999995</v>
      </c>
    </row>
    <row r="272" spans="1:5">
      <c r="A272" s="578" t="s">
        <v>1631</v>
      </c>
      <c r="B272" s="578" t="s">
        <v>1632</v>
      </c>
      <c r="C272" s="513">
        <v>-490203.98</v>
      </c>
      <c r="D272">
        <v>0</v>
      </c>
      <c r="E272">
        <f>VLOOKUP(A272,Ucto_HK_summ!$A$2:$K$965,8,FALSE)</f>
        <v>-2960751.44</v>
      </c>
    </row>
    <row r="273" spans="1:5">
      <c r="A273" s="578" t="s">
        <v>1633</v>
      </c>
      <c r="C273" s="513">
        <v>-42897420.07</v>
      </c>
      <c r="D273" s="513">
        <v>-40449283.609999999</v>
      </c>
      <c r="E273">
        <f>VLOOKUP(A273,Ucto_HK_summ!$A$2:$K$965,8,FALSE)</f>
        <v>-50056147.979999997</v>
      </c>
    </row>
    <row r="274" spans="1:5">
      <c r="A274" s="578" t="s">
        <v>1634</v>
      </c>
      <c r="B274" s="578" t="s">
        <v>1635</v>
      </c>
      <c r="C274">
        <v>0</v>
      </c>
      <c r="D274">
        <v>0</v>
      </c>
      <c r="E274">
        <f>VLOOKUP(A274,Ucto_HK_summ!$A$2:$K$965,8,FALSE)</f>
        <v>0</v>
      </c>
    </row>
    <row r="275" spans="1:5">
      <c r="A275" s="578" t="s">
        <v>1636</v>
      </c>
      <c r="C275">
        <v>0</v>
      </c>
      <c r="D275">
        <v>0</v>
      </c>
      <c r="E275">
        <f>VLOOKUP(A275,Ucto_HK_summ!$A$2:$K$965,8,FALSE)</f>
        <v>0</v>
      </c>
    </row>
    <row r="276" spans="1:5">
      <c r="A276" s="577" t="s">
        <v>1637</v>
      </c>
      <c r="C276" s="579">
        <v>-42897420.07</v>
      </c>
      <c r="D276" s="580">
        <v>-44452869</v>
      </c>
      <c r="E276">
        <f>VLOOKUP(A276,Ucto_HK_summ!$A$2:$K$965,8,FALSE)</f>
        <v>-50056147.979999997</v>
      </c>
    </row>
    <row r="278" spans="1:5">
      <c r="A278" s="578" t="s">
        <v>1638</v>
      </c>
      <c r="B278" s="578" t="s">
        <v>1639</v>
      </c>
      <c r="C278" s="513">
        <v>-22960.799999999999</v>
      </c>
      <c r="D278" s="513">
        <v>-22960.799999999999</v>
      </c>
      <c r="E278">
        <f>VLOOKUP(A278,Ucto_HK_summ!$A$2:$K$965,8,FALSE)</f>
        <v>-22960.799999999999</v>
      </c>
    </row>
    <row r="279" spans="1:5">
      <c r="A279" s="578" t="s">
        <v>1640</v>
      </c>
      <c r="B279" s="578" t="s">
        <v>1641</v>
      </c>
      <c r="C279" s="513">
        <v>-185625.89</v>
      </c>
      <c r="D279" s="513">
        <v>-262940.59000000003</v>
      </c>
      <c r="E279">
        <f>VLOOKUP(A279,Ucto_HK_summ!$A$2:$K$965,8,FALSE)</f>
        <v>-273254.49</v>
      </c>
    </row>
    <row r="280" spans="1:5">
      <c r="A280" s="578" t="s">
        <v>1642</v>
      </c>
      <c r="C280" s="513">
        <v>-208586.69</v>
      </c>
      <c r="D280" s="513">
        <v>-285901.39</v>
      </c>
      <c r="E280">
        <f>VLOOKUP(A280,Ucto_HK_summ!$A$2:$K$965,8,FALSE)</f>
        <v>-296215.28999999998</v>
      </c>
    </row>
    <row r="281" spans="1:5">
      <c r="A281" s="578" t="s">
        <v>1643</v>
      </c>
      <c r="B281" s="578" t="s">
        <v>1644</v>
      </c>
      <c r="C281" s="513">
        <v>11742.35</v>
      </c>
      <c r="D281" s="513">
        <v>11742.35</v>
      </c>
      <c r="E281">
        <f>VLOOKUP(A281,Ucto_HK_summ!$A$2:$K$965,8,FALSE)</f>
        <v>11742.35</v>
      </c>
    </row>
    <row r="282" spans="1:5">
      <c r="A282" s="578" t="s">
        <v>1645</v>
      </c>
      <c r="B282" s="578" t="s">
        <v>1646</v>
      </c>
      <c r="C282">
        <v>100</v>
      </c>
      <c r="D282">
        <v>100</v>
      </c>
      <c r="E282">
        <f>VLOOKUP(A282,Ucto_HK_summ!$A$2:$K$965,8,FALSE)</f>
        <v>100</v>
      </c>
    </row>
    <row r="283" spans="1:5">
      <c r="A283" s="578" t="s">
        <v>1647</v>
      </c>
      <c r="B283" s="578" t="s">
        <v>1648</v>
      </c>
      <c r="C283">
        <v>0</v>
      </c>
      <c r="D283">
        <v>0</v>
      </c>
      <c r="E283">
        <f>VLOOKUP(A283,Ucto_HK_summ!$A$2:$K$965,8,FALSE)</f>
        <v>0</v>
      </c>
    </row>
    <row r="284" spans="1:5">
      <c r="A284" s="578" t="s">
        <v>1649</v>
      </c>
      <c r="B284" s="578" t="s">
        <v>1650</v>
      </c>
      <c r="C284" s="513">
        <v>74925.919999999998</v>
      </c>
      <c r="D284">
        <v>0</v>
      </c>
      <c r="E284">
        <f>VLOOKUP(A284,Ucto_HK_summ!$A$2:$K$965,8,FALSE)</f>
        <v>0</v>
      </c>
    </row>
    <row r="285" spans="1:5">
      <c r="A285" s="578" t="s">
        <v>1651</v>
      </c>
      <c r="B285" s="578" t="s">
        <v>1652</v>
      </c>
      <c r="C285" s="550">
        <v>1935</v>
      </c>
      <c r="D285" s="550">
        <v>1440</v>
      </c>
      <c r="E285">
        <f>VLOOKUP(A285,Ucto_HK_summ!$A$2:$K$965,8,FALSE)</f>
        <v>1550</v>
      </c>
    </row>
    <row r="286" spans="1:5">
      <c r="A286" s="578" t="s">
        <v>1653</v>
      </c>
      <c r="B286" s="578" t="s">
        <v>1654</v>
      </c>
      <c r="C286" s="513">
        <v>2086.09</v>
      </c>
      <c r="D286" s="513">
        <v>2086.09</v>
      </c>
      <c r="E286">
        <f>VLOOKUP(A286,Ucto_HK_summ!$A$2:$K$965,8,FALSE)</f>
        <v>2340.25</v>
      </c>
    </row>
    <row r="287" spans="1:5">
      <c r="A287" s="578" t="s">
        <v>1655</v>
      </c>
      <c r="C287" s="513">
        <v>90789.36</v>
      </c>
      <c r="D287" s="513">
        <v>15368.44</v>
      </c>
      <c r="E287">
        <f>VLOOKUP(A287,Ucto_HK_summ!$A$2:$K$965,8,FALSE)</f>
        <v>15732.6</v>
      </c>
    </row>
    <row r="288" spans="1:5">
      <c r="A288" s="578" t="s">
        <v>1656</v>
      </c>
      <c r="B288" s="578" t="s">
        <v>1657</v>
      </c>
      <c r="C288" s="550">
        <v>-1300</v>
      </c>
      <c r="D288" s="550">
        <v>-24000</v>
      </c>
      <c r="E288">
        <f>VLOOKUP(A288,Ucto_HK_summ!$A$2:$K$965,8,FALSE)</f>
        <v>-120000</v>
      </c>
    </row>
    <row r="289" spans="1:5">
      <c r="A289" s="578" t="s">
        <v>1658</v>
      </c>
      <c r="B289" s="578" t="s">
        <v>1659</v>
      </c>
      <c r="C289" s="513">
        <v>-16231.46</v>
      </c>
      <c r="D289" s="513">
        <v>-16648.64</v>
      </c>
      <c r="E289">
        <f>VLOOKUP(A289,Ucto_HK_summ!$A$2:$K$965,8,FALSE)</f>
        <v>-16648.64</v>
      </c>
    </row>
    <row r="290" spans="1:5">
      <c r="A290" s="578" t="s">
        <v>1660</v>
      </c>
      <c r="B290" s="578" t="s">
        <v>1661</v>
      </c>
      <c r="C290">
        <v>0</v>
      </c>
      <c r="D290">
        <v>-82.85</v>
      </c>
      <c r="E290">
        <f>VLOOKUP(A290,Ucto_HK_summ!$A$2:$K$965,8,FALSE)</f>
        <v>0</v>
      </c>
    </row>
    <row r="291" spans="1:5">
      <c r="A291" s="578" t="s">
        <v>1662</v>
      </c>
      <c r="B291" s="578" t="s">
        <v>1663</v>
      </c>
      <c r="C291" s="513">
        <v>-21190.18</v>
      </c>
      <c r="D291" s="513">
        <v>-27856.87</v>
      </c>
      <c r="E291">
        <f>VLOOKUP(A291,Ucto_HK_summ!$A$2:$K$965,8,FALSE)</f>
        <v>-34953.29</v>
      </c>
    </row>
    <row r="292" spans="1:5">
      <c r="A292" s="578" t="s">
        <v>1664</v>
      </c>
      <c r="B292" s="578" t="s">
        <v>1665</v>
      </c>
      <c r="C292" s="513">
        <v>-22937.67</v>
      </c>
      <c r="D292" s="513">
        <v>-122179.63</v>
      </c>
      <c r="E292">
        <f>VLOOKUP(A292,Ucto_HK_summ!$A$2:$K$965,8,FALSE)</f>
        <v>-10868.83</v>
      </c>
    </row>
    <row r="293" spans="1:5">
      <c r="A293" s="578" t="s">
        <v>1666</v>
      </c>
      <c r="B293" s="578" t="s">
        <v>1667</v>
      </c>
      <c r="C293">
        <v>-169.7</v>
      </c>
      <c r="D293" s="550">
        <v>-660317</v>
      </c>
      <c r="E293">
        <f>VLOOKUP(A293,Ucto_HK_summ!$A$2:$K$965,8,FALSE)</f>
        <v>-660239.24</v>
      </c>
    </row>
    <row r="294" spans="1:5">
      <c r="A294" s="578" t="s">
        <v>1668</v>
      </c>
      <c r="B294" s="578" t="s">
        <v>1669</v>
      </c>
      <c r="C294" s="513">
        <v>-22715701.079999998</v>
      </c>
      <c r="D294" s="513">
        <v>-22638678.440000001</v>
      </c>
      <c r="E294">
        <f>VLOOKUP(A294,Ucto_HK_summ!$A$2:$K$965,8,FALSE)</f>
        <v>-22596678.440000001</v>
      </c>
    </row>
    <row r="295" spans="1:5">
      <c r="A295" s="578" t="s">
        <v>1670</v>
      </c>
      <c r="B295" s="578" t="s">
        <v>1671</v>
      </c>
      <c r="C295" s="513">
        <v>-521871.77</v>
      </c>
      <c r="D295" s="513">
        <v>-543833.32999999996</v>
      </c>
      <c r="E295">
        <f>VLOOKUP(A295,Ucto_HK_summ!$A$2:$K$965,8,FALSE)</f>
        <v>-521879.95</v>
      </c>
    </row>
    <row r="296" spans="1:5">
      <c r="A296" s="578" t="s">
        <v>1672</v>
      </c>
      <c r="B296" s="578" t="s">
        <v>1673</v>
      </c>
      <c r="C296" s="513">
        <v>-1852890.7</v>
      </c>
      <c r="D296" s="513">
        <v>-6902760.9699999997</v>
      </c>
      <c r="E296">
        <f>VLOOKUP(A296,Ucto_HK_summ!$A$2:$K$965,8,FALSE)</f>
        <v>-6902760.9699999997</v>
      </c>
    </row>
    <row r="297" spans="1:5">
      <c r="A297" s="578" t="s">
        <v>1674</v>
      </c>
      <c r="C297" s="513">
        <v>-25152292.559999999</v>
      </c>
      <c r="D297" s="513">
        <v>-30936357.73</v>
      </c>
      <c r="E297">
        <f>VLOOKUP(A297,Ucto_HK_summ!$A$2:$K$965,8,FALSE)</f>
        <v>-30864029.359999999</v>
      </c>
    </row>
    <row r="298" spans="1:5">
      <c r="A298" s="577" t="s">
        <v>1675</v>
      </c>
      <c r="C298" s="579">
        <v>-25270089.890000001</v>
      </c>
      <c r="D298" s="579">
        <v>-31206890.68</v>
      </c>
      <c r="E298">
        <f>VLOOKUP(A298,Ucto_HK_summ!$A$2:$K$965,8,FALSE)</f>
        <v>-31144512.050000001</v>
      </c>
    </row>
    <row r="300" spans="1:5">
      <c r="A300" s="578" t="s">
        <v>2784</v>
      </c>
      <c r="B300" s="578" t="s">
        <v>240</v>
      </c>
      <c r="C300">
        <v>0</v>
      </c>
      <c r="D300">
        <v>217.3</v>
      </c>
    </row>
    <row r="301" spans="1:5">
      <c r="A301" s="578" t="s">
        <v>1676</v>
      </c>
      <c r="B301" s="578" t="s">
        <v>1677</v>
      </c>
      <c r="C301" s="513">
        <v>18963.919999999998</v>
      </c>
      <c r="D301" s="513">
        <v>3395.31</v>
      </c>
      <c r="E301">
        <f>VLOOKUP(A301,Ucto_HK_summ!$A$2:$K$965,8,FALSE)</f>
        <v>26868.02</v>
      </c>
    </row>
    <row r="302" spans="1:5">
      <c r="A302" s="578" t="s">
        <v>1678</v>
      </c>
      <c r="C302" s="513">
        <v>18963.919999999998</v>
      </c>
      <c r="D302" s="513">
        <v>3612.61</v>
      </c>
      <c r="E302">
        <f>VLOOKUP(A302,Ucto_HK_summ!$A$2:$K$965,8,FALSE)</f>
        <v>28915.05</v>
      </c>
    </row>
    <row r="303" spans="1:5">
      <c r="A303" s="578" t="s">
        <v>1679</v>
      </c>
      <c r="B303" s="578" t="s">
        <v>1680</v>
      </c>
      <c r="C303" s="513">
        <v>-384259.41</v>
      </c>
      <c r="D303" s="513">
        <v>-391569.01</v>
      </c>
      <c r="E303">
        <f>VLOOKUP(A303,Ucto_HK_summ!$A$2:$K$965,8,FALSE)</f>
        <v>-415804.42</v>
      </c>
    </row>
    <row r="304" spans="1:5">
      <c r="A304" s="578" t="s">
        <v>1681</v>
      </c>
      <c r="B304" s="578" t="s">
        <v>1682</v>
      </c>
      <c r="C304" s="513">
        <v>-6142.01</v>
      </c>
      <c r="D304" s="513">
        <v>-2511.25</v>
      </c>
      <c r="E304">
        <f>VLOOKUP(A304,Ucto_HK_summ!$A$2:$K$965,8,FALSE)</f>
        <v>-91806.87</v>
      </c>
    </row>
    <row r="305" spans="1:5">
      <c r="A305" s="578" t="s">
        <v>2785</v>
      </c>
      <c r="B305" s="578" t="s">
        <v>2786</v>
      </c>
      <c r="C305">
        <v>0</v>
      </c>
      <c r="D305" s="513">
        <v>-13815.77</v>
      </c>
      <c r="E305">
        <f>VLOOKUP(A305,Ucto_HK_summ!$A$2:$K$965,8,FALSE)</f>
        <v>-19919.13</v>
      </c>
    </row>
    <row r="306" spans="1:5">
      <c r="A306" s="578" t="s">
        <v>2787</v>
      </c>
      <c r="B306" s="578" t="s">
        <v>2788</v>
      </c>
      <c r="C306">
        <v>0</v>
      </c>
      <c r="D306" s="513">
        <v>-735938.4</v>
      </c>
      <c r="E306">
        <f>VLOOKUP(A306,Ucto_HK_summ!$A$2:$K$965,8,FALSE)</f>
        <v>-640355.59</v>
      </c>
    </row>
    <row r="307" spans="1:5">
      <c r="A307" s="578" t="s">
        <v>1683</v>
      </c>
      <c r="C307" s="513">
        <v>-390401.42</v>
      </c>
      <c r="D307" s="513">
        <v>-1143834.43</v>
      </c>
      <c r="E307">
        <f>VLOOKUP(A307,Ucto_HK_summ!$A$2:$K$965,8,FALSE)</f>
        <v>-1488494.21</v>
      </c>
    </row>
    <row r="308" spans="1:5">
      <c r="A308" s="578" t="s">
        <v>1684</v>
      </c>
      <c r="B308" s="578" t="s">
        <v>1685</v>
      </c>
      <c r="C308" s="513">
        <v>1603166.25</v>
      </c>
      <c r="D308">
        <v>0</v>
      </c>
      <c r="E308">
        <f>VLOOKUP(A308,Ucto_HK_summ!$A$2:$K$965,8,FALSE)</f>
        <v>2059841.93</v>
      </c>
    </row>
    <row r="309" spans="1:5">
      <c r="A309" s="578" t="s">
        <v>1686</v>
      </c>
      <c r="C309" s="513">
        <v>1603166.25</v>
      </c>
      <c r="D309">
        <v>0</v>
      </c>
      <c r="E309">
        <f>VLOOKUP(A309,Ucto_HK_summ!$A$2:$K$965,8,FALSE)</f>
        <v>2059841.93</v>
      </c>
    </row>
    <row r="310" spans="1:5">
      <c r="A310" s="577" t="s">
        <v>1687</v>
      </c>
      <c r="C310" s="579">
        <v>1231728.75</v>
      </c>
      <c r="D310" s="579">
        <v>-1140221.82</v>
      </c>
      <c r="E310">
        <f>VLOOKUP(A310,Ucto_HK_summ!$A$2:$K$965,8,FALSE)</f>
        <v>599875.48</v>
      </c>
    </row>
    <row r="312" spans="1:5">
      <c r="A312" s="578" t="s">
        <v>1690</v>
      </c>
      <c r="B312" s="578" t="s">
        <v>1691</v>
      </c>
      <c r="C312" s="513">
        <v>-281965.09000000003</v>
      </c>
      <c r="D312" s="513">
        <v>-174121.79</v>
      </c>
      <c r="E312">
        <f>VLOOKUP(A312,Ucto_HK_summ!$A$2:$K$965,8,FALSE)</f>
        <v>-453333.84</v>
      </c>
    </row>
    <row r="313" spans="1:5">
      <c r="A313" s="578" t="s">
        <v>1692</v>
      </c>
      <c r="B313" s="578" t="s">
        <v>1693</v>
      </c>
      <c r="C313" s="513">
        <v>-12320.92</v>
      </c>
      <c r="D313" s="513">
        <v>-119976.6</v>
      </c>
      <c r="E313">
        <f>VLOOKUP(A313,Ucto_HK_summ!$A$2:$K$965,8,FALSE)</f>
        <v>-119976.6</v>
      </c>
    </row>
    <row r="314" spans="1:5">
      <c r="A314" s="578" t="s">
        <v>1694</v>
      </c>
      <c r="C314" s="513">
        <v>-294286.01</v>
      </c>
      <c r="D314" s="513">
        <v>-294098.39</v>
      </c>
      <c r="E314">
        <f>VLOOKUP(A314,Ucto_HK_summ!$A$2:$K$965,8,FALSE)</f>
        <v>-1200147.3700000001</v>
      </c>
    </row>
    <row r="315" spans="1:5">
      <c r="A315" s="578" t="s">
        <v>1695</v>
      </c>
      <c r="B315" s="578" t="s">
        <v>1696</v>
      </c>
      <c r="C315">
        <v>0</v>
      </c>
      <c r="D315">
        <v>0</v>
      </c>
      <c r="E315">
        <f>VLOOKUP(A315,Ucto_HK_summ!$A$2:$K$965,8,FALSE)</f>
        <v>0</v>
      </c>
    </row>
    <row r="316" spans="1:5">
      <c r="A316" s="578" t="s">
        <v>1697</v>
      </c>
      <c r="B316" s="578" t="s">
        <v>1698</v>
      </c>
      <c r="C316">
        <v>0</v>
      </c>
      <c r="D316">
        <v>0</v>
      </c>
      <c r="E316">
        <f>VLOOKUP(A316,Ucto_HK_summ!$A$2:$K$965,8,FALSE)</f>
        <v>0</v>
      </c>
    </row>
    <row r="317" spans="1:5">
      <c r="A317" s="578" t="s">
        <v>1699</v>
      </c>
      <c r="B317" s="578" t="s">
        <v>1700</v>
      </c>
      <c r="C317">
        <v>0</v>
      </c>
      <c r="D317">
        <v>0</v>
      </c>
      <c r="E317">
        <f>VLOOKUP(A317,Ucto_HK_summ!$A$2:$K$965,8,FALSE)</f>
        <v>0</v>
      </c>
    </row>
    <row r="318" spans="1:5">
      <c r="A318" s="578" t="s">
        <v>1701</v>
      </c>
      <c r="B318" s="578" t="s">
        <v>1702</v>
      </c>
      <c r="C318">
        <v>0</v>
      </c>
      <c r="D318">
        <v>0</v>
      </c>
      <c r="E318">
        <f>VLOOKUP(A318,Ucto_HK_summ!$A$2:$K$965,8,FALSE)</f>
        <v>0</v>
      </c>
    </row>
    <row r="319" spans="1:5">
      <c r="A319" s="578" t="s">
        <v>1705</v>
      </c>
      <c r="B319" s="578" t="s">
        <v>1706</v>
      </c>
      <c r="C319">
        <v>0</v>
      </c>
      <c r="D319">
        <v>0</v>
      </c>
      <c r="E319">
        <f>VLOOKUP(A319,Ucto_HK_summ!$A$2:$K$965,8,FALSE)</f>
        <v>0</v>
      </c>
    </row>
    <row r="320" spans="1:5">
      <c r="A320" s="578" t="s">
        <v>1707</v>
      </c>
      <c r="C320">
        <v>0</v>
      </c>
      <c r="D320">
        <v>0</v>
      </c>
      <c r="E320">
        <f>VLOOKUP(A320,Ucto_HK_summ!$A$2:$K$965,8,FALSE)</f>
        <v>0</v>
      </c>
    </row>
    <row r="321" spans="1:5">
      <c r="A321" s="577" t="s">
        <v>1708</v>
      </c>
      <c r="C321" s="579">
        <v>-294286.01</v>
      </c>
      <c r="D321" s="579">
        <v>-294098.39</v>
      </c>
      <c r="E321">
        <f>VLOOKUP(A321,Ucto_HK_summ!$A$2:$K$965,8,FALSE)</f>
        <v>-1200147.3700000001</v>
      </c>
    </row>
    <row r="323" spans="1:5">
      <c r="A323" s="577" t="s">
        <v>1709</v>
      </c>
      <c r="C323" s="579">
        <v>-172768202.38</v>
      </c>
      <c r="D323" s="579">
        <v>-194874324.81</v>
      </c>
      <c r="E323">
        <f>VLOOKUP(A323,Ucto_HK_summ!$A$2:$K$965,8,FALSE)</f>
        <v>-211189042.27000001</v>
      </c>
    </row>
    <row r="326" spans="1:5">
      <c r="A326" s="578" t="s">
        <v>1710</v>
      </c>
      <c r="B326" s="578" t="s">
        <v>1711</v>
      </c>
      <c r="C326" s="513">
        <v>69911174.849999994</v>
      </c>
      <c r="D326" s="513">
        <v>95395229.810000002</v>
      </c>
      <c r="E326">
        <f>VLOOKUP(A326,Ucto_HK_summ!$A$2:$K$965,8,FALSE)</f>
        <v>95395229.810000002</v>
      </c>
    </row>
    <row r="327" spans="1:5">
      <c r="A327" s="578" t="s">
        <v>1712</v>
      </c>
      <c r="C327" s="513">
        <v>69911174.849999994</v>
      </c>
      <c r="D327" s="513">
        <v>95395229.810000002</v>
      </c>
      <c r="E327">
        <f>VLOOKUP(A327,Ucto_HK_summ!$A$2:$K$965,8,FALSE)</f>
        <v>95395229.810000002</v>
      </c>
    </row>
    <row r="328" spans="1:5">
      <c r="A328" s="577" t="s">
        <v>1713</v>
      </c>
      <c r="C328" s="579">
        <v>69911174.849999994</v>
      </c>
      <c r="D328" s="579">
        <v>95395229.810000002</v>
      </c>
      <c r="E328">
        <f>VLOOKUP(A328,Ucto_HK_summ!$A$2:$K$965,8,FALSE)</f>
        <v>95395229.810000002</v>
      </c>
    </row>
    <row r="330" spans="1:5">
      <c r="A330" s="578" t="s">
        <v>1714</v>
      </c>
      <c r="B330" s="578" t="s">
        <v>1715</v>
      </c>
      <c r="C330" s="513">
        <v>25080301.079999998</v>
      </c>
      <c r="D330">
        <v>0</v>
      </c>
      <c r="E330">
        <f>VLOOKUP(A330,Ucto_HK_summ!$A$2:$K$965,8,FALSE)</f>
        <v>0</v>
      </c>
    </row>
    <row r="331" spans="1:5">
      <c r="A331" s="578" t="s">
        <v>1716</v>
      </c>
      <c r="C331" s="513">
        <v>25080301.079999998</v>
      </c>
      <c r="D331">
        <v>0</v>
      </c>
      <c r="E331">
        <f>VLOOKUP(A331,Ucto_HK_summ!$A$2:$K$965,8,FALSE)</f>
        <v>0</v>
      </c>
    </row>
    <row r="332" spans="1:5">
      <c r="A332" s="577" t="s">
        <v>1717</v>
      </c>
      <c r="C332" s="579">
        <v>25080301.079999998</v>
      </c>
      <c r="D332" s="369">
        <v>0</v>
      </c>
      <c r="E332">
        <f>VLOOKUP(A332,Ucto_HK_summ!$A$2:$K$965,8,FALSE)</f>
        <v>0</v>
      </c>
    </row>
    <row r="334" spans="1:5">
      <c r="A334" s="578" t="s">
        <v>1718</v>
      </c>
      <c r="B334" s="578" t="s">
        <v>1719</v>
      </c>
      <c r="C334" s="513">
        <v>-121526.14</v>
      </c>
      <c r="D334" s="513">
        <v>-121526.14</v>
      </c>
      <c r="E334">
        <f>VLOOKUP(A334,Ucto_HK_summ!$A$2:$K$965,8,FALSE)</f>
        <v>-121526.14</v>
      </c>
    </row>
    <row r="335" spans="1:5">
      <c r="A335" s="578" t="s">
        <v>1720</v>
      </c>
      <c r="B335" s="578" t="s">
        <v>1721</v>
      </c>
      <c r="C335">
        <v>0</v>
      </c>
      <c r="D335" s="513">
        <v>-786633.08</v>
      </c>
      <c r="E335">
        <f>VLOOKUP(A335,Ucto_HK_summ!$A$2:$K$965,8,FALSE)</f>
        <v>-989598.25</v>
      </c>
    </row>
    <row r="336" spans="1:5">
      <c r="A336" s="578" t="s">
        <v>1722</v>
      </c>
      <c r="B336" s="578" t="s">
        <v>1723</v>
      </c>
      <c r="C336">
        <v>0</v>
      </c>
      <c r="D336" s="550">
        <v>3910</v>
      </c>
      <c r="E336">
        <f>VLOOKUP(A336,Ucto_HK_summ!$A$2:$K$965,8,FALSE)</f>
        <v>4660</v>
      </c>
    </row>
    <row r="337" spans="1:5">
      <c r="A337" s="578" t="s">
        <v>1724</v>
      </c>
      <c r="B337" s="578" t="s">
        <v>1725</v>
      </c>
      <c r="C337">
        <v>0</v>
      </c>
      <c r="D337" s="513">
        <v>41204.99</v>
      </c>
      <c r="E337">
        <f>VLOOKUP(A337,Ucto_HK_summ!$A$2:$K$965,8,FALSE)</f>
        <v>49584.99</v>
      </c>
    </row>
    <row r="338" spans="1:5">
      <c r="A338" s="578" t="s">
        <v>1726</v>
      </c>
      <c r="B338" s="578" t="s">
        <v>1727</v>
      </c>
      <c r="C338">
        <v>0</v>
      </c>
      <c r="D338" s="513">
        <v>309288.77</v>
      </c>
      <c r="E338">
        <f>VLOOKUP(A338,Ucto_HK_summ!$A$2:$K$965,8,FALSE)</f>
        <v>777236.02</v>
      </c>
    </row>
    <row r="339" spans="1:5">
      <c r="A339" s="578" t="s">
        <v>1728</v>
      </c>
      <c r="B339" s="578" t="s">
        <v>1729</v>
      </c>
      <c r="C339">
        <v>0</v>
      </c>
      <c r="D339" s="513">
        <v>39729.4</v>
      </c>
      <c r="E339">
        <f>VLOOKUP(A339,Ucto_HK_summ!$A$2:$K$965,8,FALSE)</f>
        <v>47970.8</v>
      </c>
    </row>
    <row r="340" spans="1:5">
      <c r="A340" s="578" t="s">
        <v>1730</v>
      </c>
      <c r="C340" s="513">
        <v>-121526.14</v>
      </c>
      <c r="D340" s="513">
        <v>-514026.06</v>
      </c>
      <c r="E340">
        <f>VLOOKUP(A340,Ucto_HK_summ!$A$2:$K$965,8,FALSE)</f>
        <v>-231672.58</v>
      </c>
    </row>
    <row r="341" spans="1:5">
      <c r="A341" s="578" t="s">
        <v>1731</v>
      </c>
      <c r="B341" s="578" t="s">
        <v>1732</v>
      </c>
      <c r="C341" s="513">
        <v>-196412.08</v>
      </c>
      <c r="D341" s="513">
        <v>-196412.08</v>
      </c>
      <c r="E341">
        <f>VLOOKUP(A341,Ucto_HK_summ!$A$2:$K$965,8,FALSE)</f>
        <v>-131807.44</v>
      </c>
    </row>
    <row r="342" spans="1:5">
      <c r="A342" s="578" t="s">
        <v>1733</v>
      </c>
      <c r="C342" s="513">
        <v>-196412.08</v>
      </c>
      <c r="D342" s="513">
        <v>-196412.08</v>
      </c>
      <c r="E342">
        <f>VLOOKUP(A342,Ucto_HK_summ!$A$2:$K$965,8,FALSE)</f>
        <v>-131807.44</v>
      </c>
    </row>
    <row r="343" spans="1:5">
      <c r="A343" s="577" t="s">
        <v>1734</v>
      </c>
      <c r="C343" s="579">
        <v>-317938.21999999997</v>
      </c>
      <c r="D343" s="579">
        <v>-710438.14</v>
      </c>
      <c r="E343">
        <f>VLOOKUP(A343,Ucto_HK_summ!$A$2:$K$965,8,FALSE)</f>
        <v>-363480.02</v>
      </c>
    </row>
    <row r="345" spans="1:5">
      <c r="A345" s="577" t="s">
        <v>1735</v>
      </c>
      <c r="C345" s="579">
        <v>94673537.709999993</v>
      </c>
      <c r="D345" s="579">
        <v>94684791.670000002</v>
      </c>
      <c r="E345">
        <f>VLOOKUP(A345,Ucto_HK_summ!$A$2:$K$965,8,FALSE)</f>
        <v>95031749.790000007</v>
      </c>
    </row>
    <row r="348" spans="1:5">
      <c r="A348" s="578" t="s">
        <v>1736</v>
      </c>
      <c r="B348" s="578" t="s">
        <v>1737</v>
      </c>
      <c r="C348">
        <v>0</v>
      </c>
      <c r="D348" s="513">
        <v>781684.4</v>
      </c>
      <c r="E348">
        <f>VLOOKUP(A348,Ucto_HK_summ!$A$2:$K$965,8,FALSE)</f>
        <v>846440.71</v>
      </c>
    </row>
    <row r="349" spans="1:5">
      <c r="A349" s="578" t="s">
        <v>1738</v>
      </c>
      <c r="B349" s="578" t="s">
        <v>1739</v>
      </c>
      <c r="C349">
        <v>0</v>
      </c>
      <c r="D349" s="513">
        <v>1580291.93</v>
      </c>
      <c r="E349">
        <f>VLOOKUP(A349,Ucto_HK_summ!$A$2:$K$965,8,FALSE)</f>
        <v>1685043.1</v>
      </c>
    </row>
    <row r="350" spans="1:5">
      <c r="A350" s="578" t="s">
        <v>1740</v>
      </c>
      <c r="B350" s="578" t="s">
        <v>1741</v>
      </c>
      <c r="C350">
        <v>0</v>
      </c>
      <c r="D350" s="513">
        <v>150163.4</v>
      </c>
      <c r="E350">
        <f>VLOOKUP(A350,Ucto_HK_summ!$A$2:$K$965,8,FALSE)</f>
        <v>133703.19</v>
      </c>
    </row>
    <row r="351" spans="1:5">
      <c r="A351" s="578" t="s">
        <v>1742</v>
      </c>
      <c r="B351" s="578" t="s">
        <v>1743</v>
      </c>
      <c r="C351">
        <v>0</v>
      </c>
      <c r="D351" s="513">
        <v>13829.47</v>
      </c>
      <c r="E351">
        <f>VLOOKUP(A351,Ucto_HK_summ!$A$2:$K$965,8,FALSE)</f>
        <v>15724.26</v>
      </c>
    </row>
    <row r="352" spans="1:5">
      <c r="A352" s="578" t="s">
        <v>1744</v>
      </c>
      <c r="B352" s="578" t="s">
        <v>1745</v>
      </c>
      <c r="C352">
        <v>0</v>
      </c>
      <c r="D352" s="513">
        <v>11812.78</v>
      </c>
      <c r="E352">
        <f>VLOOKUP(A352,Ucto_HK_summ!$A$2:$K$965,8,FALSE)</f>
        <v>12095.76</v>
      </c>
    </row>
    <row r="353" spans="1:5">
      <c r="A353" s="578" t="s">
        <v>1746</v>
      </c>
      <c r="B353" s="578" t="s">
        <v>1747</v>
      </c>
      <c r="C353">
        <v>0</v>
      </c>
      <c r="D353" s="513">
        <v>163764.29</v>
      </c>
      <c r="E353">
        <f>VLOOKUP(A353,Ucto_HK_summ!$A$2:$K$965,8,FALSE)</f>
        <v>159700.15</v>
      </c>
    </row>
    <row r="354" spans="1:5">
      <c r="A354" s="578" t="s">
        <v>1748</v>
      </c>
      <c r="B354" s="578" t="s">
        <v>1749</v>
      </c>
      <c r="C354">
        <v>0</v>
      </c>
      <c r="D354" s="513">
        <v>2104764.19</v>
      </c>
      <c r="E354">
        <f>VLOOKUP(A354,Ucto_HK_summ!$A$2:$K$965,8,FALSE)</f>
        <v>2325935.19</v>
      </c>
    </row>
    <row r="355" spans="1:5">
      <c r="A355" s="578" t="s">
        <v>1750</v>
      </c>
      <c r="B355" s="578" t="s">
        <v>1751</v>
      </c>
      <c r="C355">
        <v>0</v>
      </c>
      <c r="D355" s="513">
        <v>5499204.9699999997</v>
      </c>
      <c r="E355">
        <f>VLOOKUP(A355,Ucto_HK_summ!$A$2:$K$965,8,FALSE)</f>
        <v>7585677.2999999998</v>
      </c>
    </row>
    <row r="356" spans="1:5">
      <c r="A356" s="578" t="s">
        <v>1752</v>
      </c>
      <c r="B356" s="578" t="s">
        <v>1753</v>
      </c>
      <c r="C356">
        <v>0</v>
      </c>
      <c r="D356" s="513">
        <v>187720.51</v>
      </c>
      <c r="E356">
        <f>VLOOKUP(A356,Ucto_HK_summ!$A$2:$K$965,8,FALSE)</f>
        <v>165483.42000000001</v>
      </c>
    </row>
    <row r="357" spans="1:5">
      <c r="A357" s="578" t="s">
        <v>1754</v>
      </c>
      <c r="B357" s="578" t="s">
        <v>1755</v>
      </c>
      <c r="C357">
        <v>0</v>
      </c>
      <c r="D357" s="513">
        <v>535343.69999999995</v>
      </c>
      <c r="E357">
        <f>VLOOKUP(A357,Ucto_HK_summ!$A$2:$K$965,8,FALSE)</f>
        <v>421930.05</v>
      </c>
    </row>
    <row r="358" spans="1:5">
      <c r="A358" s="578" t="s">
        <v>1756</v>
      </c>
      <c r="B358" s="578" t="s">
        <v>1757</v>
      </c>
      <c r="C358">
        <v>0</v>
      </c>
      <c r="D358" s="513">
        <v>2110.67</v>
      </c>
      <c r="E358">
        <f>VLOOKUP(A358,Ucto_HK_summ!$A$2:$K$965,8,FALSE)</f>
        <v>1773.39</v>
      </c>
    </row>
    <row r="359" spans="1:5">
      <c r="A359" s="578" t="s">
        <v>1758</v>
      </c>
      <c r="B359" s="578" t="s">
        <v>1759</v>
      </c>
      <c r="C359">
        <v>0</v>
      </c>
      <c r="D359" s="513">
        <v>71054.48</v>
      </c>
      <c r="E359">
        <f>VLOOKUP(A359,Ucto_HK_summ!$A$2:$K$965,8,FALSE)</f>
        <v>76783.44</v>
      </c>
    </row>
    <row r="360" spans="1:5">
      <c r="A360" s="578" t="s">
        <v>1760</v>
      </c>
      <c r="B360" s="578" t="s">
        <v>1761</v>
      </c>
      <c r="C360">
        <v>0</v>
      </c>
      <c r="D360" s="513">
        <v>471485.39</v>
      </c>
      <c r="E360">
        <f>VLOOKUP(A360,Ucto_HK_summ!$A$2:$K$965,8,FALSE)</f>
        <v>567735.85</v>
      </c>
    </row>
    <row r="361" spans="1:5">
      <c r="A361" s="578" t="s">
        <v>1762</v>
      </c>
      <c r="B361" s="578" t="s">
        <v>1763</v>
      </c>
      <c r="C361">
        <v>0</v>
      </c>
      <c r="D361" s="513">
        <v>4395891.72</v>
      </c>
      <c r="E361">
        <f>VLOOKUP(A361,Ucto_HK_summ!$A$2:$K$965,8,FALSE)</f>
        <v>5834484.6299999999</v>
      </c>
    </row>
    <row r="362" spans="1:5">
      <c r="A362" s="578" t="s">
        <v>1764</v>
      </c>
      <c r="B362" s="578" t="s">
        <v>1765</v>
      </c>
      <c r="C362">
        <v>0</v>
      </c>
      <c r="D362" s="513">
        <v>117238.03</v>
      </c>
      <c r="E362">
        <f>VLOOKUP(A362,Ucto_HK_summ!$A$2:$K$965,8,FALSE)</f>
        <v>109711.09</v>
      </c>
    </row>
    <row r="363" spans="1:5">
      <c r="A363" s="578" t="s">
        <v>1766</v>
      </c>
      <c r="B363" s="578" t="s">
        <v>1767</v>
      </c>
      <c r="C363">
        <v>0</v>
      </c>
      <c r="D363" s="513">
        <v>155954.6</v>
      </c>
      <c r="E363">
        <f>VLOOKUP(A363,Ucto_HK_summ!$A$2:$K$965,8,FALSE)</f>
        <v>193858.39</v>
      </c>
    </row>
    <row r="364" spans="1:5">
      <c r="A364" s="578" t="s">
        <v>1768</v>
      </c>
      <c r="B364" s="578" t="s">
        <v>1769</v>
      </c>
      <c r="C364">
        <v>0</v>
      </c>
      <c r="D364" s="513">
        <v>336879.23</v>
      </c>
      <c r="E364">
        <f>VLOOKUP(A364,Ucto_HK_summ!$A$2:$K$965,8,FALSE)</f>
        <v>444697.77</v>
      </c>
    </row>
    <row r="365" spans="1:5">
      <c r="A365" s="578" t="s">
        <v>1770</v>
      </c>
      <c r="B365" s="578" t="s">
        <v>1771</v>
      </c>
      <c r="C365">
        <v>0</v>
      </c>
      <c r="D365">
        <v>520.71</v>
      </c>
      <c r="E365">
        <f>VLOOKUP(A365,Ucto_HK_summ!$A$2:$K$965,8,FALSE)</f>
        <v>520.71</v>
      </c>
    </row>
    <row r="366" spans="1:5">
      <c r="A366" s="578" t="s">
        <v>1772</v>
      </c>
      <c r="B366" s="578" t="s">
        <v>1773</v>
      </c>
      <c r="C366">
        <v>0</v>
      </c>
      <c r="D366" s="513">
        <v>37663.07</v>
      </c>
      <c r="E366">
        <f>VLOOKUP(A366,Ucto_HK_summ!$A$2:$K$965,8,FALSE)</f>
        <v>42344.07</v>
      </c>
    </row>
    <row r="367" spans="1:5">
      <c r="A367" s="578" t="s">
        <v>1774</v>
      </c>
      <c r="B367" s="578" t="s">
        <v>1775</v>
      </c>
      <c r="C367">
        <v>0</v>
      </c>
      <c r="D367" s="513">
        <v>19519.02</v>
      </c>
      <c r="E367">
        <f>VLOOKUP(A367,Ucto_HK_summ!$A$2:$K$965,8,FALSE)</f>
        <v>19118.59</v>
      </c>
    </row>
    <row r="368" spans="1:5">
      <c r="A368" s="578" t="s">
        <v>1776</v>
      </c>
      <c r="B368" s="578" t="s">
        <v>1292</v>
      </c>
      <c r="C368">
        <v>0</v>
      </c>
      <c r="D368" s="513">
        <v>1640115.68</v>
      </c>
      <c r="E368">
        <f>VLOOKUP(A368,Ucto_HK_summ!$A$2:$K$965,8,FALSE)</f>
        <v>2001749.67</v>
      </c>
    </row>
    <row r="369" spans="1:5">
      <c r="A369" s="578" t="s">
        <v>1777</v>
      </c>
      <c r="B369" s="578" t="s">
        <v>1778</v>
      </c>
      <c r="C369">
        <v>0</v>
      </c>
      <c r="D369" s="513">
        <v>3421986.85</v>
      </c>
      <c r="E369">
        <f>VLOOKUP(A369,Ucto_HK_summ!$A$2:$K$965,8,FALSE)</f>
        <v>4007271.44</v>
      </c>
    </row>
    <row r="370" spans="1:5">
      <c r="A370" s="578" t="s">
        <v>1779</v>
      </c>
      <c r="B370" s="578" t="s">
        <v>1780</v>
      </c>
      <c r="C370">
        <v>0</v>
      </c>
      <c r="D370" s="513">
        <v>6453842.2300000004</v>
      </c>
      <c r="E370">
        <f>VLOOKUP(A370,Ucto_HK_summ!$A$2:$K$965,8,FALSE)</f>
        <v>7708943.2300000004</v>
      </c>
    </row>
    <row r="371" spans="1:5">
      <c r="A371" s="578" t="s">
        <v>1781</v>
      </c>
      <c r="B371" s="578" t="s">
        <v>1782</v>
      </c>
      <c r="C371">
        <v>0</v>
      </c>
      <c r="D371">
        <v>413.2</v>
      </c>
      <c r="E371">
        <f>VLOOKUP(A371,Ucto_HK_summ!$A$2:$K$965,8,FALSE)</f>
        <v>413.2</v>
      </c>
    </row>
    <row r="372" spans="1:5">
      <c r="A372" s="578" t="s">
        <v>1783</v>
      </c>
      <c r="B372" s="578" t="s">
        <v>1784</v>
      </c>
      <c r="C372">
        <v>0</v>
      </c>
      <c r="D372" s="513">
        <v>103917.5</v>
      </c>
      <c r="E372">
        <f>VLOOKUP(A372,Ucto_HK_summ!$A$2:$K$965,8,FALSE)</f>
        <v>112469.46</v>
      </c>
    </row>
    <row r="373" spans="1:5">
      <c r="A373" s="578" t="s">
        <v>1785</v>
      </c>
      <c r="B373" s="578" t="s">
        <v>1786</v>
      </c>
      <c r="C373">
        <v>0</v>
      </c>
      <c r="D373" s="513">
        <v>1422173.87</v>
      </c>
      <c r="E373">
        <f>VLOOKUP(A373,Ucto_HK_summ!$A$2:$K$965,8,FALSE)</f>
        <v>1678376.03</v>
      </c>
    </row>
    <row r="374" spans="1:5">
      <c r="A374" s="578" t="s">
        <v>1787</v>
      </c>
      <c r="B374" s="578" t="s">
        <v>1788</v>
      </c>
      <c r="C374">
        <v>0</v>
      </c>
      <c r="D374" s="513">
        <v>554333.87</v>
      </c>
      <c r="E374">
        <f>VLOOKUP(A374,Ucto_HK_summ!$A$2:$K$965,8,FALSE)</f>
        <v>634568.16</v>
      </c>
    </row>
    <row r="375" spans="1:5">
      <c r="A375" s="578" t="s">
        <v>1789</v>
      </c>
      <c r="B375" s="578" t="s">
        <v>1790</v>
      </c>
      <c r="C375">
        <v>0</v>
      </c>
      <c r="D375" s="513">
        <v>288373.11</v>
      </c>
      <c r="E375">
        <f>VLOOKUP(A375,Ucto_HK_summ!$A$2:$K$965,8,FALSE)</f>
        <v>364917.15</v>
      </c>
    </row>
    <row r="376" spans="1:5">
      <c r="A376" s="578" t="s">
        <v>1791</v>
      </c>
      <c r="B376" s="578" t="s">
        <v>1778</v>
      </c>
      <c r="C376">
        <v>0</v>
      </c>
      <c r="D376" s="513">
        <v>70862.5</v>
      </c>
      <c r="E376">
        <f>VLOOKUP(A376,Ucto_HK_summ!$A$2:$K$965,8,FALSE)</f>
        <v>88989.16</v>
      </c>
    </row>
    <row r="377" spans="1:5">
      <c r="A377" s="578" t="s">
        <v>1792</v>
      </c>
      <c r="B377" s="578" t="s">
        <v>1780</v>
      </c>
      <c r="C377">
        <v>0</v>
      </c>
      <c r="D377" s="513">
        <v>270144.01</v>
      </c>
      <c r="E377">
        <f>VLOOKUP(A377,Ucto_HK_summ!$A$2:$K$965,8,FALSE)</f>
        <v>315957.40999999997</v>
      </c>
    </row>
    <row r="378" spans="1:5">
      <c r="A378" s="578" t="s">
        <v>1793</v>
      </c>
      <c r="B378" s="578" t="s">
        <v>1794</v>
      </c>
      <c r="C378">
        <v>0</v>
      </c>
      <c r="D378" s="513">
        <v>113329.24</v>
      </c>
      <c r="E378">
        <f>VLOOKUP(A378,Ucto_HK_summ!$A$2:$K$965,8,FALSE)</f>
        <v>136646.46</v>
      </c>
    </row>
    <row r="379" spans="1:5">
      <c r="A379" s="578" t="s">
        <v>1795</v>
      </c>
      <c r="B379" s="578" t="s">
        <v>1782</v>
      </c>
      <c r="C379">
        <v>0</v>
      </c>
      <c r="D379" s="513">
        <v>53056.57</v>
      </c>
      <c r="E379">
        <f>VLOOKUP(A379,Ucto_HK_summ!$A$2:$K$965,8,FALSE)</f>
        <v>58081.84</v>
      </c>
    </row>
    <row r="380" spans="1:5">
      <c r="A380" s="578" t="s">
        <v>1796</v>
      </c>
      <c r="B380" s="578" t="s">
        <v>1784</v>
      </c>
      <c r="C380">
        <v>0</v>
      </c>
      <c r="D380">
        <v>477.6</v>
      </c>
      <c r="E380">
        <f>VLOOKUP(A380,Ucto_HK_summ!$A$2:$K$965,8,FALSE)</f>
        <v>477.6</v>
      </c>
    </row>
    <row r="381" spans="1:5">
      <c r="A381" s="578" t="s">
        <v>1797</v>
      </c>
      <c r="B381" s="578" t="s">
        <v>1798</v>
      </c>
      <c r="C381">
        <v>0</v>
      </c>
      <c r="D381" s="513">
        <v>22473.91</v>
      </c>
      <c r="E381">
        <f>VLOOKUP(A381,Ucto_HK_summ!$A$2:$K$965,8,FALSE)</f>
        <v>21865.48</v>
      </c>
    </row>
    <row r="382" spans="1:5">
      <c r="A382" s="578" t="s">
        <v>1799</v>
      </c>
      <c r="B382" s="578" t="s">
        <v>1800</v>
      </c>
      <c r="C382">
        <v>0</v>
      </c>
      <c r="D382" s="513">
        <v>7360023.8700000001</v>
      </c>
      <c r="E382">
        <f>VLOOKUP(A382,Ucto_HK_summ!$A$2:$K$965,8,FALSE)</f>
        <v>6944455.1799999997</v>
      </c>
    </row>
    <row r="383" spans="1:5">
      <c r="A383" s="578" t="s">
        <v>1801</v>
      </c>
      <c r="B383" s="578" t="s">
        <v>1802</v>
      </c>
      <c r="C383">
        <v>0</v>
      </c>
      <c r="D383" s="513">
        <v>1834236.05</v>
      </c>
      <c r="E383">
        <f>VLOOKUP(A383,Ucto_HK_summ!$A$2:$K$965,8,FALSE)</f>
        <v>1985250.52</v>
      </c>
    </row>
    <row r="384" spans="1:5">
      <c r="A384" s="578" t="s">
        <v>1803</v>
      </c>
      <c r="B384" s="578" t="s">
        <v>1804</v>
      </c>
      <c r="C384">
        <v>0</v>
      </c>
      <c r="D384" s="513">
        <v>4223.6899999999996</v>
      </c>
      <c r="E384">
        <f>VLOOKUP(A384,Ucto_HK_summ!$A$2:$K$965,8,FALSE)</f>
        <v>3619.21</v>
      </c>
    </row>
    <row r="385" spans="1:5">
      <c r="A385" s="578" t="s">
        <v>1805</v>
      </c>
      <c r="B385" s="578" t="s">
        <v>1806</v>
      </c>
      <c r="C385">
        <v>0</v>
      </c>
      <c r="D385" s="513">
        <v>33661.18</v>
      </c>
      <c r="E385">
        <f>VLOOKUP(A385,Ucto_HK_summ!$A$2:$K$965,8,FALSE)</f>
        <v>47390.44</v>
      </c>
    </row>
    <row r="386" spans="1:5">
      <c r="A386" s="578" t="s">
        <v>1807</v>
      </c>
      <c r="B386" s="578" t="s">
        <v>1808</v>
      </c>
      <c r="C386">
        <v>0</v>
      </c>
      <c r="D386" s="513">
        <v>275393.73</v>
      </c>
      <c r="E386">
        <f>VLOOKUP(A386,Ucto_HK_summ!$A$2:$K$965,8,FALSE)</f>
        <v>399972.47</v>
      </c>
    </row>
    <row r="387" spans="1:5">
      <c r="A387" s="578" t="s">
        <v>1809</v>
      </c>
      <c r="B387" s="578" t="s">
        <v>1810</v>
      </c>
      <c r="C387">
        <v>0</v>
      </c>
      <c r="D387" s="513">
        <v>222545.25</v>
      </c>
      <c r="E387">
        <f>VLOOKUP(A387,Ucto_HK_summ!$A$2:$K$965,8,FALSE)</f>
        <v>273974.86</v>
      </c>
    </row>
    <row r="388" spans="1:5">
      <c r="A388" s="578" t="s">
        <v>1811</v>
      </c>
      <c r="B388" s="578" t="s">
        <v>1812</v>
      </c>
      <c r="C388">
        <v>0</v>
      </c>
      <c r="D388" s="513">
        <v>285810.33</v>
      </c>
      <c r="E388">
        <f>VLOOKUP(A388,Ucto_HK_summ!$A$2:$K$965,8,FALSE)</f>
        <v>344306.76</v>
      </c>
    </row>
    <row r="389" spans="1:5">
      <c r="A389" s="578" t="s">
        <v>1813</v>
      </c>
      <c r="B389" s="578" t="s">
        <v>1814</v>
      </c>
      <c r="C389">
        <v>0</v>
      </c>
      <c r="D389" s="513">
        <v>97035.99</v>
      </c>
      <c r="E389">
        <f>VLOOKUP(A389,Ucto_HK_summ!$A$2:$K$965,8,FALSE)</f>
        <v>114986.37</v>
      </c>
    </row>
    <row r="390" spans="1:5">
      <c r="A390" s="578" t="s">
        <v>1815</v>
      </c>
      <c r="B390" s="578" t="s">
        <v>1816</v>
      </c>
      <c r="C390">
        <v>0</v>
      </c>
      <c r="D390" s="513">
        <v>109815.01</v>
      </c>
      <c r="E390">
        <f>VLOOKUP(A390,Ucto_HK_summ!$A$2:$K$965,8,FALSE)</f>
        <v>132365.43</v>
      </c>
    </row>
    <row r="391" spans="1:5">
      <c r="A391" s="578" t="s">
        <v>1817</v>
      </c>
      <c r="B391" s="578" t="s">
        <v>1818</v>
      </c>
      <c r="C391">
        <v>0</v>
      </c>
      <c r="D391" s="513">
        <v>15525.97</v>
      </c>
      <c r="E391">
        <f>VLOOKUP(A391,Ucto_HK_summ!$A$2:$K$965,8,FALSE)</f>
        <v>19385.599999999999</v>
      </c>
    </row>
    <row r="392" spans="1:5">
      <c r="A392" s="578" t="s">
        <v>1819</v>
      </c>
      <c r="B392" s="578" t="s">
        <v>1820</v>
      </c>
      <c r="C392">
        <v>0</v>
      </c>
      <c r="D392" s="513">
        <v>7933.43</v>
      </c>
      <c r="E392">
        <f>VLOOKUP(A392,Ucto_HK_summ!$A$2:$K$965,8,FALSE)</f>
        <v>7933.43</v>
      </c>
    </row>
    <row r="393" spans="1:5">
      <c r="A393" s="578" t="s">
        <v>1821</v>
      </c>
      <c r="B393" s="578" t="s">
        <v>1822</v>
      </c>
      <c r="C393">
        <v>0</v>
      </c>
      <c r="D393">
        <v>42.4</v>
      </c>
      <c r="E393">
        <f>VLOOKUP(A393,Ucto_HK_summ!$A$2:$K$965,8,FALSE)</f>
        <v>42.93</v>
      </c>
    </row>
    <row r="394" spans="1:5">
      <c r="A394" s="578" t="s">
        <v>1823</v>
      </c>
      <c r="B394" s="578" t="s">
        <v>1824</v>
      </c>
      <c r="C394">
        <v>0</v>
      </c>
      <c r="D394" s="513">
        <v>133345.20000000001</v>
      </c>
      <c r="E394">
        <f>VLOOKUP(A394,Ucto_HK_summ!$A$2:$K$965,8,FALSE)</f>
        <v>163748.28</v>
      </c>
    </row>
    <row r="395" spans="1:5">
      <c r="A395" s="578" t="s">
        <v>1825</v>
      </c>
      <c r="B395" s="578" t="s">
        <v>1826</v>
      </c>
      <c r="C395">
        <v>0</v>
      </c>
      <c r="D395" s="513">
        <v>342230.14</v>
      </c>
      <c r="E395">
        <f>VLOOKUP(A395,Ucto_HK_summ!$A$2:$K$965,8,FALSE)</f>
        <v>440143.29</v>
      </c>
    </row>
    <row r="396" spans="1:5">
      <c r="A396" s="578" t="s">
        <v>1827</v>
      </c>
      <c r="B396" s="578" t="s">
        <v>226</v>
      </c>
      <c r="C396">
        <v>0</v>
      </c>
      <c r="D396" s="513">
        <v>69519.679999999993</v>
      </c>
      <c r="E396">
        <f>VLOOKUP(A396,Ucto_HK_summ!$A$2:$K$965,8,FALSE)</f>
        <v>87978.47</v>
      </c>
    </row>
    <row r="397" spans="1:5">
      <c r="A397" s="578" t="s">
        <v>1828</v>
      </c>
      <c r="B397" s="578" t="s">
        <v>1829</v>
      </c>
      <c r="C397">
        <v>0</v>
      </c>
      <c r="D397" s="513">
        <v>37284.82</v>
      </c>
      <c r="E397">
        <f>VLOOKUP(A397,Ucto_HK_summ!$A$2:$K$965,8,FALSE)</f>
        <v>48012.56</v>
      </c>
    </row>
    <row r="398" spans="1:5">
      <c r="A398" s="578" t="s">
        <v>1830</v>
      </c>
      <c r="B398" s="578" t="s">
        <v>1831</v>
      </c>
      <c r="C398">
        <v>0</v>
      </c>
      <c r="D398">
        <v>85</v>
      </c>
      <c r="E398">
        <f>VLOOKUP(A398,Ucto_HK_summ!$A$2:$K$965,8,FALSE)</f>
        <v>85</v>
      </c>
    </row>
    <row r="399" spans="1:5">
      <c r="A399" s="578" t="s">
        <v>1832</v>
      </c>
      <c r="B399" s="578" t="s">
        <v>1833</v>
      </c>
      <c r="C399">
        <v>0</v>
      </c>
      <c r="D399">
        <v>561.16999999999996</v>
      </c>
      <c r="E399">
        <f>VLOOKUP(A399,Ucto_HK_summ!$A$2:$K$965,8,FALSE)</f>
        <v>852.94</v>
      </c>
    </row>
    <row r="400" spans="1:5">
      <c r="A400" s="578" t="s">
        <v>1834</v>
      </c>
      <c r="B400" s="578" t="s">
        <v>1835</v>
      </c>
      <c r="C400">
        <v>0</v>
      </c>
      <c r="D400" s="513">
        <v>2046.76</v>
      </c>
      <c r="E400">
        <f>VLOOKUP(A400,Ucto_HK_summ!$A$2:$K$965,8,FALSE)</f>
        <v>2046.76</v>
      </c>
    </row>
    <row r="401" spans="1:5">
      <c r="A401" s="578" t="s">
        <v>1836</v>
      </c>
      <c r="B401" s="578" t="s">
        <v>1837</v>
      </c>
      <c r="C401">
        <v>0</v>
      </c>
      <c r="D401" s="513">
        <v>19325.52</v>
      </c>
      <c r="E401">
        <f>VLOOKUP(A401,Ucto_HK_summ!$A$2:$K$965,8,FALSE)</f>
        <v>19389.12</v>
      </c>
    </row>
    <row r="402" spans="1:5">
      <c r="A402" s="578" t="s">
        <v>1838</v>
      </c>
      <c r="B402" s="578" t="s">
        <v>1839</v>
      </c>
      <c r="C402">
        <v>0</v>
      </c>
      <c r="D402" s="513">
        <v>12223.28</v>
      </c>
      <c r="E402">
        <f>VLOOKUP(A402,Ucto_HK_summ!$A$2:$K$965,8,FALSE)</f>
        <v>12928.81</v>
      </c>
    </row>
    <row r="403" spans="1:5">
      <c r="A403" s="578" t="s">
        <v>1840</v>
      </c>
      <c r="B403" s="578" t="s">
        <v>1841</v>
      </c>
      <c r="C403">
        <v>0</v>
      </c>
      <c r="D403" s="513">
        <v>35781.07</v>
      </c>
      <c r="E403">
        <f>VLOOKUP(A403,Ucto_HK_summ!$A$2:$K$965,8,FALSE)</f>
        <v>59626.23</v>
      </c>
    </row>
    <row r="404" spans="1:5">
      <c r="A404" s="578" t="s">
        <v>1842</v>
      </c>
      <c r="B404" s="578" t="s">
        <v>1843</v>
      </c>
      <c r="C404">
        <v>0</v>
      </c>
      <c r="D404" s="513">
        <v>1146483.57</v>
      </c>
      <c r="E404">
        <f>VLOOKUP(A404,Ucto_HK_summ!$A$2:$K$965,8,FALSE)</f>
        <v>1410710.52</v>
      </c>
    </row>
    <row r="405" spans="1:5">
      <c r="A405" s="578" t="s">
        <v>1844</v>
      </c>
      <c r="B405" s="578" t="s">
        <v>1845</v>
      </c>
      <c r="C405">
        <v>0</v>
      </c>
      <c r="D405" s="513">
        <v>58074.78</v>
      </c>
      <c r="E405">
        <f>VLOOKUP(A405,Ucto_HK_summ!$A$2:$K$965,8,FALSE)</f>
        <v>79133.16</v>
      </c>
    </row>
    <row r="406" spans="1:5">
      <c r="A406" s="578" t="s">
        <v>1846</v>
      </c>
      <c r="B406" s="578" t="s">
        <v>1847</v>
      </c>
      <c r="C406">
        <v>0</v>
      </c>
      <c r="D406" s="513">
        <v>448115.23</v>
      </c>
      <c r="E406">
        <f>VLOOKUP(A406,Ucto_HK_summ!$A$2:$K$965,8,FALSE)</f>
        <v>610442.29</v>
      </c>
    </row>
    <row r="407" spans="1:5">
      <c r="A407" s="578" t="s">
        <v>1848</v>
      </c>
      <c r="B407" s="578" t="s">
        <v>1849</v>
      </c>
      <c r="C407">
        <v>0</v>
      </c>
      <c r="D407" s="513">
        <v>95596.9</v>
      </c>
      <c r="E407">
        <f>VLOOKUP(A407,Ucto_HK_summ!$A$2:$K$965,8,FALSE)</f>
        <v>113713.75</v>
      </c>
    </row>
    <row r="408" spans="1:5">
      <c r="A408" s="578" t="s">
        <v>1850</v>
      </c>
      <c r="B408" s="578" t="s">
        <v>1851</v>
      </c>
      <c r="C408">
        <v>0</v>
      </c>
      <c r="D408" s="513">
        <v>43337.18</v>
      </c>
      <c r="E408">
        <f>VLOOKUP(A408,Ucto_HK_summ!$A$2:$K$965,8,FALSE)</f>
        <v>46999.29</v>
      </c>
    </row>
    <row r="409" spans="1:5">
      <c r="A409" s="578" t="s">
        <v>1852</v>
      </c>
      <c r="B409" s="578" t="s">
        <v>1853</v>
      </c>
      <c r="C409">
        <v>0</v>
      </c>
      <c r="D409" s="513">
        <v>364946.73</v>
      </c>
      <c r="E409">
        <f>VLOOKUP(A409,Ucto_HK_summ!$A$2:$K$965,8,FALSE)</f>
        <v>418700.66</v>
      </c>
    </row>
    <row r="410" spans="1:5">
      <c r="A410" s="578" t="s">
        <v>1854</v>
      </c>
      <c r="B410" s="578" t="s">
        <v>1855</v>
      </c>
      <c r="C410">
        <v>0</v>
      </c>
      <c r="D410" s="513">
        <v>97164.54</v>
      </c>
      <c r="E410">
        <f>VLOOKUP(A410,Ucto_HK_summ!$A$2:$K$965,8,FALSE)</f>
        <v>99385.25</v>
      </c>
    </row>
    <row r="411" spans="1:5">
      <c r="A411" s="578" t="s">
        <v>1856</v>
      </c>
      <c r="B411" s="578" t="s">
        <v>1857</v>
      </c>
      <c r="C411">
        <v>0</v>
      </c>
      <c r="D411" s="513">
        <v>11442.96</v>
      </c>
      <c r="E411">
        <f>VLOOKUP(A411,Ucto_HK_summ!$A$2:$K$965,8,FALSE)</f>
        <v>13934.79</v>
      </c>
    </row>
    <row r="412" spans="1:5">
      <c r="A412" s="578" t="s">
        <v>1858</v>
      </c>
      <c r="B412" s="578" t="s">
        <v>1859</v>
      </c>
      <c r="C412">
        <v>0</v>
      </c>
      <c r="D412" s="513">
        <v>3818.67</v>
      </c>
      <c r="E412">
        <f>VLOOKUP(A412,Ucto_HK_summ!$A$2:$K$965,8,FALSE)</f>
        <v>4618.8900000000003</v>
      </c>
    </row>
    <row r="413" spans="1:5">
      <c r="A413" s="578" t="s">
        <v>1860</v>
      </c>
      <c r="B413" s="578" t="s">
        <v>1861</v>
      </c>
      <c r="C413">
        <v>0</v>
      </c>
      <c r="D413" s="513">
        <v>58486.59</v>
      </c>
      <c r="E413">
        <f>VLOOKUP(A413,Ucto_HK_summ!$A$2:$K$965,8,FALSE)</f>
        <v>59842.59</v>
      </c>
    </row>
    <row r="414" spans="1:5">
      <c r="A414" s="578" t="s">
        <v>1862</v>
      </c>
      <c r="B414" s="578" t="s">
        <v>1863</v>
      </c>
      <c r="C414">
        <v>0</v>
      </c>
      <c r="D414" s="513">
        <v>2161.9299999999998</v>
      </c>
      <c r="E414">
        <f>VLOOKUP(A414,Ucto_HK_summ!$A$2:$K$965,8,FALSE)</f>
        <v>2161.9299999999998</v>
      </c>
    </row>
    <row r="415" spans="1:5">
      <c r="A415" s="578" t="s">
        <v>1864</v>
      </c>
      <c r="B415" s="578" t="s">
        <v>1865</v>
      </c>
      <c r="C415">
        <v>0</v>
      </c>
      <c r="D415" s="513">
        <v>350399.33</v>
      </c>
      <c r="E415">
        <f>VLOOKUP(A415,Ucto_HK_summ!$A$2:$K$965,8,FALSE)</f>
        <v>384861.92</v>
      </c>
    </row>
    <row r="416" spans="1:5">
      <c r="A416" s="578" t="s">
        <v>1868</v>
      </c>
      <c r="B416" s="578" t="s">
        <v>1869</v>
      </c>
      <c r="C416">
        <v>0</v>
      </c>
      <c r="D416" s="513">
        <v>8486.26</v>
      </c>
      <c r="E416">
        <f>VLOOKUP(A416,Ucto_HK_summ!$A$2:$K$965,8,FALSE)</f>
        <v>10697.03</v>
      </c>
    </row>
    <row r="417" spans="1:5">
      <c r="A417" s="578" t="s">
        <v>1870</v>
      </c>
      <c r="B417" s="578" t="s">
        <v>1871</v>
      </c>
      <c r="C417">
        <v>0</v>
      </c>
      <c r="D417" s="513">
        <v>13379.1</v>
      </c>
      <c r="E417">
        <f>VLOOKUP(A417,Ucto_HK_summ!$A$2:$K$965,8,FALSE)</f>
        <v>16526.39</v>
      </c>
    </row>
    <row r="418" spans="1:5">
      <c r="A418" s="578" t="s">
        <v>1872</v>
      </c>
      <c r="B418" s="578" t="s">
        <v>1873</v>
      </c>
      <c r="C418">
        <v>0</v>
      </c>
      <c r="D418" s="513">
        <v>1424.51</v>
      </c>
      <c r="E418">
        <f>VLOOKUP(A418,Ucto_HK_summ!$A$2:$K$965,8,FALSE)</f>
        <v>1573.37</v>
      </c>
    </row>
    <row r="419" spans="1:5">
      <c r="A419" s="578" t="s">
        <v>1874</v>
      </c>
      <c r="B419" s="578" t="s">
        <v>1875</v>
      </c>
      <c r="C419">
        <v>0</v>
      </c>
      <c r="D419">
        <v>133.44</v>
      </c>
      <c r="E419">
        <f>VLOOKUP(A419,Ucto_HK_summ!$A$2:$K$965,8,FALSE)</f>
        <v>268.8</v>
      </c>
    </row>
    <row r="420" spans="1:5">
      <c r="A420" s="578" t="s">
        <v>1876</v>
      </c>
      <c r="B420" s="578" t="s">
        <v>1877</v>
      </c>
      <c r="C420">
        <v>0</v>
      </c>
      <c r="D420" s="550">
        <v>11323</v>
      </c>
      <c r="E420">
        <f>VLOOKUP(A420,Ucto_HK_summ!$A$2:$K$965,8,FALSE)</f>
        <v>13752.13</v>
      </c>
    </row>
    <row r="421" spans="1:5">
      <c r="A421" s="578" t="s">
        <v>1878</v>
      </c>
      <c r="B421" s="578" t="s">
        <v>1879</v>
      </c>
      <c r="C421">
        <v>0</v>
      </c>
      <c r="D421">
        <v>76.400000000000006</v>
      </c>
      <c r="E421">
        <f>VLOOKUP(A421,Ucto_HK_summ!$A$2:$K$965,8,FALSE)</f>
        <v>76.400000000000006</v>
      </c>
    </row>
    <row r="422" spans="1:5">
      <c r="A422" s="578" t="s">
        <v>1880</v>
      </c>
      <c r="B422" s="578" t="s">
        <v>1881</v>
      </c>
      <c r="C422">
        <v>0</v>
      </c>
      <c r="D422" s="513">
        <v>65946.95</v>
      </c>
      <c r="E422">
        <f>VLOOKUP(A422,Ucto_HK_summ!$A$2:$K$965,8,FALSE)</f>
        <v>79960.42</v>
      </c>
    </row>
    <row r="423" spans="1:5">
      <c r="A423" s="578" t="s">
        <v>1882</v>
      </c>
      <c r="B423" s="578" t="s">
        <v>1883</v>
      </c>
      <c r="C423">
        <v>0</v>
      </c>
      <c r="D423" s="513">
        <v>8912.4699999999993</v>
      </c>
      <c r="E423">
        <f>VLOOKUP(A423,Ucto_HK_summ!$A$2:$K$965,8,FALSE)</f>
        <v>9395.74</v>
      </c>
    </row>
    <row r="424" spans="1:5">
      <c r="A424" s="578" t="s">
        <v>1884</v>
      </c>
      <c r="B424" s="578" t="s">
        <v>1885</v>
      </c>
      <c r="C424">
        <v>0</v>
      </c>
      <c r="D424">
        <v>185.81</v>
      </c>
      <c r="E424">
        <f>VLOOKUP(A424,Ucto_HK_summ!$A$2:$K$965,8,FALSE)</f>
        <v>1612.47</v>
      </c>
    </row>
    <row r="425" spans="1:5">
      <c r="A425" s="578" t="s">
        <v>1886</v>
      </c>
      <c r="B425" s="578" t="s">
        <v>1887</v>
      </c>
      <c r="C425">
        <v>0</v>
      </c>
      <c r="D425">
        <v>966.59</v>
      </c>
      <c r="E425">
        <f>VLOOKUP(A425,Ucto_HK_summ!$A$2:$K$965,8,FALSE)</f>
        <v>29064.23</v>
      </c>
    </row>
    <row r="426" spans="1:5">
      <c r="A426" s="578" t="s">
        <v>803</v>
      </c>
      <c r="C426">
        <v>0</v>
      </c>
      <c r="D426" s="513">
        <v>44741909.18</v>
      </c>
      <c r="E426">
        <f>VLOOKUP(A426,Ucto_HK_summ!$A$2:$K$965,8,FALSE)</f>
        <v>52289414.030000001</v>
      </c>
    </row>
    <row r="427" spans="1:5">
      <c r="A427" s="578" t="s">
        <v>1888</v>
      </c>
      <c r="B427" s="578" t="s">
        <v>1889</v>
      </c>
      <c r="C427">
        <v>0</v>
      </c>
      <c r="D427" s="513">
        <v>1061691.76</v>
      </c>
      <c r="E427">
        <f>VLOOKUP(A427,Ucto_HK_summ!$A$2:$K$965,8,FALSE)</f>
        <v>1269574.6200000001</v>
      </c>
    </row>
    <row r="428" spans="1:5">
      <c r="A428" s="578" t="s">
        <v>1890</v>
      </c>
      <c r="B428" s="578" t="s">
        <v>1891</v>
      </c>
      <c r="C428">
        <v>0</v>
      </c>
      <c r="D428" s="513">
        <v>594610.52</v>
      </c>
      <c r="E428">
        <f>VLOOKUP(A428,Ucto_HK_summ!$A$2:$K$965,8,FALSE)</f>
        <v>740398.32</v>
      </c>
    </row>
    <row r="429" spans="1:5">
      <c r="A429" s="578" t="s">
        <v>1892</v>
      </c>
      <c r="B429" s="578" t="s">
        <v>1893</v>
      </c>
      <c r="C429">
        <v>0</v>
      </c>
      <c r="D429" s="513">
        <v>277573.46000000002</v>
      </c>
      <c r="E429">
        <f>VLOOKUP(A429,Ucto_HK_summ!$A$2:$K$965,8,FALSE)</f>
        <v>338659</v>
      </c>
    </row>
    <row r="430" spans="1:5">
      <c r="A430" s="578" t="s">
        <v>1894</v>
      </c>
      <c r="B430" s="578" t="s">
        <v>1895</v>
      </c>
      <c r="C430">
        <v>0</v>
      </c>
      <c r="D430" s="513">
        <v>1226045.8400000001</v>
      </c>
      <c r="E430">
        <f>VLOOKUP(A430,Ucto_HK_summ!$A$2:$K$965,8,FALSE)</f>
        <v>1696497.97</v>
      </c>
    </row>
    <row r="431" spans="1:5">
      <c r="A431" s="578" t="s">
        <v>1896</v>
      </c>
      <c r="B431" s="578" t="s">
        <v>1897</v>
      </c>
      <c r="C431">
        <v>0</v>
      </c>
      <c r="D431" s="513">
        <v>3348.74</v>
      </c>
      <c r="E431">
        <f>VLOOKUP(A431,Ucto_HK_summ!$A$2:$K$965,8,FALSE)</f>
        <v>3990.13</v>
      </c>
    </row>
    <row r="432" spans="1:5">
      <c r="A432" s="578" t="s">
        <v>1898</v>
      </c>
      <c r="B432" s="578" t="s">
        <v>1899</v>
      </c>
      <c r="C432">
        <v>0</v>
      </c>
      <c r="D432" s="513">
        <v>5746.08</v>
      </c>
      <c r="E432">
        <f>VLOOKUP(A432,Ucto_HK_summ!$A$2:$K$965,8,FALSE)</f>
        <v>7158</v>
      </c>
    </row>
    <row r="433" spans="1:5">
      <c r="A433" s="578" t="s">
        <v>1900</v>
      </c>
      <c r="B433" s="578" t="s">
        <v>1901</v>
      </c>
      <c r="C433">
        <v>0</v>
      </c>
      <c r="D433" s="513">
        <v>10056.77</v>
      </c>
      <c r="E433">
        <f>VLOOKUP(A433,Ucto_HK_summ!$A$2:$K$965,8,FALSE)</f>
        <v>12480.4</v>
      </c>
    </row>
    <row r="434" spans="1:5">
      <c r="A434" s="578" t="s">
        <v>1902</v>
      </c>
      <c r="B434" s="578" t="s">
        <v>1903</v>
      </c>
      <c r="C434">
        <v>0</v>
      </c>
      <c r="D434" s="513">
        <v>5310.13</v>
      </c>
      <c r="E434">
        <f>VLOOKUP(A434,Ucto_HK_summ!$A$2:$K$965,8,FALSE)</f>
        <v>7439.66</v>
      </c>
    </row>
    <row r="435" spans="1:5">
      <c r="A435" s="578" t="s">
        <v>804</v>
      </c>
      <c r="C435">
        <v>0</v>
      </c>
      <c r="D435" s="513">
        <v>3184383.3</v>
      </c>
      <c r="E435">
        <f>VLOOKUP(A435,Ucto_HK_summ!$A$2:$K$965,8,FALSE)</f>
        <v>4076198.1</v>
      </c>
    </row>
    <row r="436" spans="1:5">
      <c r="A436" s="578" t="s">
        <v>1904</v>
      </c>
      <c r="B436" s="578" t="s">
        <v>1905</v>
      </c>
      <c r="C436">
        <v>0</v>
      </c>
      <c r="D436" s="513">
        <v>2087829.95</v>
      </c>
      <c r="E436">
        <f>VLOOKUP(A436,Ucto_HK_summ!$A$2:$K$965,8,FALSE)</f>
        <v>2709305.78</v>
      </c>
    </row>
    <row r="437" spans="1:5">
      <c r="A437" s="578" t="s">
        <v>1906</v>
      </c>
      <c r="B437" s="578" t="s">
        <v>1907</v>
      </c>
      <c r="C437">
        <v>0</v>
      </c>
      <c r="D437" s="513">
        <v>45824.74</v>
      </c>
      <c r="E437">
        <f>VLOOKUP(A437,Ucto_HK_summ!$A$2:$K$965,8,FALSE)</f>
        <v>57746.46</v>
      </c>
    </row>
    <row r="438" spans="1:5">
      <c r="A438" s="578" t="s">
        <v>1908</v>
      </c>
      <c r="B438" s="578" t="s">
        <v>1909</v>
      </c>
      <c r="C438">
        <v>0</v>
      </c>
      <c r="D438" s="513">
        <v>84203.520000000004</v>
      </c>
      <c r="E438">
        <f>VLOOKUP(A438,Ucto_HK_summ!$A$2:$K$965,8,FALSE)</f>
        <v>108224.23</v>
      </c>
    </row>
    <row r="439" spans="1:5">
      <c r="A439" s="578" t="s">
        <v>1910</v>
      </c>
      <c r="C439">
        <v>0</v>
      </c>
      <c r="D439" s="513">
        <v>2217858.21</v>
      </c>
      <c r="E439">
        <f>VLOOKUP(A439,Ucto_HK_summ!$A$2:$K$965,8,FALSE)</f>
        <v>2875276.47</v>
      </c>
    </row>
    <row r="440" spans="1:5">
      <c r="A440" s="577" t="s">
        <v>1911</v>
      </c>
      <c r="C440" s="369">
        <v>0</v>
      </c>
      <c r="D440" s="579">
        <v>50144150.689999998</v>
      </c>
      <c r="E440">
        <f>VLOOKUP(A440,Ucto_HK_summ!$A$2:$K$965,8,FALSE)</f>
        <v>59240888.600000001</v>
      </c>
    </row>
    <row r="442" spans="1:5">
      <c r="A442" s="578" t="s">
        <v>1912</v>
      </c>
      <c r="B442" s="578" t="s">
        <v>1913</v>
      </c>
      <c r="C442">
        <v>0</v>
      </c>
      <c r="D442" s="513">
        <v>805209.68</v>
      </c>
      <c r="E442">
        <f>VLOOKUP(A442,Ucto_HK_summ!$A$2:$K$965,8,FALSE)</f>
        <v>952677.78</v>
      </c>
    </row>
    <row r="443" spans="1:5">
      <c r="A443" s="578" t="s">
        <v>1914</v>
      </c>
      <c r="B443" s="578" t="s">
        <v>1915</v>
      </c>
      <c r="C443">
        <v>0</v>
      </c>
      <c r="D443" s="513">
        <v>320061.17</v>
      </c>
      <c r="E443">
        <f>VLOOKUP(A443,Ucto_HK_summ!$A$2:$K$965,8,FALSE)</f>
        <v>386387.5</v>
      </c>
    </row>
    <row r="444" spans="1:5">
      <c r="A444" s="578" t="s">
        <v>1916</v>
      </c>
      <c r="B444" s="578" t="s">
        <v>1917</v>
      </c>
      <c r="C444">
        <v>0</v>
      </c>
      <c r="D444" s="513">
        <v>217920.02</v>
      </c>
      <c r="E444">
        <f>VLOOKUP(A444,Ucto_HK_summ!$A$2:$K$965,8,FALSE)</f>
        <v>296231.32</v>
      </c>
    </row>
    <row r="445" spans="1:5">
      <c r="A445" s="578" t="s">
        <v>1918</v>
      </c>
      <c r="B445" s="578" t="s">
        <v>1919</v>
      </c>
      <c r="C445">
        <v>0</v>
      </c>
      <c r="D445" s="513">
        <v>151977.47</v>
      </c>
      <c r="E445">
        <f>VLOOKUP(A445,Ucto_HK_summ!$A$2:$K$965,8,FALSE)</f>
        <v>186982.85</v>
      </c>
    </row>
    <row r="446" spans="1:5">
      <c r="A446" s="578" t="s">
        <v>2709</v>
      </c>
      <c r="B446" s="578" t="s">
        <v>2710</v>
      </c>
      <c r="C446">
        <v>0</v>
      </c>
      <c r="D446" s="513">
        <v>21187.439999999999</v>
      </c>
      <c r="E446">
        <f>VLOOKUP(A446,Ucto_HK_summ!$A$2:$K$965,8,FALSE)</f>
        <v>41569.9</v>
      </c>
    </row>
    <row r="447" spans="1:5">
      <c r="A447" s="578" t="s">
        <v>1920</v>
      </c>
      <c r="B447" s="578" t="s">
        <v>1921</v>
      </c>
      <c r="C447">
        <v>0</v>
      </c>
      <c r="D447" s="513">
        <v>31069.15</v>
      </c>
      <c r="E447">
        <f>VLOOKUP(A447,Ucto_HK_summ!$A$2:$K$965,8,FALSE)</f>
        <v>98976.61</v>
      </c>
    </row>
    <row r="448" spans="1:5">
      <c r="A448" s="578" t="s">
        <v>1922</v>
      </c>
      <c r="B448" s="578" t="s">
        <v>1923</v>
      </c>
      <c r="C448">
        <v>0</v>
      </c>
      <c r="D448" s="513">
        <v>29085.19</v>
      </c>
      <c r="E448">
        <f>VLOOKUP(A448,Ucto_HK_summ!$A$2:$K$965,8,FALSE)</f>
        <v>34140.51</v>
      </c>
    </row>
    <row r="449" spans="1:5">
      <c r="A449" s="578" t="s">
        <v>1924</v>
      </c>
      <c r="B449" s="578" t="s">
        <v>1925</v>
      </c>
      <c r="C449">
        <v>0</v>
      </c>
      <c r="D449" s="550">
        <v>14508</v>
      </c>
      <c r="E449">
        <f>VLOOKUP(A449,Ucto_HK_summ!$A$2:$K$965,8,FALSE)</f>
        <v>24180</v>
      </c>
    </row>
    <row r="450" spans="1:5">
      <c r="A450" s="578" t="s">
        <v>1926</v>
      </c>
      <c r="B450" s="578" t="s">
        <v>1927</v>
      </c>
      <c r="C450">
        <v>0</v>
      </c>
      <c r="D450" s="513">
        <v>8357.23</v>
      </c>
      <c r="E450">
        <f>VLOOKUP(A450,Ucto_HK_summ!$A$2:$K$965,8,FALSE)</f>
        <v>8357.23</v>
      </c>
    </row>
    <row r="451" spans="1:5">
      <c r="A451" s="578" t="s">
        <v>2663</v>
      </c>
      <c r="B451" s="578" t="s">
        <v>2664</v>
      </c>
      <c r="C451">
        <v>0</v>
      </c>
      <c r="D451">
        <v>6.42</v>
      </c>
      <c r="E451">
        <f>VLOOKUP(A451,Ucto_HK_summ!$A$2:$K$965,8,FALSE)</f>
        <v>202.42</v>
      </c>
    </row>
    <row r="452" spans="1:5">
      <c r="A452" s="578" t="s">
        <v>811</v>
      </c>
      <c r="C452">
        <v>0</v>
      </c>
      <c r="D452" s="513">
        <v>1599381.77</v>
      </c>
      <c r="E452">
        <f>VLOOKUP(A452,Ucto_HK_summ!$A$2:$K$965,8,FALSE)</f>
        <v>2029706.12</v>
      </c>
    </row>
    <row r="453" spans="1:5">
      <c r="A453" s="578" t="s">
        <v>1930</v>
      </c>
      <c r="B453" s="578" t="s">
        <v>1931</v>
      </c>
      <c r="C453">
        <v>0</v>
      </c>
      <c r="D453">
        <v>821.7</v>
      </c>
      <c r="E453">
        <f>VLOOKUP(A453,Ucto_HK_summ!$A$2:$K$965,8,FALSE)</f>
        <v>1031.7</v>
      </c>
    </row>
    <row r="454" spans="1:5">
      <c r="A454" s="578" t="s">
        <v>1932</v>
      </c>
      <c r="B454" s="578" t="s">
        <v>1933</v>
      </c>
      <c r="C454">
        <v>0</v>
      </c>
      <c r="D454" s="513">
        <v>1837.9</v>
      </c>
      <c r="E454">
        <f>VLOOKUP(A454,Ucto_HK_summ!$A$2:$K$965,8,FALSE)</f>
        <v>3213.5</v>
      </c>
    </row>
    <row r="455" spans="1:5">
      <c r="A455" s="578" t="s">
        <v>1934</v>
      </c>
      <c r="B455" s="578" t="s">
        <v>1935</v>
      </c>
      <c r="C455">
        <v>0</v>
      </c>
      <c r="D455">
        <v>514.08000000000004</v>
      </c>
      <c r="E455">
        <f>VLOOKUP(A455,Ucto_HK_summ!$A$2:$K$965,8,FALSE)</f>
        <v>601.08000000000004</v>
      </c>
    </row>
    <row r="456" spans="1:5">
      <c r="A456" s="578" t="s">
        <v>2667</v>
      </c>
      <c r="B456" s="578" t="s">
        <v>1931</v>
      </c>
      <c r="C456">
        <v>0</v>
      </c>
      <c r="D456">
        <v>76.75</v>
      </c>
      <c r="E456">
        <f>VLOOKUP(A456,Ucto_HK_summ!$A$2:$K$965,8,FALSE)</f>
        <v>76.75</v>
      </c>
    </row>
    <row r="457" spans="1:5">
      <c r="A457" s="578" t="s">
        <v>2668</v>
      </c>
      <c r="B457" s="578" t="s">
        <v>1933</v>
      </c>
      <c r="C457">
        <v>0</v>
      </c>
      <c r="D457">
        <v>185.88</v>
      </c>
      <c r="E457">
        <f>VLOOKUP(A457,Ucto_HK_summ!$A$2:$K$965,8,FALSE)</f>
        <v>185.88</v>
      </c>
    </row>
    <row r="458" spans="1:5">
      <c r="A458" s="578" t="s">
        <v>812</v>
      </c>
      <c r="C458">
        <v>0</v>
      </c>
      <c r="D458" s="513">
        <v>3436.31</v>
      </c>
      <c r="E458">
        <f>VLOOKUP(A458,Ucto_HK_summ!$A$2:$K$965,8,FALSE)</f>
        <v>5108.91</v>
      </c>
    </row>
    <row r="459" spans="1:5">
      <c r="A459" s="578" t="s">
        <v>1936</v>
      </c>
      <c r="B459" s="578" t="s">
        <v>814</v>
      </c>
      <c r="C459">
        <v>0</v>
      </c>
      <c r="D459" s="513">
        <v>17117.28</v>
      </c>
      <c r="E459">
        <f>VLOOKUP(A459,Ucto_HK_summ!$A$2:$K$965,8,FALSE)</f>
        <v>21006.36</v>
      </c>
    </row>
    <row r="460" spans="1:5">
      <c r="A460" s="578" t="s">
        <v>813</v>
      </c>
      <c r="C460">
        <v>0</v>
      </c>
      <c r="D460" s="513">
        <v>17117.28</v>
      </c>
      <c r="E460">
        <f>VLOOKUP(A460,Ucto_HK_summ!$A$2:$K$965,8,FALSE)</f>
        <v>21006.36</v>
      </c>
    </row>
    <row r="461" spans="1:5">
      <c r="A461" s="578" t="s">
        <v>1937</v>
      </c>
      <c r="B461" s="578" t="s">
        <v>1938</v>
      </c>
      <c r="C461">
        <v>0</v>
      </c>
      <c r="D461" s="513">
        <v>4288.25</v>
      </c>
      <c r="E461">
        <f>VLOOKUP(A461,Ucto_HK_summ!$A$2:$K$965,8,FALSE)</f>
        <v>5583.61</v>
      </c>
    </row>
    <row r="462" spans="1:5">
      <c r="A462" s="578" t="s">
        <v>1939</v>
      </c>
      <c r="B462" s="578" t="s">
        <v>1940</v>
      </c>
      <c r="C462">
        <v>0</v>
      </c>
      <c r="D462">
        <v>486.35</v>
      </c>
      <c r="E462">
        <f>VLOOKUP(A462,Ucto_HK_summ!$A$2:$K$965,8,FALSE)</f>
        <v>919.42</v>
      </c>
    </row>
    <row r="463" spans="1:5">
      <c r="A463" s="578" t="s">
        <v>1941</v>
      </c>
      <c r="B463" s="578" t="s">
        <v>1942</v>
      </c>
      <c r="C463">
        <v>0</v>
      </c>
      <c r="D463" s="513">
        <v>21907.58</v>
      </c>
      <c r="E463">
        <f>VLOOKUP(A463,Ucto_HK_summ!$A$2:$K$965,8,FALSE)</f>
        <v>24554.68</v>
      </c>
    </row>
    <row r="464" spans="1:5">
      <c r="A464" s="578" t="s">
        <v>1943</v>
      </c>
      <c r="B464" s="578" t="s">
        <v>1944</v>
      </c>
      <c r="C464">
        <v>0</v>
      </c>
      <c r="D464" s="513">
        <v>1345982.57</v>
      </c>
      <c r="E464">
        <f>VLOOKUP(A464,Ucto_HK_summ!$A$2:$K$965,8,FALSE)</f>
        <v>1351967.9</v>
      </c>
    </row>
    <row r="465" spans="1:5">
      <c r="A465" s="578" t="s">
        <v>2789</v>
      </c>
      <c r="B465" s="578" t="s">
        <v>2790</v>
      </c>
      <c r="C465">
        <v>0</v>
      </c>
      <c r="D465" s="513">
        <v>139972.85</v>
      </c>
      <c r="E465">
        <f>VLOOKUP(A465,Ucto_HK_summ!$A$2:$K$965,8,FALSE)</f>
        <v>204666.7</v>
      </c>
    </row>
    <row r="466" spans="1:5">
      <c r="A466" s="578" t="s">
        <v>1945</v>
      </c>
      <c r="B466" s="578" t="s">
        <v>1946</v>
      </c>
      <c r="C466">
        <v>0</v>
      </c>
      <c r="D466" s="513">
        <v>304086.71000000002</v>
      </c>
      <c r="E466">
        <f>VLOOKUP(A466,Ucto_HK_summ!$A$2:$K$965,8,FALSE)</f>
        <v>372201.38</v>
      </c>
    </row>
    <row r="467" spans="1:5">
      <c r="A467" s="578" t="s">
        <v>1947</v>
      </c>
      <c r="B467" s="578" t="s">
        <v>1948</v>
      </c>
      <c r="C467">
        <v>0</v>
      </c>
      <c r="D467" s="513">
        <v>2183.54</v>
      </c>
      <c r="E467">
        <f>VLOOKUP(A467,Ucto_HK_summ!$A$2:$K$965,8,FALSE)</f>
        <v>7029.84</v>
      </c>
    </row>
    <row r="468" spans="1:5">
      <c r="A468" s="578" t="s">
        <v>1949</v>
      </c>
      <c r="B468" s="578" t="s">
        <v>1950</v>
      </c>
      <c r="C468">
        <v>0</v>
      </c>
      <c r="D468" s="513">
        <v>16719.36</v>
      </c>
      <c r="E468">
        <f>VLOOKUP(A468,Ucto_HK_summ!$A$2:$K$965,8,FALSE)</f>
        <v>41168.160000000003</v>
      </c>
    </row>
    <row r="469" spans="1:5">
      <c r="A469" s="578" t="s">
        <v>1951</v>
      </c>
      <c r="B469" s="578" t="s">
        <v>1952</v>
      </c>
      <c r="C469">
        <v>0</v>
      </c>
      <c r="D469" s="513">
        <v>323317.28000000003</v>
      </c>
      <c r="E469">
        <f>VLOOKUP(A469,Ucto_HK_summ!$A$2:$K$965,8,FALSE)</f>
        <v>393083.34</v>
      </c>
    </row>
    <row r="470" spans="1:5">
      <c r="A470" s="578" t="s">
        <v>1953</v>
      </c>
      <c r="B470" s="578" t="s">
        <v>1954</v>
      </c>
      <c r="C470">
        <v>0</v>
      </c>
      <c r="D470" s="513">
        <v>56973.23</v>
      </c>
      <c r="E470">
        <f>VLOOKUP(A470,Ucto_HK_summ!$A$2:$K$965,8,FALSE)</f>
        <v>103534.33</v>
      </c>
    </row>
    <row r="471" spans="1:5">
      <c r="A471" s="578" t="s">
        <v>1955</v>
      </c>
      <c r="B471" s="578" t="s">
        <v>1956</v>
      </c>
      <c r="C471">
        <v>0</v>
      </c>
      <c r="D471">
        <v>991.77</v>
      </c>
      <c r="E471">
        <f>VLOOKUP(A471,Ucto_HK_summ!$A$2:$K$965,8,FALSE)</f>
        <v>991.77</v>
      </c>
    </row>
    <row r="472" spans="1:5">
      <c r="A472" s="578" t="s">
        <v>1957</v>
      </c>
      <c r="B472" s="578" t="s">
        <v>1958</v>
      </c>
      <c r="C472">
        <v>0</v>
      </c>
      <c r="D472" s="513">
        <v>39993.49</v>
      </c>
      <c r="E472">
        <f>VLOOKUP(A472,Ucto_HK_summ!$A$2:$K$965,8,FALSE)</f>
        <v>44809.49</v>
      </c>
    </row>
    <row r="473" spans="1:5">
      <c r="A473" s="578" t="s">
        <v>1959</v>
      </c>
      <c r="B473" s="578" t="s">
        <v>1960</v>
      </c>
      <c r="C473">
        <v>0</v>
      </c>
      <c r="D473" s="550">
        <v>58668</v>
      </c>
      <c r="E473">
        <f>VLOOKUP(A473,Ucto_HK_summ!$A$2:$K$965,8,FALSE)</f>
        <v>62037.599999999999</v>
      </c>
    </row>
    <row r="474" spans="1:5">
      <c r="A474" s="578" t="s">
        <v>2671</v>
      </c>
      <c r="B474" s="578" t="s">
        <v>2672</v>
      </c>
      <c r="C474">
        <v>0</v>
      </c>
      <c r="D474" s="550">
        <v>2250</v>
      </c>
      <c r="E474">
        <f>VLOOKUP(A474,Ucto_HK_summ!$A$2:$K$965,8,FALSE)</f>
        <v>6550</v>
      </c>
    </row>
    <row r="475" spans="1:5">
      <c r="A475" s="578" t="s">
        <v>1961</v>
      </c>
      <c r="B475" s="578" t="s">
        <v>1962</v>
      </c>
      <c r="C475">
        <v>0</v>
      </c>
      <c r="D475">
        <v>400</v>
      </c>
      <c r="E475">
        <f>VLOOKUP(A475,Ucto_HK_summ!$A$2:$K$965,8,FALSE)</f>
        <v>400</v>
      </c>
    </row>
    <row r="476" spans="1:5">
      <c r="A476" s="578" t="s">
        <v>1967</v>
      </c>
      <c r="B476" s="578" t="s">
        <v>1968</v>
      </c>
      <c r="C476">
        <v>0</v>
      </c>
      <c r="D476" s="513">
        <v>124310.79</v>
      </c>
      <c r="E476">
        <f>VLOOKUP(A476,Ucto_HK_summ!$A$2:$K$965,8,FALSE)</f>
        <v>152487.07</v>
      </c>
    </row>
    <row r="477" spans="1:5">
      <c r="A477" s="578" t="s">
        <v>1969</v>
      </c>
      <c r="B477" s="578" t="s">
        <v>1970</v>
      </c>
      <c r="C477">
        <v>0</v>
      </c>
      <c r="D477" s="513">
        <v>12399.76</v>
      </c>
      <c r="E477">
        <f>VLOOKUP(A477,Ucto_HK_summ!$A$2:$K$965,8,FALSE)</f>
        <v>18501.07</v>
      </c>
    </row>
    <row r="478" spans="1:5">
      <c r="A478" s="578" t="s">
        <v>1971</v>
      </c>
      <c r="B478" s="578" t="s">
        <v>1972</v>
      </c>
      <c r="C478">
        <v>0</v>
      </c>
      <c r="D478" s="513">
        <v>343145.61</v>
      </c>
      <c r="E478">
        <f>VLOOKUP(A478,Ucto_HK_summ!$A$2:$K$965,8,FALSE)</f>
        <v>403414.99</v>
      </c>
    </row>
    <row r="479" spans="1:5">
      <c r="A479" s="578" t="s">
        <v>1973</v>
      </c>
      <c r="B479" s="578" t="s">
        <v>229</v>
      </c>
      <c r="C479">
        <v>0</v>
      </c>
      <c r="D479" s="513">
        <v>31885.87</v>
      </c>
      <c r="E479">
        <f>VLOOKUP(A479,Ucto_HK_summ!$A$2:$K$965,8,FALSE)</f>
        <v>38510.17</v>
      </c>
    </row>
    <row r="480" spans="1:5">
      <c r="A480" s="578" t="s">
        <v>1974</v>
      </c>
      <c r="B480" s="578" t="s">
        <v>230</v>
      </c>
      <c r="C480">
        <v>0</v>
      </c>
      <c r="D480" s="513">
        <v>46155.86</v>
      </c>
      <c r="E480">
        <f>VLOOKUP(A480,Ucto_HK_summ!$A$2:$K$965,8,FALSE)</f>
        <v>55451.68</v>
      </c>
    </row>
    <row r="481" spans="1:5">
      <c r="A481" s="578" t="s">
        <v>1975</v>
      </c>
      <c r="B481" s="578" t="s">
        <v>1976</v>
      </c>
      <c r="C481">
        <v>0</v>
      </c>
      <c r="D481" s="513">
        <v>48555.14</v>
      </c>
      <c r="E481">
        <f>VLOOKUP(A481,Ucto_HK_summ!$A$2:$K$965,8,FALSE)</f>
        <v>57899.37</v>
      </c>
    </row>
    <row r="482" spans="1:5">
      <c r="A482" s="578" t="s">
        <v>1977</v>
      </c>
      <c r="B482" s="578" t="s">
        <v>1978</v>
      </c>
      <c r="C482">
        <v>0</v>
      </c>
      <c r="D482" s="513">
        <v>5545.16</v>
      </c>
      <c r="E482">
        <f>VLOOKUP(A482,Ucto_HK_summ!$A$2:$K$965,8,FALSE)</f>
        <v>8309.9699999999993</v>
      </c>
    </row>
    <row r="483" spans="1:5">
      <c r="A483" s="578" t="s">
        <v>1979</v>
      </c>
      <c r="B483" s="578" t="s">
        <v>1980</v>
      </c>
      <c r="C483">
        <v>0</v>
      </c>
      <c r="D483" s="513">
        <v>76013.100000000006</v>
      </c>
      <c r="E483">
        <f>VLOOKUP(A483,Ucto_HK_summ!$A$2:$K$965,8,FALSE)</f>
        <v>109864.44</v>
      </c>
    </row>
    <row r="484" spans="1:5">
      <c r="A484" s="578" t="s">
        <v>1981</v>
      </c>
      <c r="B484" s="578" t="s">
        <v>1982</v>
      </c>
      <c r="C484">
        <v>0</v>
      </c>
      <c r="D484" s="513">
        <v>20907.36</v>
      </c>
      <c r="E484">
        <f>VLOOKUP(A484,Ucto_HK_summ!$A$2:$K$965,8,FALSE)</f>
        <v>28731.71</v>
      </c>
    </row>
    <row r="485" spans="1:5">
      <c r="A485" s="578" t="s">
        <v>1983</v>
      </c>
      <c r="B485" s="578" t="s">
        <v>1984</v>
      </c>
      <c r="C485">
        <v>0</v>
      </c>
      <c r="D485" s="513">
        <v>18253.509999999998</v>
      </c>
      <c r="E485">
        <f>VLOOKUP(A485,Ucto_HK_summ!$A$2:$K$965,8,FALSE)</f>
        <v>25693.83</v>
      </c>
    </row>
    <row r="486" spans="1:5">
      <c r="A486" s="578" t="s">
        <v>1985</v>
      </c>
      <c r="B486" s="578" t="s">
        <v>1986</v>
      </c>
      <c r="C486">
        <v>0</v>
      </c>
      <c r="D486" s="513">
        <v>27431.79</v>
      </c>
      <c r="E486">
        <f>VLOOKUP(A486,Ucto_HK_summ!$A$2:$K$965,8,FALSE)</f>
        <v>34540.589999999997</v>
      </c>
    </row>
    <row r="487" spans="1:5">
      <c r="A487" s="578" t="s">
        <v>1987</v>
      </c>
      <c r="B487" s="578" t="s">
        <v>1988</v>
      </c>
      <c r="C487">
        <v>0</v>
      </c>
      <c r="D487" s="513">
        <v>128654.82</v>
      </c>
      <c r="E487">
        <f>VLOOKUP(A487,Ucto_HK_summ!$A$2:$K$965,8,FALSE)</f>
        <v>11885.96</v>
      </c>
    </row>
    <row r="488" spans="1:5">
      <c r="A488" s="578" t="s">
        <v>1989</v>
      </c>
      <c r="B488" s="578" t="s">
        <v>1990</v>
      </c>
      <c r="C488">
        <v>0</v>
      </c>
      <c r="D488" s="513">
        <v>9538.7900000000009</v>
      </c>
      <c r="E488">
        <f>VLOOKUP(A488,Ucto_HK_summ!$A$2:$K$965,8,FALSE)</f>
        <v>9538.7900000000009</v>
      </c>
    </row>
    <row r="489" spans="1:5">
      <c r="A489" s="578" t="s">
        <v>1993</v>
      </c>
      <c r="B489" s="578" t="s">
        <v>1994</v>
      </c>
      <c r="C489">
        <v>0</v>
      </c>
      <c r="D489">
        <v>11.78</v>
      </c>
      <c r="E489">
        <f>VLOOKUP(A489,Ucto_HK_summ!$A$2:$K$965,8,FALSE)</f>
        <v>11.78</v>
      </c>
    </row>
    <row r="490" spans="1:5">
      <c r="A490" s="578" t="s">
        <v>1995</v>
      </c>
      <c r="B490" s="578" t="s">
        <v>1996</v>
      </c>
      <c r="C490">
        <v>0</v>
      </c>
      <c r="D490">
        <v>271.64</v>
      </c>
      <c r="E490">
        <f>VLOOKUP(A490,Ucto_HK_summ!$A$2:$K$965,8,FALSE)</f>
        <v>412.91</v>
      </c>
    </row>
    <row r="491" spans="1:5">
      <c r="A491" s="578" t="s">
        <v>1997</v>
      </c>
      <c r="B491" s="578" t="s">
        <v>1998</v>
      </c>
      <c r="C491">
        <v>0</v>
      </c>
      <c r="D491" s="550">
        <v>2165</v>
      </c>
      <c r="E491">
        <f>VLOOKUP(A491,Ucto_HK_summ!$A$2:$K$965,8,FALSE)</f>
        <v>7513</v>
      </c>
    </row>
    <row r="492" spans="1:5">
      <c r="A492" s="578" t="s">
        <v>815</v>
      </c>
      <c r="C492">
        <v>0</v>
      </c>
      <c r="D492" s="513">
        <v>3213466.96</v>
      </c>
      <c r="E492">
        <f>VLOOKUP(A492,Ucto_HK_summ!$A$2:$K$965,8,FALSE)</f>
        <v>3584285.09</v>
      </c>
    </row>
    <row r="493" spans="1:5">
      <c r="A493" s="577" t="s">
        <v>1999</v>
      </c>
      <c r="C493" s="369">
        <v>0</v>
      </c>
      <c r="D493" s="579">
        <v>4833402.32</v>
      </c>
      <c r="E493">
        <f>VLOOKUP(A493,Ucto_HK_summ!$A$2:$K$965,8,FALSE)</f>
        <v>5640106.4800000004</v>
      </c>
    </row>
    <row r="495" spans="1:5">
      <c r="A495" s="578" t="s">
        <v>2000</v>
      </c>
      <c r="B495" s="578" t="s">
        <v>2001</v>
      </c>
      <c r="C495">
        <v>0</v>
      </c>
      <c r="D495" s="513">
        <v>22005162.640000001</v>
      </c>
      <c r="E495">
        <f>VLOOKUP(A495,Ucto_HK_summ!$A$2:$K$965,8,FALSE)</f>
        <v>27274560.879999999</v>
      </c>
    </row>
    <row r="496" spans="1:5">
      <c r="A496" s="578" t="s">
        <v>2002</v>
      </c>
      <c r="B496" s="578" t="s">
        <v>2003</v>
      </c>
      <c r="C496">
        <v>0</v>
      </c>
      <c r="D496" s="513">
        <v>8380753.04</v>
      </c>
      <c r="E496">
        <f>VLOOKUP(A496,Ucto_HK_summ!$A$2:$K$965,8,FALSE)</f>
        <v>10540950.689999999</v>
      </c>
    </row>
    <row r="497" spans="1:5">
      <c r="A497" s="578" t="s">
        <v>2004</v>
      </c>
      <c r="B497" s="578" t="s">
        <v>2005</v>
      </c>
      <c r="C497">
        <v>0</v>
      </c>
      <c r="D497" s="513">
        <v>8478931.8900000006</v>
      </c>
      <c r="E497">
        <f>VLOOKUP(A497,Ucto_HK_summ!$A$2:$K$965,8,FALSE)</f>
        <v>10694120.82</v>
      </c>
    </row>
    <row r="498" spans="1:5">
      <c r="A498" s="578" t="s">
        <v>2006</v>
      </c>
      <c r="B498" s="578" t="s">
        <v>2007</v>
      </c>
      <c r="C498">
        <v>0</v>
      </c>
      <c r="D498" s="513">
        <v>19915141.600000001</v>
      </c>
      <c r="E498">
        <f>VLOOKUP(A498,Ucto_HK_summ!$A$2:$K$965,8,FALSE)</f>
        <v>25070441.73</v>
      </c>
    </row>
    <row r="499" spans="1:5">
      <c r="A499" s="578" t="s">
        <v>2008</v>
      </c>
      <c r="B499" s="578" t="s">
        <v>2009</v>
      </c>
      <c r="C499">
        <v>0</v>
      </c>
      <c r="D499" s="513">
        <v>3387080.27</v>
      </c>
      <c r="E499">
        <f>VLOOKUP(A499,Ucto_HK_summ!$A$2:$K$965,8,FALSE)</f>
        <v>4308093.1100000003</v>
      </c>
    </row>
    <row r="500" spans="1:5">
      <c r="A500" s="578" t="s">
        <v>2010</v>
      </c>
      <c r="B500" s="578" t="s">
        <v>2011</v>
      </c>
      <c r="C500">
        <v>0</v>
      </c>
      <c r="D500" s="513">
        <v>44759.3</v>
      </c>
      <c r="E500">
        <f>VLOOKUP(A500,Ucto_HK_summ!$A$2:$K$965,8,FALSE)</f>
        <v>50193.3</v>
      </c>
    </row>
    <row r="501" spans="1:5">
      <c r="A501" s="578" t="s">
        <v>2012</v>
      </c>
      <c r="B501" s="578" t="s">
        <v>2013</v>
      </c>
      <c r="C501">
        <v>0</v>
      </c>
      <c r="D501" s="550">
        <v>5791</v>
      </c>
      <c r="E501">
        <f>VLOOKUP(A501,Ucto_HK_summ!$A$2:$K$965,8,FALSE)</f>
        <v>6732.57</v>
      </c>
    </row>
    <row r="502" spans="1:5">
      <c r="A502" s="578" t="s">
        <v>2014</v>
      </c>
      <c r="B502" s="578" t="s">
        <v>2015</v>
      </c>
      <c r="C502">
        <v>0</v>
      </c>
      <c r="D502" s="513">
        <v>446539.73</v>
      </c>
      <c r="E502">
        <f>VLOOKUP(A502,Ucto_HK_summ!$A$2:$K$965,8,FALSE)</f>
        <v>604706.76</v>
      </c>
    </row>
    <row r="503" spans="1:5">
      <c r="A503" s="578" t="s">
        <v>2791</v>
      </c>
      <c r="B503" s="578" t="s">
        <v>2792</v>
      </c>
      <c r="C503">
        <v>0</v>
      </c>
      <c r="D503" s="513">
        <v>1771.35</v>
      </c>
      <c r="E503">
        <f>VLOOKUP(A503,Ucto_HK_summ!$A$2:$K$965,8,FALSE)</f>
        <v>1792.65</v>
      </c>
    </row>
    <row r="504" spans="1:5">
      <c r="A504" s="578" t="s">
        <v>2793</v>
      </c>
      <c r="B504" s="578" t="s">
        <v>2794</v>
      </c>
      <c r="C504">
        <v>0</v>
      </c>
      <c r="D504" s="513">
        <v>2556.5100000000002</v>
      </c>
      <c r="E504">
        <f>VLOOKUP(A504,Ucto_HK_summ!$A$2:$K$965,8,FALSE)</f>
        <v>3067.64</v>
      </c>
    </row>
    <row r="505" spans="1:5">
      <c r="A505" s="578" t="s">
        <v>2016</v>
      </c>
      <c r="B505" s="578" t="s">
        <v>2017</v>
      </c>
      <c r="C505">
        <v>0</v>
      </c>
      <c r="D505" s="550">
        <v>708003</v>
      </c>
      <c r="E505">
        <f>VLOOKUP(A505,Ucto_HK_summ!$A$2:$K$965,8,FALSE)</f>
        <v>865001</v>
      </c>
    </row>
    <row r="506" spans="1:5">
      <c r="A506" s="578" t="s">
        <v>817</v>
      </c>
      <c r="C506">
        <v>0</v>
      </c>
      <c r="D506" s="513">
        <v>63376490.329999998</v>
      </c>
      <c r="E506">
        <f>VLOOKUP(A506,Ucto_HK_summ!$A$2:$K$965,8,FALSE)</f>
        <v>79419661.150000006</v>
      </c>
    </row>
    <row r="507" spans="1:5">
      <c r="A507" s="578" t="s">
        <v>2018</v>
      </c>
      <c r="B507" s="578" t="s">
        <v>2019</v>
      </c>
      <c r="C507">
        <v>0</v>
      </c>
      <c r="D507" s="513">
        <v>2203307.3199999998</v>
      </c>
      <c r="E507">
        <f>VLOOKUP(A507,Ucto_HK_summ!$A$2:$K$965,8,FALSE)</f>
        <v>2737649.69</v>
      </c>
    </row>
    <row r="508" spans="1:5">
      <c r="A508" s="578" t="s">
        <v>2020</v>
      </c>
      <c r="B508" s="578" t="s">
        <v>2021</v>
      </c>
      <c r="C508">
        <v>0</v>
      </c>
      <c r="D508" s="513">
        <v>838504.49</v>
      </c>
      <c r="E508">
        <f>VLOOKUP(A508,Ucto_HK_summ!$A$2:$K$965,8,FALSE)</f>
        <v>1060527</v>
      </c>
    </row>
    <row r="509" spans="1:5">
      <c r="A509" s="578" t="s">
        <v>2022</v>
      </c>
      <c r="B509" s="578" t="s">
        <v>2023</v>
      </c>
      <c r="C509">
        <v>0</v>
      </c>
      <c r="D509" s="513">
        <v>839762.67</v>
      </c>
      <c r="E509">
        <f>VLOOKUP(A509,Ucto_HK_summ!$A$2:$K$965,8,FALSE)</f>
        <v>1056796.96</v>
      </c>
    </row>
    <row r="510" spans="1:5">
      <c r="A510" s="578" t="s">
        <v>2024</v>
      </c>
      <c r="B510" s="578" t="s">
        <v>2025</v>
      </c>
      <c r="C510">
        <v>0</v>
      </c>
      <c r="D510" s="513">
        <v>1995067.91</v>
      </c>
      <c r="E510">
        <f>VLOOKUP(A510,Ucto_HK_summ!$A$2:$K$965,8,FALSE)</f>
        <v>2522596.31</v>
      </c>
    </row>
    <row r="511" spans="1:5">
      <c r="A511" s="578" t="s">
        <v>2026</v>
      </c>
      <c r="B511" s="578" t="s">
        <v>2027</v>
      </c>
      <c r="C511">
        <v>0</v>
      </c>
      <c r="D511" s="513">
        <v>341222.38</v>
      </c>
      <c r="E511">
        <f>VLOOKUP(A511,Ucto_HK_summ!$A$2:$K$965,8,FALSE)</f>
        <v>436402.11</v>
      </c>
    </row>
    <row r="512" spans="1:5">
      <c r="A512" s="578" t="s">
        <v>2028</v>
      </c>
      <c r="B512" s="578" t="s">
        <v>2029</v>
      </c>
      <c r="C512">
        <v>0</v>
      </c>
      <c r="D512" s="513">
        <v>308954.96000000002</v>
      </c>
      <c r="E512">
        <f>VLOOKUP(A512,Ucto_HK_summ!$A$2:$K$965,8,FALSE)</f>
        <v>383654.24</v>
      </c>
    </row>
    <row r="513" spans="1:5">
      <c r="A513" s="578" t="s">
        <v>2030</v>
      </c>
      <c r="B513" s="578" t="s">
        <v>2031</v>
      </c>
      <c r="C513">
        <v>0</v>
      </c>
      <c r="D513" s="513">
        <v>118329.58</v>
      </c>
      <c r="E513">
        <f>VLOOKUP(A513,Ucto_HK_summ!$A$2:$K$965,8,FALSE)</f>
        <v>149537.65</v>
      </c>
    </row>
    <row r="514" spans="1:5">
      <c r="A514" s="578" t="s">
        <v>2032</v>
      </c>
      <c r="B514" s="578" t="s">
        <v>2033</v>
      </c>
      <c r="C514">
        <v>0</v>
      </c>
      <c r="D514" s="513">
        <v>117794.82</v>
      </c>
      <c r="E514">
        <f>VLOOKUP(A514,Ucto_HK_summ!$A$2:$K$965,8,FALSE)</f>
        <v>149514.10999999999</v>
      </c>
    </row>
    <row r="515" spans="1:5">
      <c r="A515" s="578" t="s">
        <v>2034</v>
      </c>
      <c r="B515" s="578" t="s">
        <v>2035</v>
      </c>
      <c r="C515">
        <v>0</v>
      </c>
      <c r="D515" s="513">
        <v>280238.71000000002</v>
      </c>
      <c r="E515">
        <f>VLOOKUP(A515,Ucto_HK_summ!$A$2:$K$965,8,FALSE)</f>
        <v>354017.18</v>
      </c>
    </row>
    <row r="516" spans="1:5">
      <c r="A516" s="578" t="s">
        <v>2036</v>
      </c>
      <c r="B516" s="578" t="s">
        <v>2037</v>
      </c>
      <c r="C516">
        <v>0</v>
      </c>
      <c r="D516" s="513">
        <v>47693.87</v>
      </c>
      <c r="E516">
        <f>VLOOKUP(A516,Ucto_HK_summ!$A$2:$K$965,8,FALSE)</f>
        <v>60920.54</v>
      </c>
    </row>
    <row r="517" spans="1:5">
      <c r="A517" s="578" t="s">
        <v>2038</v>
      </c>
      <c r="B517" s="578" t="s">
        <v>2039</v>
      </c>
      <c r="C517">
        <v>0</v>
      </c>
      <c r="D517" s="513">
        <v>3089840.95</v>
      </c>
      <c r="E517">
        <f>VLOOKUP(A517,Ucto_HK_summ!$A$2:$K$965,8,FALSE)</f>
        <v>3836899.66</v>
      </c>
    </row>
    <row r="518" spans="1:5">
      <c r="A518" s="578" t="s">
        <v>2040</v>
      </c>
      <c r="B518" s="578" t="s">
        <v>2041</v>
      </c>
      <c r="C518">
        <v>0</v>
      </c>
      <c r="D518" s="513">
        <v>1183556.5900000001</v>
      </c>
      <c r="E518">
        <f>VLOOKUP(A518,Ucto_HK_summ!$A$2:$K$965,8,FALSE)</f>
        <v>1495838.09</v>
      </c>
    </row>
    <row r="519" spans="1:5">
      <c r="A519" s="578" t="s">
        <v>2042</v>
      </c>
      <c r="B519" s="578" t="s">
        <v>2043</v>
      </c>
      <c r="C519">
        <v>0</v>
      </c>
      <c r="D519" s="513">
        <v>1212782.3</v>
      </c>
      <c r="E519">
        <f>VLOOKUP(A519,Ucto_HK_summ!$A$2:$K$965,8,FALSE)</f>
        <v>1552630.12</v>
      </c>
    </row>
    <row r="520" spans="1:5">
      <c r="A520" s="578" t="s">
        <v>2044</v>
      </c>
      <c r="B520" s="578" t="s">
        <v>2045</v>
      </c>
      <c r="C520">
        <v>0</v>
      </c>
      <c r="D520" s="513">
        <v>2803510.6</v>
      </c>
      <c r="E520">
        <f>VLOOKUP(A520,Ucto_HK_summ!$A$2:$K$965,8,FALSE)</f>
        <v>3541477.85</v>
      </c>
    </row>
    <row r="521" spans="1:5">
      <c r="A521" s="578" t="s">
        <v>2046</v>
      </c>
      <c r="B521" s="578" t="s">
        <v>2047</v>
      </c>
      <c r="C521">
        <v>0</v>
      </c>
      <c r="D521" s="513">
        <v>477347.87</v>
      </c>
      <c r="E521">
        <f>VLOOKUP(A521,Ucto_HK_summ!$A$2:$K$965,8,FALSE)</f>
        <v>609738.48</v>
      </c>
    </row>
    <row r="522" spans="1:5">
      <c r="A522" s="578" t="s">
        <v>2048</v>
      </c>
      <c r="B522" s="578" t="s">
        <v>2049</v>
      </c>
      <c r="C522">
        <v>0</v>
      </c>
      <c r="D522" s="513">
        <v>203144.25</v>
      </c>
      <c r="E522">
        <f>VLOOKUP(A522,Ucto_HK_summ!$A$2:$K$965,8,FALSE)</f>
        <v>252135.41</v>
      </c>
    </row>
    <row r="523" spans="1:5">
      <c r="A523" s="578" t="s">
        <v>2050</v>
      </c>
      <c r="B523" s="578" t="s">
        <v>2051</v>
      </c>
      <c r="C523">
        <v>0</v>
      </c>
      <c r="D523" s="513">
        <v>79755.75</v>
      </c>
      <c r="E523">
        <f>VLOOKUP(A523,Ucto_HK_summ!$A$2:$K$965,8,FALSE)</f>
        <v>100676.57</v>
      </c>
    </row>
    <row r="524" spans="1:5">
      <c r="A524" s="578" t="s">
        <v>2052</v>
      </c>
      <c r="B524" s="578" t="s">
        <v>2053</v>
      </c>
      <c r="C524">
        <v>0</v>
      </c>
      <c r="D524" s="513">
        <v>76763.25</v>
      </c>
      <c r="E524">
        <f>VLOOKUP(A524,Ucto_HK_summ!$A$2:$K$965,8,FALSE)</f>
        <v>97582.24</v>
      </c>
    </row>
    <row r="525" spans="1:5">
      <c r="A525" s="578" t="s">
        <v>2054</v>
      </c>
      <c r="B525" s="578" t="s">
        <v>2055</v>
      </c>
      <c r="C525">
        <v>0</v>
      </c>
      <c r="D525" s="513">
        <v>194540.69</v>
      </c>
      <c r="E525">
        <f>VLOOKUP(A525,Ucto_HK_summ!$A$2:$K$965,8,FALSE)</f>
        <v>245610.18</v>
      </c>
    </row>
    <row r="526" spans="1:5">
      <c r="A526" s="578" t="s">
        <v>2056</v>
      </c>
      <c r="B526" s="578" t="s">
        <v>2057</v>
      </c>
      <c r="C526">
        <v>0</v>
      </c>
      <c r="D526" s="513">
        <v>33639.620000000003</v>
      </c>
      <c r="E526">
        <f>VLOOKUP(A526,Ucto_HK_summ!$A$2:$K$965,8,FALSE)</f>
        <v>42960.77</v>
      </c>
    </row>
    <row r="527" spans="1:5">
      <c r="A527" s="578" t="s">
        <v>2058</v>
      </c>
      <c r="B527" s="578" t="s">
        <v>2059</v>
      </c>
      <c r="C527">
        <v>0</v>
      </c>
      <c r="D527" s="513">
        <v>612600.85</v>
      </c>
      <c r="E527">
        <f>VLOOKUP(A527,Ucto_HK_summ!$A$2:$K$965,8,FALSE)</f>
        <v>760602.11</v>
      </c>
    </row>
    <row r="528" spans="1:5">
      <c r="A528" s="578" t="s">
        <v>2060</v>
      </c>
      <c r="B528" s="578" t="s">
        <v>2061</v>
      </c>
      <c r="C528">
        <v>0</v>
      </c>
      <c r="D528" s="513">
        <v>240309.57</v>
      </c>
      <c r="E528">
        <f>VLOOKUP(A528,Ucto_HK_summ!$A$2:$K$965,8,FALSE)</f>
        <v>303393.71000000002</v>
      </c>
    </row>
    <row r="529" spans="1:5">
      <c r="A529" s="578" t="s">
        <v>2062</v>
      </c>
      <c r="B529" s="578" t="s">
        <v>2063</v>
      </c>
      <c r="C529">
        <v>0</v>
      </c>
      <c r="D529" s="513">
        <v>238759.16</v>
      </c>
      <c r="E529">
        <f>VLOOKUP(A529,Ucto_HK_summ!$A$2:$K$965,8,FALSE)</f>
        <v>306387.59000000003</v>
      </c>
    </row>
    <row r="530" spans="1:5">
      <c r="A530" s="578" t="s">
        <v>2064</v>
      </c>
      <c r="B530" s="578" t="s">
        <v>2065</v>
      </c>
      <c r="C530">
        <v>0</v>
      </c>
      <c r="D530" s="513">
        <v>585365.9</v>
      </c>
      <c r="E530">
        <f>VLOOKUP(A530,Ucto_HK_summ!$A$2:$K$965,8,FALSE)</f>
        <v>739037.9</v>
      </c>
    </row>
    <row r="531" spans="1:5">
      <c r="A531" s="578" t="s">
        <v>2066</v>
      </c>
      <c r="B531" s="578" t="s">
        <v>2067</v>
      </c>
      <c r="C531">
        <v>0</v>
      </c>
      <c r="D531" s="513">
        <v>101005.56</v>
      </c>
      <c r="E531">
        <f>VLOOKUP(A531,Ucto_HK_summ!$A$2:$K$965,8,FALSE)</f>
        <v>128994.43</v>
      </c>
    </row>
    <row r="532" spans="1:5">
      <c r="A532" s="578" t="s">
        <v>2068</v>
      </c>
      <c r="B532" s="578" t="s">
        <v>2069</v>
      </c>
      <c r="C532">
        <v>0</v>
      </c>
      <c r="D532" s="513">
        <v>177161.3</v>
      </c>
      <c r="E532">
        <f>VLOOKUP(A532,Ucto_HK_summ!$A$2:$K$965,8,FALSE)</f>
        <v>220139.08</v>
      </c>
    </row>
    <row r="533" spans="1:5">
      <c r="A533" s="578" t="s">
        <v>2070</v>
      </c>
      <c r="B533" s="578" t="s">
        <v>2071</v>
      </c>
      <c r="C533">
        <v>0</v>
      </c>
      <c r="D533" s="513">
        <v>67940.2</v>
      </c>
      <c r="E533">
        <f>VLOOKUP(A533,Ucto_HK_summ!$A$2:$K$965,8,FALSE)</f>
        <v>85930.09</v>
      </c>
    </row>
    <row r="534" spans="1:5">
      <c r="A534" s="578" t="s">
        <v>2072</v>
      </c>
      <c r="B534" s="578" t="s">
        <v>2073</v>
      </c>
      <c r="C534">
        <v>0</v>
      </c>
      <c r="D534" s="513">
        <v>72080.91</v>
      </c>
      <c r="E534">
        <f>VLOOKUP(A534,Ucto_HK_summ!$A$2:$K$965,8,FALSE)</f>
        <v>91967.89</v>
      </c>
    </row>
    <row r="535" spans="1:5">
      <c r="A535" s="578" t="s">
        <v>2074</v>
      </c>
      <c r="B535" s="578" t="s">
        <v>2075</v>
      </c>
      <c r="C535">
        <v>0</v>
      </c>
      <c r="D535" s="513">
        <v>160673.03</v>
      </c>
      <c r="E535">
        <f>VLOOKUP(A535,Ucto_HK_summ!$A$2:$K$965,8,FALSE)</f>
        <v>203218.46</v>
      </c>
    </row>
    <row r="536" spans="1:5">
      <c r="A536" s="578" t="s">
        <v>2076</v>
      </c>
      <c r="B536" s="578" t="s">
        <v>2077</v>
      </c>
      <c r="C536">
        <v>0</v>
      </c>
      <c r="D536" s="513">
        <v>27325.39</v>
      </c>
      <c r="E536">
        <f>VLOOKUP(A536,Ucto_HK_summ!$A$2:$K$965,8,FALSE)</f>
        <v>34950.230000000003</v>
      </c>
    </row>
    <row r="537" spans="1:5">
      <c r="A537" s="578" t="s">
        <v>2078</v>
      </c>
      <c r="B537" s="578" t="s">
        <v>2079</v>
      </c>
      <c r="C537">
        <v>0</v>
      </c>
      <c r="D537" s="513">
        <v>1048312.89</v>
      </c>
      <c r="E537">
        <f>VLOOKUP(A537,Ucto_HK_summ!$A$2:$K$965,8,FALSE)</f>
        <v>1301773.71</v>
      </c>
    </row>
    <row r="538" spans="1:5">
      <c r="A538" s="578" t="s">
        <v>2080</v>
      </c>
      <c r="B538" s="578" t="s">
        <v>2081</v>
      </c>
      <c r="C538">
        <v>0</v>
      </c>
      <c r="D538" s="513">
        <v>401542.71</v>
      </c>
      <c r="E538">
        <f>VLOOKUP(A538,Ucto_HK_summ!$A$2:$K$965,8,FALSE)</f>
        <v>507492.12</v>
      </c>
    </row>
    <row r="539" spans="1:5">
      <c r="A539" s="578" t="s">
        <v>2082</v>
      </c>
      <c r="B539" s="578" t="s">
        <v>2083</v>
      </c>
      <c r="C539">
        <v>0</v>
      </c>
      <c r="D539" s="513">
        <v>411450.25</v>
      </c>
      <c r="E539">
        <f>VLOOKUP(A539,Ucto_HK_summ!$A$2:$K$965,8,FALSE)</f>
        <v>526747.69999999995</v>
      </c>
    </row>
    <row r="540" spans="1:5">
      <c r="A540" s="578" t="s">
        <v>2084</v>
      </c>
      <c r="B540" s="578" t="s">
        <v>2085</v>
      </c>
      <c r="C540">
        <v>0</v>
      </c>
      <c r="D540" s="513">
        <v>951154.12</v>
      </c>
      <c r="E540">
        <f>VLOOKUP(A540,Ucto_HK_summ!$A$2:$K$965,8,FALSE)</f>
        <v>1201528.29</v>
      </c>
    </row>
    <row r="541" spans="1:5">
      <c r="A541" s="578" t="s">
        <v>2086</v>
      </c>
      <c r="B541" s="578" t="s">
        <v>2087</v>
      </c>
      <c r="C541">
        <v>0</v>
      </c>
      <c r="D541" s="513">
        <v>161948.6</v>
      </c>
      <c r="E541">
        <f>VLOOKUP(A541,Ucto_HK_summ!$A$2:$K$965,8,FALSE)</f>
        <v>206864.75</v>
      </c>
    </row>
    <row r="542" spans="1:5">
      <c r="A542" s="578" t="s">
        <v>2088</v>
      </c>
      <c r="B542" s="578" t="s">
        <v>2089</v>
      </c>
      <c r="C542">
        <v>0</v>
      </c>
      <c r="D542" s="550">
        <v>71082</v>
      </c>
      <c r="E542">
        <f>VLOOKUP(A542,Ucto_HK_summ!$A$2:$K$965,8,FALSE)</f>
        <v>87398</v>
      </c>
    </row>
    <row r="543" spans="1:5">
      <c r="A543" s="578" t="s">
        <v>2090</v>
      </c>
      <c r="B543" s="578" t="s">
        <v>2091</v>
      </c>
      <c r="C543">
        <v>0</v>
      </c>
      <c r="D543" s="550">
        <v>9856</v>
      </c>
      <c r="E543">
        <f>VLOOKUP(A543,Ucto_HK_summ!$A$2:$K$965,8,FALSE)</f>
        <v>12154</v>
      </c>
    </row>
    <row r="544" spans="1:5">
      <c r="A544" s="578" t="s">
        <v>2092</v>
      </c>
      <c r="B544" s="578" t="s">
        <v>2093</v>
      </c>
      <c r="C544">
        <v>0</v>
      </c>
      <c r="D544" s="550">
        <v>98597</v>
      </c>
      <c r="E544">
        <f>VLOOKUP(A544,Ucto_HK_summ!$A$2:$K$965,8,FALSE)</f>
        <v>121590</v>
      </c>
    </row>
    <row r="545" spans="1:5">
      <c r="A545" s="578" t="s">
        <v>2094</v>
      </c>
      <c r="B545" s="578" t="s">
        <v>2095</v>
      </c>
      <c r="C545">
        <v>0</v>
      </c>
      <c r="D545" s="550">
        <v>6453</v>
      </c>
      <c r="E545">
        <f>VLOOKUP(A545,Ucto_HK_summ!$A$2:$K$965,8,FALSE)</f>
        <v>7952</v>
      </c>
    </row>
    <row r="546" spans="1:5">
      <c r="A546" s="578" t="s">
        <v>2096</v>
      </c>
      <c r="B546" s="578" t="s">
        <v>2097</v>
      </c>
      <c r="C546">
        <v>0</v>
      </c>
      <c r="D546" s="550">
        <v>19476</v>
      </c>
      <c r="E546">
        <f>VLOOKUP(A546,Ucto_HK_summ!$A$2:$K$965,8,FALSE)</f>
        <v>24012</v>
      </c>
    </row>
    <row r="547" spans="1:5">
      <c r="A547" s="578" t="s">
        <v>2098</v>
      </c>
      <c r="B547" s="578" t="s">
        <v>2099</v>
      </c>
      <c r="C547">
        <v>0</v>
      </c>
      <c r="D547" s="550">
        <v>5714</v>
      </c>
      <c r="E547">
        <f>VLOOKUP(A547,Ucto_HK_summ!$A$2:$K$965,8,FALSE)</f>
        <v>7028</v>
      </c>
    </row>
    <row r="548" spans="1:5">
      <c r="A548" s="578" t="s">
        <v>2100</v>
      </c>
      <c r="B548" s="578" t="s">
        <v>2101</v>
      </c>
      <c r="C548">
        <v>0</v>
      </c>
      <c r="D548" s="550">
        <v>33456</v>
      </c>
      <c r="E548">
        <f>VLOOKUP(A548,Ucto_HK_summ!$A$2:$K$965,8,FALSE)</f>
        <v>41258</v>
      </c>
    </row>
    <row r="549" spans="1:5">
      <c r="A549" s="578" t="s">
        <v>818</v>
      </c>
      <c r="C549">
        <v>0</v>
      </c>
      <c r="D549" s="513">
        <v>21948023.02</v>
      </c>
      <c r="E549">
        <f>VLOOKUP(A549,Ucto_HK_summ!$A$2:$K$965,8,FALSE)</f>
        <v>27607585.219999999</v>
      </c>
    </row>
    <row r="550" spans="1:5">
      <c r="A550" s="578" t="s">
        <v>2102</v>
      </c>
      <c r="B550" s="578" t="s">
        <v>2103</v>
      </c>
      <c r="C550">
        <v>0</v>
      </c>
      <c r="D550" s="513">
        <v>155474.06</v>
      </c>
      <c r="E550">
        <f>VLOOKUP(A550,Ucto_HK_summ!$A$2:$K$965,8,FALSE)</f>
        <v>195164.3</v>
      </c>
    </row>
    <row r="551" spans="1:5">
      <c r="A551" s="578" t="s">
        <v>2104</v>
      </c>
      <c r="B551" s="578" t="s">
        <v>2105</v>
      </c>
      <c r="C551">
        <v>0</v>
      </c>
      <c r="D551" s="513">
        <v>106750.3</v>
      </c>
      <c r="E551">
        <f>VLOOKUP(A551,Ucto_HK_summ!$A$2:$K$965,8,FALSE)</f>
        <v>133992.65</v>
      </c>
    </row>
    <row r="552" spans="1:5">
      <c r="A552" s="578" t="s">
        <v>2106</v>
      </c>
      <c r="B552" s="578" t="s">
        <v>2107</v>
      </c>
      <c r="C552">
        <v>0</v>
      </c>
      <c r="D552" s="513">
        <v>67572.61</v>
      </c>
      <c r="E552">
        <f>VLOOKUP(A552,Ucto_HK_summ!$A$2:$K$965,8,FALSE)</f>
        <v>83730.67</v>
      </c>
    </row>
    <row r="553" spans="1:5">
      <c r="A553" s="578" t="s">
        <v>2108</v>
      </c>
      <c r="B553" s="578" t="s">
        <v>2109</v>
      </c>
      <c r="C553">
        <v>0</v>
      </c>
      <c r="D553" s="513">
        <v>234134.49</v>
      </c>
      <c r="E553">
        <f>VLOOKUP(A553,Ucto_HK_summ!$A$2:$K$965,8,FALSE)</f>
        <v>295898.28000000003</v>
      </c>
    </row>
    <row r="554" spans="1:5">
      <c r="A554" s="578" t="s">
        <v>2110</v>
      </c>
      <c r="B554" s="578" t="s">
        <v>2111</v>
      </c>
      <c r="C554">
        <v>0</v>
      </c>
      <c r="D554" s="513">
        <v>19728.46</v>
      </c>
      <c r="E554">
        <f>VLOOKUP(A554,Ucto_HK_summ!$A$2:$K$965,8,FALSE)</f>
        <v>25417.52</v>
      </c>
    </row>
    <row r="555" spans="1:5">
      <c r="A555" s="578" t="s">
        <v>2112</v>
      </c>
      <c r="B555" s="578" t="s">
        <v>2113</v>
      </c>
      <c r="C555">
        <v>0</v>
      </c>
      <c r="D555" s="550">
        <v>4346</v>
      </c>
      <c r="E555">
        <f>VLOOKUP(A555,Ucto_HK_summ!$A$2:$K$965,8,FALSE)</f>
        <v>5303</v>
      </c>
    </row>
    <row r="556" spans="1:5">
      <c r="A556" s="578" t="s">
        <v>820</v>
      </c>
      <c r="C556">
        <v>0</v>
      </c>
      <c r="D556" s="513">
        <v>588005.92000000004</v>
      </c>
      <c r="E556">
        <f>VLOOKUP(A556,Ucto_HK_summ!$A$2:$K$965,8,FALSE)</f>
        <v>739506.42</v>
      </c>
    </row>
    <row r="557" spans="1:5">
      <c r="A557" s="578" t="s">
        <v>2114</v>
      </c>
      <c r="B557" s="578" t="s">
        <v>2115</v>
      </c>
      <c r="C557">
        <v>0</v>
      </c>
      <c r="D557" s="513">
        <v>260159.3</v>
      </c>
      <c r="E557">
        <f>VLOOKUP(A557,Ucto_HK_summ!$A$2:$K$965,8,FALSE)</f>
        <v>324596.77</v>
      </c>
    </row>
    <row r="558" spans="1:5">
      <c r="A558" s="578" t="s">
        <v>2116</v>
      </c>
      <c r="B558" s="578" t="s">
        <v>2117</v>
      </c>
      <c r="C558">
        <v>0</v>
      </c>
      <c r="D558" s="513">
        <v>107467.98</v>
      </c>
      <c r="E558">
        <f>VLOOKUP(A558,Ucto_HK_summ!$A$2:$K$965,8,FALSE)</f>
        <v>135852.44</v>
      </c>
    </row>
    <row r="559" spans="1:5">
      <c r="A559" s="578" t="s">
        <v>2118</v>
      </c>
      <c r="B559" s="578" t="s">
        <v>2119</v>
      </c>
      <c r="C559">
        <v>0</v>
      </c>
      <c r="D559" s="513">
        <v>117056.58</v>
      </c>
      <c r="E559">
        <f>VLOOKUP(A559,Ucto_HK_summ!$A$2:$K$965,8,FALSE)</f>
        <v>146332.85</v>
      </c>
    </row>
    <row r="560" spans="1:5">
      <c r="A560" s="578" t="s">
        <v>2120</v>
      </c>
      <c r="B560" s="578" t="s">
        <v>2121</v>
      </c>
      <c r="C560">
        <v>0</v>
      </c>
      <c r="D560" s="513">
        <v>258004.79</v>
      </c>
      <c r="E560">
        <f>VLOOKUP(A560,Ucto_HK_summ!$A$2:$K$965,8,FALSE)</f>
        <v>326535.36</v>
      </c>
    </row>
    <row r="561" spans="1:5">
      <c r="A561" s="578" t="s">
        <v>2122</v>
      </c>
      <c r="B561" s="578" t="s">
        <v>2123</v>
      </c>
      <c r="C561">
        <v>0</v>
      </c>
      <c r="D561" s="513">
        <v>43944.43</v>
      </c>
      <c r="E561">
        <f>VLOOKUP(A561,Ucto_HK_summ!$A$2:$K$965,8,FALSE)</f>
        <v>56280.83</v>
      </c>
    </row>
    <row r="562" spans="1:5">
      <c r="A562" s="578" t="s">
        <v>2124</v>
      </c>
      <c r="B562" s="578" t="s">
        <v>2125</v>
      </c>
      <c r="C562">
        <v>0</v>
      </c>
      <c r="D562" s="513">
        <v>72355.539999999994</v>
      </c>
      <c r="E562">
        <f>VLOOKUP(A562,Ucto_HK_summ!$A$2:$K$965,8,FALSE)</f>
        <v>87786.64</v>
      </c>
    </row>
    <row r="563" spans="1:5">
      <c r="A563" s="578" t="s">
        <v>2126</v>
      </c>
      <c r="B563" s="578" t="s">
        <v>2127</v>
      </c>
      <c r="C563">
        <v>0</v>
      </c>
      <c r="D563" s="513">
        <v>66514.91</v>
      </c>
      <c r="E563">
        <f>VLOOKUP(A563,Ucto_HK_summ!$A$2:$K$965,8,FALSE)</f>
        <v>78896.479999999996</v>
      </c>
    </row>
    <row r="564" spans="1:5">
      <c r="A564" s="578" t="s">
        <v>2128</v>
      </c>
      <c r="B564" s="578" t="s">
        <v>2129</v>
      </c>
      <c r="C564">
        <v>0</v>
      </c>
      <c r="D564" s="513">
        <v>94125.13</v>
      </c>
      <c r="E564">
        <f>VLOOKUP(A564,Ucto_HK_summ!$A$2:$K$965,8,FALSE)</f>
        <v>112737.33</v>
      </c>
    </row>
    <row r="565" spans="1:5">
      <c r="A565" s="578" t="s">
        <v>2130</v>
      </c>
      <c r="B565" s="578" t="s">
        <v>2131</v>
      </c>
      <c r="C565">
        <v>0</v>
      </c>
      <c r="D565" s="513">
        <v>102526.83</v>
      </c>
      <c r="E565">
        <f>VLOOKUP(A565,Ucto_HK_summ!$A$2:$K$965,8,FALSE)</f>
        <v>121933.7</v>
      </c>
    </row>
    <row r="566" spans="1:5">
      <c r="A566" s="578" t="s">
        <v>2132</v>
      </c>
      <c r="B566" s="578" t="s">
        <v>2133</v>
      </c>
      <c r="C566">
        <v>0</v>
      </c>
      <c r="D566" s="513">
        <v>21632.82</v>
      </c>
      <c r="E566">
        <f>VLOOKUP(A566,Ucto_HK_summ!$A$2:$K$965,8,FALSE)</f>
        <v>25703.91</v>
      </c>
    </row>
    <row r="567" spans="1:5">
      <c r="A567" s="578" t="s">
        <v>2134</v>
      </c>
      <c r="B567" s="578" t="s">
        <v>2135</v>
      </c>
      <c r="C567">
        <v>0</v>
      </c>
      <c r="D567" s="513">
        <v>7052.76</v>
      </c>
      <c r="E567">
        <f>VLOOKUP(A567,Ucto_HK_summ!$A$2:$K$965,8,FALSE)</f>
        <v>7052.76</v>
      </c>
    </row>
    <row r="568" spans="1:5">
      <c r="A568" s="578" t="s">
        <v>2136</v>
      </c>
      <c r="B568" s="578" t="s">
        <v>2137</v>
      </c>
      <c r="C568">
        <v>0</v>
      </c>
      <c r="D568" s="513">
        <v>12773.52</v>
      </c>
      <c r="E568">
        <f>VLOOKUP(A568,Ucto_HK_summ!$A$2:$K$965,8,FALSE)</f>
        <v>12773.52</v>
      </c>
    </row>
    <row r="569" spans="1:5">
      <c r="A569" s="578" t="s">
        <v>2140</v>
      </c>
      <c r="B569" s="578" t="s">
        <v>2141</v>
      </c>
      <c r="C569">
        <v>0</v>
      </c>
      <c r="D569" s="513">
        <v>31227.46</v>
      </c>
      <c r="E569">
        <f>VLOOKUP(A569,Ucto_HK_summ!$A$2:$K$965,8,FALSE)</f>
        <v>37778.660000000003</v>
      </c>
    </row>
    <row r="570" spans="1:5">
      <c r="A570" s="578" t="s">
        <v>2142</v>
      </c>
      <c r="B570" s="578" t="s">
        <v>2143</v>
      </c>
      <c r="C570">
        <v>0</v>
      </c>
      <c r="D570" s="513">
        <v>38623.24</v>
      </c>
      <c r="E570">
        <f>VLOOKUP(A570,Ucto_HK_summ!$A$2:$K$965,8,FALSE)</f>
        <v>43647.44</v>
      </c>
    </row>
    <row r="571" spans="1:5">
      <c r="A571" s="578" t="s">
        <v>2144</v>
      </c>
      <c r="B571" s="578" t="s">
        <v>2145</v>
      </c>
      <c r="C571">
        <v>0</v>
      </c>
      <c r="D571" s="513">
        <v>52330.76</v>
      </c>
      <c r="E571">
        <f>VLOOKUP(A571,Ucto_HK_summ!$A$2:$K$965,8,FALSE)</f>
        <v>60796.12</v>
      </c>
    </row>
    <row r="572" spans="1:5">
      <c r="A572" s="578" t="s">
        <v>2146</v>
      </c>
      <c r="B572" s="578" t="s">
        <v>2147</v>
      </c>
      <c r="C572">
        <v>0</v>
      </c>
      <c r="D572" s="513">
        <v>54820.04</v>
      </c>
      <c r="E572">
        <f>VLOOKUP(A572,Ucto_HK_summ!$A$2:$K$965,8,FALSE)</f>
        <v>61294.400000000001</v>
      </c>
    </row>
    <row r="573" spans="1:5">
      <c r="A573" s="578" t="s">
        <v>2677</v>
      </c>
      <c r="B573" s="578" t="s">
        <v>2678</v>
      </c>
      <c r="C573">
        <v>0</v>
      </c>
      <c r="D573" s="513">
        <v>4777.3</v>
      </c>
      <c r="E573">
        <f>VLOOKUP(A573,Ucto_HK_summ!$A$2:$K$965,8,FALSE)</f>
        <v>4777.3</v>
      </c>
    </row>
    <row r="574" spans="1:5">
      <c r="A574" s="578" t="s">
        <v>2148</v>
      </c>
      <c r="B574" s="578" t="s">
        <v>2149</v>
      </c>
      <c r="C574">
        <v>0</v>
      </c>
      <c r="D574" s="513">
        <v>28352.2</v>
      </c>
      <c r="E574">
        <f>VLOOKUP(A574,Ucto_HK_summ!$A$2:$K$965,8,FALSE)</f>
        <v>39784.46</v>
      </c>
    </row>
    <row r="575" spans="1:5">
      <c r="A575" s="578" t="s">
        <v>2150</v>
      </c>
      <c r="B575" s="578" t="s">
        <v>2151</v>
      </c>
      <c r="C575">
        <v>0</v>
      </c>
      <c r="D575" s="513">
        <v>37117.11</v>
      </c>
      <c r="E575">
        <f>VLOOKUP(A575,Ucto_HK_summ!$A$2:$K$965,8,FALSE)</f>
        <v>47976.23</v>
      </c>
    </row>
    <row r="576" spans="1:5">
      <c r="A576" s="578" t="s">
        <v>2152</v>
      </c>
      <c r="B576" s="578" t="s">
        <v>2153</v>
      </c>
      <c r="C576">
        <v>0</v>
      </c>
      <c r="D576" s="513">
        <v>24106.25</v>
      </c>
      <c r="E576">
        <f>VLOOKUP(A576,Ucto_HK_summ!$A$2:$K$965,8,FALSE)</f>
        <v>34154.04</v>
      </c>
    </row>
    <row r="577" spans="1:5">
      <c r="A577" s="578" t="s">
        <v>2154</v>
      </c>
      <c r="B577" s="578" t="s">
        <v>2155</v>
      </c>
      <c r="C577">
        <v>0</v>
      </c>
      <c r="D577" s="513">
        <v>71865.61</v>
      </c>
      <c r="E577">
        <f>VLOOKUP(A577,Ucto_HK_summ!$A$2:$K$965,8,FALSE)</f>
        <v>97096.48</v>
      </c>
    </row>
    <row r="578" spans="1:5">
      <c r="A578" s="578" t="s">
        <v>2156</v>
      </c>
      <c r="B578" s="578" t="s">
        <v>2157</v>
      </c>
      <c r="C578">
        <v>0</v>
      </c>
      <c r="D578" s="513">
        <v>14210.03</v>
      </c>
      <c r="E578">
        <f>VLOOKUP(A578,Ucto_HK_summ!$A$2:$K$965,8,FALSE)</f>
        <v>19359.12</v>
      </c>
    </row>
    <row r="579" spans="1:5">
      <c r="A579" s="578" t="s">
        <v>2158</v>
      </c>
      <c r="B579" s="578" t="s">
        <v>2159</v>
      </c>
      <c r="C579">
        <v>0</v>
      </c>
      <c r="D579" s="513">
        <v>3970.42</v>
      </c>
      <c r="E579">
        <f>VLOOKUP(A579,Ucto_HK_summ!$A$2:$K$965,8,FALSE)</f>
        <v>1323021.51</v>
      </c>
    </row>
    <row r="580" spans="1:5">
      <c r="A580" s="578" t="s">
        <v>2160</v>
      </c>
      <c r="B580" s="578" t="s">
        <v>2161</v>
      </c>
      <c r="C580">
        <v>0</v>
      </c>
      <c r="D580" s="513">
        <v>4329.38</v>
      </c>
      <c r="E580">
        <f>VLOOKUP(A580,Ucto_HK_summ!$A$2:$K$965,8,FALSE)</f>
        <v>9047.23</v>
      </c>
    </row>
    <row r="581" spans="1:5">
      <c r="A581" s="578" t="s">
        <v>2162</v>
      </c>
      <c r="B581" s="578" t="s">
        <v>2163</v>
      </c>
      <c r="C581">
        <v>0</v>
      </c>
      <c r="D581" s="513">
        <v>20572.189999999999</v>
      </c>
      <c r="E581">
        <f>VLOOKUP(A581,Ucto_HK_summ!$A$2:$K$965,8,FALSE)</f>
        <v>239520.43</v>
      </c>
    </row>
    <row r="582" spans="1:5">
      <c r="A582" s="578" t="s">
        <v>2164</v>
      </c>
      <c r="B582" s="578" t="s">
        <v>2165</v>
      </c>
      <c r="C582">
        <v>0</v>
      </c>
      <c r="D582" s="513">
        <v>7757.76</v>
      </c>
      <c r="E582">
        <f>VLOOKUP(A582,Ucto_HK_summ!$A$2:$K$965,8,FALSE)</f>
        <v>2644568.87</v>
      </c>
    </row>
    <row r="583" spans="1:5">
      <c r="A583" s="578" t="s">
        <v>2795</v>
      </c>
      <c r="B583" s="578" t="s">
        <v>2796</v>
      </c>
      <c r="C583">
        <v>0</v>
      </c>
      <c r="D583">
        <v>225.33</v>
      </c>
      <c r="E583">
        <f>VLOOKUP(A583,Ucto_HK_summ!$A$2:$K$965,8,FALSE)</f>
        <v>422.93</v>
      </c>
    </row>
    <row r="584" spans="1:5">
      <c r="A584" s="578" t="s">
        <v>2166</v>
      </c>
      <c r="B584" s="578" t="s">
        <v>2167</v>
      </c>
      <c r="C584">
        <v>0</v>
      </c>
      <c r="D584" s="513">
        <v>35370.559999999998</v>
      </c>
      <c r="E584">
        <f>VLOOKUP(A584,Ucto_HK_summ!$A$2:$K$965,8,FALSE)</f>
        <v>38487</v>
      </c>
    </row>
    <row r="585" spans="1:5">
      <c r="A585" s="578" t="s">
        <v>2168</v>
      </c>
      <c r="B585" s="578" t="s">
        <v>2169</v>
      </c>
      <c r="C585">
        <v>0</v>
      </c>
      <c r="D585" s="513">
        <v>28472.98</v>
      </c>
      <c r="E585">
        <f>VLOOKUP(A585,Ucto_HK_summ!$A$2:$K$965,8,FALSE)</f>
        <v>30402.86</v>
      </c>
    </row>
    <row r="586" spans="1:5">
      <c r="A586" s="578" t="s">
        <v>2170</v>
      </c>
      <c r="B586" s="578" t="s">
        <v>2171</v>
      </c>
      <c r="C586">
        <v>0</v>
      </c>
      <c r="D586" s="513">
        <v>20469.52</v>
      </c>
      <c r="E586">
        <f>VLOOKUP(A586,Ucto_HK_summ!$A$2:$K$965,8,FALSE)</f>
        <v>21509.96</v>
      </c>
    </row>
    <row r="587" spans="1:5">
      <c r="A587" s="578" t="s">
        <v>2172</v>
      </c>
      <c r="B587" s="578" t="s">
        <v>2173</v>
      </c>
      <c r="C587">
        <v>0</v>
      </c>
      <c r="D587" s="513">
        <v>65783.5</v>
      </c>
      <c r="E587">
        <f>VLOOKUP(A587,Ucto_HK_summ!$A$2:$K$965,8,FALSE)</f>
        <v>68202.16</v>
      </c>
    </row>
    <row r="588" spans="1:5">
      <c r="A588" s="578" t="s">
        <v>2174</v>
      </c>
      <c r="B588" s="578" t="s">
        <v>2175</v>
      </c>
      <c r="C588">
        <v>0</v>
      </c>
      <c r="D588" s="513">
        <v>7512.42</v>
      </c>
      <c r="E588">
        <f>VLOOKUP(A588,Ucto_HK_summ!$A$2:$K$965,8,FALSE)</f>
        <v>7592.17</v>
      </c>
    </row>
    <row r="589" spans="1:5">
      <c r="A589" s="578" t="s">
        <v>2176</v>
      </c>
      <c r="B589" s="578" t="s">
        <v>2177</v>
      </c>
      <c r="C589">
        <v>0</v>
      </c>
      <c r="D589" s="513">
        <v>25014.07</v>
      </c>
      <c r="E589">
        <f>VLOOKUP(A589,Ucto_HK_summ!$A$2:$K$965,8,FALSE)</f>
        <v>30298.67</v>
      </c>
    </row>
    <row r="590" spans="1:5">
      <c r="A590" s="578" t="s">
        <v>2180</v>
      </c>
      <c r="B590" s="578" t="s">
        <v>2181</v>
      </c>
      <c r="C590">
        <v>0</v>
      </c>
      <c r="D590" s="550">
        <v>1726</v>
      </c>
      <c r="E590">
        <f>VLOOKUP(A590,Ucto_HK_summ!$A$2:$K$965,8,FALSE)</f>
        <v>1726</v>
      </c>
    </row>
    <row r="591" spans="1:5">
      <c r="A591" s="578" t="s">
        <v>2182</v>
      </c>
      <c r="B591" s="578" t="s">
        <v>2183</v>
      </c>
      <c r="C591">
        <v>0</v>
      </c>
      <c r="D591" s="550">
        <v>4136</v>
      </c>
      <c r="E591">
        <f>VLOOKUP(A591,Ucto_HK_summ!$A$2:$K$965,8,FALSE)</f>
        <v>4420</v>
      </c>
    </row>
    <row r="592" spans="1:5">
      <c r="A592" s="578" t="s">
        <v>2184</v>
      </c>
      <c r="B592" s="578" t="s">
        <v>2185</v>
      </c>
      <c r="C592">
        <v>0</v>
      </c>
      <c r="D592" s="550">
        <v>1419</v>
      </c>
      <c r="E592">
        <f>VLOOKUP(A592,Ucto_HK_summ!$A$2:$K$965,8,FALSE)</f>
        <v>2739</v>
      </c>
    </row>
    <row r="593" spans="1:5">
      <c r="A593" s="578" t="s">
        <v>2186</v>
      </c>
      <c r="B593" s="578" t="s">
        <v>2187</v>
      </c>
      <c r="C593">
        <v>0</v>
      </c>
      <c r="D593">
        <v>107.16</v>
      </c>
      <c r="E593">
        <f>VLOOKUP(A593,Ucto_HK_summ!$A$2:$K$965,8,FALSE)</f>
        <v>107.16</v>
      </c>
    </row>
    <row r="594" spans="1:5">
      <c r="A594" s="578" t="s">
        <v>822</v>
      </c>
      <c r="C594">
        <v>0</v>
      </c>
      <c r="D594" s="513">
        <v>1747910.88</v>
      </c>
      <c r="E594">
        <f>VLOOKUP(A594,Ucto_HK_summ!$A$2:$K$965,8,FALSE)</f>
        <v>6305212.79</v>
      </c>
    </row>
    <row r="595" spans="1:5">
      <c r="A595" s="577" t="s">
        <v>2188</v>
      </c>
      <c r="C595" s="369">
        <v>0</v>
      </c>
      <c r="D595" s="579">
        <v>87660430.150000006</v>
      </c>
      <c r="E595">
        <f>VLOOKUP(A595,Ucto_HK_summ!$A$2:$K$965,8,FALSE)</f>
        <v>114071965.58</v>
      </c>
    </row>
    <row r="597" spans="1:5">
      <c r="A597" s="578" t="s">
        <v>2189</v>
      </c>
      <c r="B597" s="578" t="s">
        <v>235</v>
      </c>
      <c r="C597">
        <v>0</v>
      </c>
      <c r="D597" s="513">
        <v>2347.5100000000002</v>
      </c>
      <c r="E597">
        <f>VLOOKUP(A597,Ucto_HK_summ!$A$2:$K$965,8,FALSE)</f>
        <v>3169.72</v>
      </c>
    </row>
    <row r="598" spans="1:5">
      <c r="A598" s="578" t="s">
        <v>825</v>
      </c>
      <c r="C598">
        <v>0</v>
      </c>
      <c r="D598" s="513">
        <v>2347.5100000000002</v>
      </c>
      <c r="E598">
        <f>VLOOKUP(A598,Ucto_HK_summ!$A$2:$K$965,8,FALSE)</f>
        <v>3169.72</v>
      </c>
    </row>
    <row r="599" spans="1:5">
      <c r="A599" s="578" t="s">
        <v>2190</v>
      </c>
      <c r="B599" s="578" t="s">
        <v>827</v>
      </c>
      <c r="C599">
        <v>0</v>
      </c>
      <c r="D599" s="513">
        <v>280963.53999999998</v>
      </c>
      <c r="E599">
        <f>VLOOKUP(A599,Ucto_HK_summ!$A$2:$K$965,8,FALSE)</f>
        <v>280963.53999999998</v>
      </c>
    </row>
    <row r="600" spans="1:5">
      <c r="A600" s="578" t="s">
        <v>826</v>
      </c>
      <c r="C600">
        <v>0</v>
      </c>
      <c r="D600" s="513">
        <v>280963.53999999998</v>
      </c>
      <c r="E600">
        <f>VLOOKUP(A600,Ucto_HK_summ!$A$2:$K$965,8,FALSE)</f>
        <v>280963.53999999998</v>
      </c>
    </row>
    <row r="601" spans="1:5">
      <c r="A601" s="578" t="s">
        <v>2193</v>
      </c>
      <c r="B601" s="578" t="s">
        <v>2194</v>
      </c>
      <c r="C601">
        <v>0</v>
      </c>
      <c r="D601" s="513">
        <v>5151.57</v>
      </c>
      <c r="E601">
        <f>VLOOKUP(A601,Ucto_HK_summ!$A$2:$K$965,8,FALSE)</f>
        <v>11511.37</v>
      </c>
    </row>
    <row r="602" spans="1:5">
      <c r="A602" s="578" t="s">
        <v>828</v>
      </c>
      <c r="C602">
        <v>0</v>
      </c>
      <c r="D602" s="513">
        <v>5151.57</v>
      </c>
      <c r="E602">
        <f>VLOOKUP(A602,Ucto_HK_summ!$A$2:$K$965,8,FALSE)</f>
        <v>11511.37</v>
      </c>
    </row>
    <row r="603" spans="1:5">
      <c r="A603" s="577" t="s">
        <v>2195</v>
      </c>
      <c r="C603" s="369">
        <v>0</v>
      </c>
      <c r="D603" s="579">
        <v>288462.62</v>
      </c>
      <c r="E603">
        <f>VLOOKUP(A603,Ucto_HK_summ!$A$2:$K$965,8,FALSE)</f>
        <v>295644.63</v>
      </c>
    </row>
    <row r="605" spans="1:5">
      <c r="A605" s="578" t="s">
        <v>2198</v>
      </c>
      <c r="B605" s="578" t="s">
        <v>833</v>
      </c>
      <c r="C605">
        <v>0</v>
      </c>
      <c r="D605" s="513">
        <v>1615.5</v>
      </c>
      <c r="E605">
        <f>VLOOKUP(A605,Ucto_HK_summ!$A$2:$K$965,8,FALSE)</f>
        <v>1903.5</v>
      </c>
    </row>
    <row r="606" spans="1:5">
      <c r="A606" s="578" t="s">
        <v>832</v>
      </c>
      <c r="C606">
        <v>0</v>
      </c>
      <c r="D606" s="513">
        <v>1615.5</v>
      </c>
      <c r="E606">
        <f>VLOOKUP(A606,Ucto_HK_summ!$A$2:$K$965,8,FALSE)</f>
        <v>1903.5</v>
      </c>
    </row>
    <row r="607" spans="1:5">
      <c r="A607" s="578" t="s">
        <v>2679</v>
      </c>
      <c r="B607" s="578" t="s">
        <v>2478</v>
      </c>
      <c r="C607">
        <v>0</v>
      </c>
      <c r="D607">
        <v>23.84</v>
      </c>
      <c r="E607">
        <f>VLOOKUP(A607,Ucto_HK_summ!$A$2:$K$965,8,FALSE)</f>
        <v>23.84</v>
      </c>
    </row>
    <row r="608" spans="1:5">
      <c r="A608" s="578" t="s">
        <v>2199</v>
      </c>
      <c r="B608" s="578" t="s">
        <v>2200</v>
      </c>
      <c r="C608">
        <v>0</v>
      </c>
      <c r="D608">
        <v>417.18</v>
      </c>
      <c r="E608">
        <f>VLOOKUP(A608,Ucto_HK_summ!$A$2:$K$965,8,FALSE)</f>
        <v>417.18</v>
      </c>
    </row>
    <row r="609" spans="1:5">
      <c r="A609" s="578" t="s">
        <v>2797</v>
      </c>
      <c r="B609" s="578" t="s">
        <v>2798</v>
      </c>
      <c r="C609">
        <v>0</v>
      </c>
      <c r="D609" s="513">
        <v>1311.04</v>
      </c>
      <c r="E609">
        <f>VLOOKUP(A609,Ucto_HK_summ!$A$2:$K$965,8,FALSE)</f>
        <v>1311.04</v>
      </c>
    </row>
    <row r="610" spans="1:5">
      <c r="A610" s="578" t="s">
        <v>834</v>
      </c>
      <c r="C610">
        <v>0</v>
      </c>
      <c r="D610" s="513">
        <v>1752.06</v>
      </c>
      <c r="E610">
        <f>VLOOKUP(A610,Ucto_HK_summ!$A$2:$K$965,8,FALSE)</f>
        <v>1752.06</v>
      </c>
    </row>
    <row r="611" spans="1:5">
      <c r="A611" s="578" t="s">
        <v>2203</v>
      </c>
      <c r="B611" s="578" t="s">
        <v>2204</v>
      </c>
      <c r="C611">
        <v>0</v>
      </c>
      <c r="D611" s="513">
        <v>644800.31000000006</v>
      </c>
      <c r="E611">
        <f>VLOOKUP(A611,Ucto_HK_summ!$A$2:$K$965,8,FALSE)</f>
        <v>1198637.6200000001</v>
      </c>
    </row>
    <row r="612" spans="1:5">
      <c r="A612" s="578" t="s">
        <v>2207</v>
      </c>
      <c r="B612" s="578" t="s">
        <v>2208</v>
      </c>
      <c r="C612">
        <v>0</v>
      </c>
      <c r="D612" s="513">
        <v>120591.6</v>
      </c>
      <c r="E612">
        <f>VLOOKUP(A612,Ucto_HK_summ!$A$2:$K$965,8,FALSE)</f>
        <v>126144.2</v>
      </c>
    </row>
    <row r="613" spans="1:5">
      <c r="A613" s="578" t="s">
        <v>2799</v>
      </c>
      <c r="B613" s="578" t="s">
        <v>2800</v>
      </c>
      <c r="C613">
        <v>0</v>
      </c>
      <c r="D613" s="513">
        <v>345104.2</v>
      </c>
      <c r="E613">
        <f>VLOOKUP(A613,Ucto_HK_summ!$A$2:$K$965,8,FALSE)</f>
        <v>345104.2</v>
      </c>
    </row>
    <row r="614" spans="1:5">
      <c r="A614" s="578" t="s">
        <v>836</v>
      </c>
      <c r="C614">
        <v>0</v>
      </c>
      <c r="D614" s="513">
        <v>1110496.1100000001</v>
      </c>
      <c r="E614">
        <f>VLOOKUP(A614,Ucto_HK_summ!$A$2:$K$965,8,FALSE)</f>
        <v>1669886.02</v>
      </c>
    </row>
    <row r="615" spans="1:5">
      <c r="A615" s="578" t="s">
        <v>2210</v>
      </c>
      <c r="B615" s="578" t="s">
        <v>2211</v>
      </c>
      <c r="C615">
        <v>0</v>
      </c>
      <c r="D615" s="513">
        <v>1329688.08</v>
      </c>
      <c r="E615">
        <f>VLOOKUP(A615,Ucto_HK_summ!$A$2:$K$965,8,FALSE)</f>
        <v>1612698</v>
      </c>
    </row>
    <row r="616" spans="1:5">
      <c r="A616" s="578" t="s">
        <v>2212</v>
      </c>
      <c r="B616" s="578" t="s">
        <v>2213</v>
      </c>
      <c r="C616">
        <v>0</v>
      </c>
      <c r="D616" s="550">
        <v>1000</v>
      </c>
      <c r="E616">
        <f>VLOOKUP(A616,Ucto_HK_summ!$A$2:$K$965,8,FALSE)</f>
        <v>2000</v>
      </c>
    </row>
    <row r="617" spans="1:5">
      <c r="A617" s="578" t="s">
        <v>2214</v>
      </c>
      <c r="B617" s="578" t="s">
        <v>2215</v>
      </c>
      <c r="C617">
        <v>0</v>
      </c>
      <c r="D617">
        <v>130.06</v>
      </c>
      <c r="E617">
        <f>VLOOKUP(A617,Ucto_HK_summ!$A$2:$K$965,8,FALSE)</f>
        <v>171.83</v>
      </c>
    </row>
    <row r="618" spans="1:5">
      <c r="A618" s="578" t="s">
        <v>2216</v>
      </c>
      <c r="B618" s="578" t="s">
        <v>2217</v>
      </c>
      <c r="C618">
        <v>0</v>
      </c>
      <c r="D618" s="513">
        <v>709862.28</v>
      </c>
      <c r="E618">
        <f>VLOOKUP(A618,Ucto_HK_summ!$A$2:$K$965,8,FALSE)</f>
        <v>709862.28</v>
      </c>
    </row>
    <row r="619" spans="1:5">
      <c r="A619" s="578" t="s">
        <v>2218</v>
      </c>
      <c r="B619" s="578" t="s">
        <v>244</v>
      </c>
      <c r="C619">
        <v>0</v>
      </c>
      <c r="D619" s="513">
        <v>1201.03</v>
      </c>
      <c r="E619">
        <f>VLOOKUP(A619,Ucto_HK_summ!$A$2:$K$965,8,FALSE)</f>
        <v>1204.23</v>
      </c>
    </row>
    <row r="620" spans="1:5">
      <c r="A620" s="578" t="s">
        <v>2801</v>
      </c>
      <c r="B620" s="578" t="s">
        <v>2802</v>
      </c>
      <c r="C620">
        <v>0</v>
      </c>
      <c r="D620">
        <v>840</v>
      </c>
      <c r="E620">
        <f>VLOOKUP(A620,Ucto_HK_summ!$A$2:$K$965,8,FALSE)</f>
        <v>840</v>
      </c>
    </row>
    <row r="621" spans="1:5">
      <c r="A621" s="578" t="s">
        <v>2221</v>
      </c>
      <c r="B621" s="578" t="s">
        <v>2222</v>
      </c>
      <c r="C621">
        <v>0</v>
      </c>
      <c r="D621">
        <v>421.22</v>
      </c>
      <c r="E621">
        <f>VLOOKUP(A621,Ucto_HK_summ!$A$2:$K$965,8,FALSE)</f>
        <v>543.9</v>
      </c>
    </row>
    <row r="622" spans="1:5">
      <c r="A622" s="578" t="s">
        <v>839</v>
      </c>
      <c r="C622">
        <v>0</v>
      </c>
      <c r="D622" s="513">
        <v>2043142.67</v>
      </c>
      <c r="E622">
        <f>VLOOKUP(A622,Ucto_HK_summ!$A$2:$K$965,8,FALSE)</f>
        <v>2327320.2400000002</v>
      </c>
    </row>
    <row r="623" spans="1:5">
      <c r="A623" s="578" t="s">
        <v>2223</v>
      </c>
      <c r="B623" s="578" t="s">
        <v>842</v>
      </c>
      <c r="C623">
        <v>0</v>
      </c>
      <c r="D623" s="513">
        <v>59734.21</v>
      </c>
      <c r="E623">
        <f>VLOOKUP(A623,Ucto_HK_summ!$A$2:$K$965,8,FALSE)</f>
        <v>80673.279999999999</v>
      </c>
    </row>
    <row r="624" spans="1:5">
      <c r="A624" s="578" t="s">
        <v>841</v>
      </c>
      <c r="C624">
        <v>0</v>
      </c>
      <c r="D624" s="513">
        <v>59734.21</v>
      </c>
      <c r="E624">
        <f>VLOOKUP(A624,Ucto_HK_summ!$A$2:$K$965,8,FALSE)</f>
        <v>80751.539999999994</v>
      </c>
    </row>
    <row r="625" spans="1:5">
      <c r="A625" s="577" t="s">
        <v>2226</v>
      </c>
      <c r="C625" s="369">
        <v>0</v>
      </c>
      <c r="D625" s="579">
        <v>3216740.55</v>
      </c>
      <c r="E625">
        <f>VLOOKUP(A625,Ucto_HK_summ!$A$2:$K$965,8,FALSE)</f>
        <v>4081613.36</v>
      </c>
    </row>
    <row r="627" spans="1:5">
      <c r="A627" s="578" t="s">
        <v>2227</v>
      </c>
      <c r="B627" s="578" t="s">
        <v>2228</v>
      </c>
      <c r="C627">
        <v>0</v>
      </c>
      <c r="D627" s="550">
        <v>6734</v>
      </c>
      <c r="E627">
        <f>VLOOKUP(A627,Ucto_HK_summ!$A$2:$K$965,8,FALSE)</f>
        <v>7144.8</v>
      </c>
    </row>
    <row r="628" spans="1:5">
      <c r="A628" s="578" t="s">
        <v>2229</v>
      </c>
      <c r="B628" s="578" t="s">
        <v>2230</v>
      </c>
      <c r="C628">
        <v>0</v>
      </c>
      <c r="D628" s="513">
        <v>1233.75</v>
      </c>
      <c r="E628">
        <f>VLOOKUP(A628,Ucto_HK_summ!$A$2:$K$965,8,FALSE)</f>
        <v>1574.25</v>
      </c>
    </row>
    <row r="629" spans="1:5">
      <c r="A629" s="578" t="s">
        <v>2231</v>
      </c>
      <c r="B629" s="578" t="s">
        <v>2232</v>
      </c>
      <c r="C629">
        <v>0</v>
      </c>
      <c r="D629" s="513">
        <v>2313304.7599999998</v>
      </c>
      <c r="E629">
        <f>VLOOKUP(A629,Ucto_HK_summ!$A$2:$K$965,8,FALSE)</f>
        <v>2798279.93</v>
      </c>
    </row>
    <row r="630" spans="1:5">
      <c r="A630" s="578" t="s">
        <v>2233</v>
      </c>
      <c r="B630" s="578" t="s">
        <v>2234</v>
      </c>
      <c r="C630">
        <v>0</v>
      </c>
      <c r="D630" s="513">
        <v>69531.460000000006</v>
      </c>
      <c r="E630">
        <f>VLOOKUP(A630,Ucto_HK_summ!$A$2:$K$965,8,FALSE)</f>
        <v>84888.09</v>
      </c>
    </row>
    <row r="631" spans="1:5">
      <c r="A631" s="578" t="s">
        <v>2235</v>
      </c>
      <c r="B631" s="578" t="s">
        <v>2236</v>
      </c>
      <c r="C631">
        <v>0</v>
      </c>
      <c r="D631" s="513">
        <v>1345757.71</v>
      </c>
      <c r="E631">
        <f>VLOOKUP(A631,Ucto_HK_summ!$A$2:$K$965,8,FALSE)</f>
        <v>1553213.16</v>
      </c>
    </row>
    <row r="632" spans="1:5">
      <c r="A632" s="578" t="s">
        <v>844</v>
      </c>
      <c r="C632">
        <v>0</v>
      </c>
      <c r="D632" s="513">
        <v>3736561.68</v>
      </c>
      <c r="E632">
        <f>VLOOKUP(A632,Ucto_HK_summ!$A$2:$K$965,8,FALSE)</f>
        <v>4445128.2300000004</v>
      </c>
    </row>
    <row r="633" spans="1:5">
      <c r="A633" s="577" t="s">
        <v>2243</v>
      </c>
      <c r="C633" s="369">
        <v>0</v>
      </c>
      <c r="D633" s="579">
        <v>3736561.68</v>
      </c>
      <c r="E633">
        <f>VLOOKUP(A633,Ucto_HK_summ!$A$2:$K$965,8,FALSE)</f>
        <v>15949471.539999999</v>
      </c>
    </row>
    <row r="635" spans="1:5">
      <c r="A635" s="578" t="s">
        <v>2245</v>
      </c>
      <c r="B635" s="578" t="s">
        <v>2246</v>
      </c>
      <c r="C635">
        <v>0</v>
      </c>
      <c r="D635">
        <v>3</v>
      </c>
      <c r="E635">
        <f>VLOOKUP(A635,Ucto_HK_summ!$A$2:$K$965,8,FALSE)</f>
        <v>3</v>
      </c>
    </row>
    <row r="636" spans="1:5">
      <c r="A636" s="578" t="s">
        <v>866</v>
      </c>
      <c r="C636">
        <v>0</v>
      </c>
      <c r="D636">
        <v>3</v>
      </c>
      <c r="E636">
        <f>VLOOKUP(A636,Ucto_HK_summ!$A$2:$K$965,8,FALSE)</f>
        <v>45.44</v>
      </c>
    </row>
    <row r="637" spans="1:5">
      <c r="A637" s="578" t="s">
        <v>2247</v>
      </c>
      <c r="B637" s="578" t="s">
        <v>245</v>
      </c>
      <c r="C637">
        <v>0</v>
      </c>
      <c r="D637">
        <v>180.35</v>
      </c>
      <c r="E637">
        <f>VLOOKUP(A637,Ucto_HK_summ!$A$2:$K$965,8,FALSE)</f>
        <v>563.51</v>
      </c>
    </row>
    <row r="638" spans="1:5">
      <c r="A638" s="578" t="s">
        <v>2248</v>
      </c>
      <c r="B638" s="578" t="s">
        <v>2249</v>
      </c>
      <c r="C638">
        <v>0</v>
      </c>
      <c r="D638" s="513">
        <v>3239.9</v>
      </c>
      <c r="E638">
        <f>VLOOKUP(A638,Ucto_HK_summ!$A$2:$K$965,8,FALSE)</f>
        <v>4048.88</v>
      </c>
    </row>
    <row r="639" spans="1:5">
      <c r="A639" s="578" t="s">
        <v>2250</v>
      </c>
      <c r="B639" s="578" t="s">
        <v>2251</v>
      </c>
      <c r="C639">
        <v>0</v>
      </c>
      <c r="D639" s="513">
        <v>10738.61</v>
      </c>
      <c r="E639">
        <f>VLOOKUP(A639,Ucto_HK_summ!$A$2:$K$965,8,FALSE)</f>
        <v>15671.4</v>
      </c>
    </row>
    <row r="640" spans="1:5">
      <c r="A640" s="578" t="s">
        <v>2252</v>
      </c>
      <c r="B640" s="578" t="s">
        <v>2253</v>
      </c>
      <c r="C640">
        <v>0</v>
      </c>
      <c r="D640" s="513">
        <v>9809.8799999999992</v>
      </c>
      <c r="E640">
        <f>VLOOKUP(A640,Ucto_HK_summ!$A$2:$K$965,8,FALSE)</f>
        <v>10189.48</v>
      </c>
    </row>
    <row r="641" spans="1:5">
      <c r="A641" s="578" t="s">
        <v>2254</v>
      </c>
      <c r="B641" s="578" t="s">
        <v>2255</v>
      </c>
      <c r="C641">
        <v>0</v>
      </c>
      <c r="D641" s="513">
        <v>81473.02</v>
      </c>
      <c r="E641">
        <f>VLOOKUP(A641,Ucto_HK_summ!$A$2:$K$965,8,FALSE)</f>
        <v>85492.5</v>
      </c>
    </row>
    <row r="642" spans="1:5">
      <c r="A642" s="578" t="s">
        <v>2256</v>
      </c>
      <c r="B642" s="578" t="s">
        <v>2257</v>
      </c>
      <c r="C642">
        <v>0</v>
      </c>
      <c r="D642">
        <v>1.05</v>
      </c>
      <c r="E642">
        <f>VLOOKUP(A642,Ucto_HK_summ!$A$2:$K$965,8,FALSE)</f>
        <v>2.9</v>
      </c>
    </row>
    <row r="643" spans="1:5">
      <c r="A643" s="578" t="s">
        <v>873</v>
      </c>
      <c r="C643">
        <v>0</v>
      </c>
      <c r="D643" s="513">
        <v>105442.81</v>
      </c>
      <c r="E643">
        <f>VLOOKUP(A643,Ucto_HK_summ!$A$2:$K$965,8,FALSE)</f>
        <v>115968.67</v>
      </c>
    </row>
    <row r="644" spans="1:5">
      <c r="A644" s="577" t="s">
        <v>2258</v>
      </c>
      <c r="C644" s="369">
        <v>0</v>
      </c>
      <c r="D644" s="579">
        <v>105445.81</v>
      </c>
      <c r="E644">
        <f>VLOOKUP(A644,Ucto_HK_summ!$A$2:$K$965,8,FALSE)</f>
        <v>116020.66</v>
      </c>
    </row>
    <row r="646" spans="1:5">
      <c r="A646" s="578" t="s">
        <v>2259</v>
      </c>
      <c r="B646" s="578" t="s">
        <v>2260</v>
      </c>
      <c r="C646">
        <v>0</v>
      </c>
      <c r="D646" s="513">
        <v>326276.59999999998</v>
      </c>
      <c r="E646">
        <f>VLOOKUP(A646,Ucto_HK_summ!$A$2:$K$965,8,FALSE)</f>
        <v>531205.93999999994</v>
      </c>
    </row>
    <row r="647" spans="1:5">
      <c r="A647" s="578" t="s">
        <v>898</v>
      </c>
      <c r="C647">
        <v>0</v>
      </c>
      <c r="D647" s="513">
        <v>326276.59999999998</v>
      </c>
      <c r="E647">
        <f>VLOOKUP(A647,Ucto_HK_summ!$A$2:$K$965,8,FALSE)</f>
        <v>531205.93999999994</v>
      </c>
    </row>
    <row r="648" spans="1:5">
      <c r="A648" s="577" t="s">
        <v>2261</v>
      </c>
      <c r="C648" s="369">
        <v>0</v>
      </c>
      <c r="D648" s="579">
        <v>326276.59999999998</v>
      </c>
      <c r="E648">
        <f>VLOOKUP(A648,Ucto_HK_summ!$A$2:$K$965,8,FALSE)</f>
        <v>531205.93999999994</v>
      </c>
    </row>
    <row r="650" spans="1:5">
      <c r="A650" s="578" t="s">
        <v>2681</v>
      </c>
      <c r="B650" s="578" t="s">
        <v>224</v>
      </c>
      <c r="C650">
        <v>0</v>
      </c>
      <c r="D650" s="513">
        <v>10609.22</v>
      </c>
      <c r="E650">
        <f>VLOOKUP(A650,Ucto_HK_summ!$A$2:$K$965,8,FALSE)</f>
        <v>53353.52</v>
      </c>
    </row>
    <row r="651" spans="1:5">
      <c r="A651" s="578" t="s">
        <v>1028</v>
      </c>
      <c r="C651">
        <v>0</v>
      </c>
      <c r="D651" s="513">
        <v>10609.22</v>
      </c>
      <c r="E651">
        <f>VLOOKUP(A651,Ucto_HK_summ!$A$2:$K$965,8,FALSE)</f>
        <v>53353.52</v>
      </c>
    </row>
    <row r="652" spans="1:5">
      <c r="A652" s="577" t="s">
        <v>2265</v>
      </c>
      <c r="C652" s="369">
        <v>0</v>
      </c>
      <c r="D652" s="579">
        <v>10609.22</v>
      </c>
      <c r="E652">
        <f>VLOOKUP(A652,Ucto_HK_summ!$A$2:$K$965,8,FALSE)</f>
        <v>53353.52</v>
      </c>
    </row>
    <row r="654" spans="1:5">
      <c r="A654" s="577" t="s">
        <v>2266</v>
      </c>
      <c r="C654" s="369">
        <v>0</v>
      </c>
      <c r="D654" s="579">
        <v>150322079.63999999</v>
      </c>
      <c r="E654">
        <f>VLOOKUP(A654,Ucto_HK_summ!$A$2:$K$965,8,FALSE)</f>
        <v>199980270.31</v>
      </c>
    </row>
    <row r="657" spans="1:5">
      <c r="A657" s="578" t="s">
        <v>2267</v>
      </c>
      <c r="B657" s="578" t="s">
        <v>2268</v>
      </c>
      <c r="C657">
        <v>0</v>
      </c>
      <c r="D657" s="513">
        <v>-31438850.260000002</v>
      </c>
      <c r="E657">
        <f>VLOOKUP(A657,Ucto_HK_summ!$A$2:$K$965,8,FALSE)</f>
        <v>-37579134.850000001</v>
      </c>
    </row>
    <row r="658" spans="1:5">
      <c r="A658" s="578" t="s">
        <v>2269</v>
      </c>
      <c r="B658" s="578" t="s">
        <v>2270</v>
      </c>
      <c r="C658">
        <v>0</v>
      </c>
      <c r="D658" s="513">
        <v>-1236195.93</v>
      </c>
      <c r="E658">
        <f>VLOOKUP(A658,Ucto_HK_summ!$A$2:$K$965,8,FALSE)</f>
        <v>-1455835.12</v>
      </c>
    </row>
    <row r="659" spans="1:5">
      <c r="A659" s="578" t="s">
        <v>2271</v>
      </c>
      <c r="B659" s="578" t="s">
        <v>2272</v>
      </c>
      <c r="C659">
        <v>0</v>
      </c>
      <c r="D659" s="513">
        <v>-4031534.4</v>
      </c>
      <c r="E659">
        <f>VLOOKUP(A659,Ucto_HK_summ!$A$2:$K$965,8,FALSE)</f>
        <v>-4650413.47</v>
      </c>
    </row>
    <row r="660" spans="1:5">
      <c r="A660" s="578" t="s">
        <v>2273</v>
      </c>
      <c r="B660" s="578" t="s">
        <v>2274</v>
      </c>
      <c r="C660">
        <v>0</v>
      </c>
      <c r="D660" s="513">
        <v>-782811.04</v>
      </c>
      <c r="E660">
        <f>VLOOKUP(A660,Ucto_HK_summ!$A$2:$K$965,8,FALSE)</f>
        <v>-958160.67</v>
      </c>
    </row>
    <row r="661" spans="1:5">
      <c r="A661" s="578" t="s">
        <v>2275</v>
      </c>
      <c r="B661" s="578" t="s">
        <v>2276</v>
      </c>
      <c r="C661">
        <v>0</v>
      </c>
      <c r="D661" s="513">
        <v>-82912.83</v>
      </c>
      <c r="E661">
        <f>VLOOKUP(A661,Ucto_HK_summ!$A$2:$K$965,8,FALSE)</f>
        <v>-100777.06</v>
      </c>
    </row>
    <row r="662" spans="1:5">
      <c r="A662" s="578" t="s">
        <v>2277</v>
      </c>
      <c r="B662" s="578" t="s">
        <v>2278</v>
      </c>
      <c r="C662">
        <v>0</v>
      </c>
      <c r="D662" s="513">
        <v>-321999.05</v>
      </c>
      <c r="E662">
        <f>VLOOKUP(A662,Ucto_HK_summ!$A$2:$K$965,8,FALSE)</f>
        <v>-387872.7</v>
      </c>
    </row>
    <row r="663" spans="1:5">
      <c r="A663" s="578" t="s">
        <v>2279</v>
      </c>
      <c r="B663" s="578" t="s">
        <v>2280</v>
      </c>
      <c r="C663">
        <v>0</v>
      </c>
      <c r="D663" s="513">
        <v>-6316820.4100000001</v>
      </c>
      <c r="E663">
        <f>VLOOKUP(A663,Ucto_HK_summ!$A$2:$K$965,8,FALSE)</f>
        <v>-7388813.4800000004</v>
      </c>
    </row>
    <row r="664" spans="1:5">
      <c r="A664" s="578" t="s">
        <v>2281</v>
      </c>
      <c r="B664" s="578" t="s">
        <v>2282</v>
      </c>
      <c r="C664">
        <v>0</v>
      </c>
      <c r="D664" s="513">
        <v>-1107416.8</v>
      </c>
      <c r="E664">
        <f>VLOOKUP(A664,Ucto_HK_summ!$A$2:$K$965,8,FALSE)</f>
        <v>-1595573.39</v>
      </c>
    </row>
    <row r="665" spans="1:5">
      <c r="A665" s="578" t="s">
        <v>2283</v>
      </c>
      <c r="B665" s="578" t="s">
        <v>2284</v>
      </c>
      <c r="C665">
        <v>0</v>
      </c>
      <c r="D665" s="513">
        <v>-817029.33</v>
      </c>
      <c r="E665">
        <f>VLOOKUP(A665,Ucto_HK_summ!$A$2:$K$965,8,FALSE)</f>
        <v>-950942.33</v>
      </c>
    </row>
    <row r="666" spans="1:5">
      <c r="A666" s="578" t="s">
        <v>2285</v>
      </c>
      <c r="B666" s="578" t="s">
        <v>2286</v>
      </c>
      <c r="C666">
        <v>0</v>
      </c>
      <c r="D666" s="513">
        <v>-151666.04999999999</v>
      </c>
      <c r="E666">
        <f>VLOOKUP(A666,Ucto_HK_summ!$A$2:$K$965,8,FALSE)</f>
        <v>-175459.52</v>
      </c>
    </row>
    <row r="667" spans="1:5">
      <c r="A667" s="578" t="s">
        <v>2287</v>
      </c>
      <c r="B667" s="578" t="s">
        <v>2288</v>
      </c>
      <c r="C667">
        <v>0</v>
      </c>
      <c r="D667" s="513">
        <v>-36366.19</v>
      </c>
      <c r="E667">
        <f>VLOOKUP(A667,Ucto_HK_summ!$A$2:$K$965,8,FALSE)</f>
        <v>-51858.43</v>
      </c>
    </row>
    <row r="668" spans="1:5">
      <c r="A668" s="578" t="s">
        <v>2289</v>
      </c>
      <c r="B668" s="578" t="s">
        <v>2290</v>
      </c>
      <c r="C668">
        <v>0</v>
      </c>
      <c r="D668" s="513">
        <v>-16769.16</v>
      </c>
      <c r="E668">
        <f>VLOOKUP(A668,Ucto_HK_summ!$A$2:$K$965,8,FALSE)</f>
        <v>-16921.32</v>
      </c>
    </row>
    <row r="669" spans="1:5">
      <c r="A669" s="578" t="s">
        <v>2291</v>
      </c>
      <c r="B669" s="578" t="s">
        <v>2292</v>
      </c>
      <c r="C669">
        <v>0</v>
      </c>
      <c r="D669" s="513">
        <v>-3136391.9</v>
      </c>
      <c r="E669">
        <f>VLOOKUP(A669,Ucto_HK_summ!$A$2:$K$965,8,FALSE)</f>
        <v>-3708652.01</v>
      </c>
    </row>
    <row r="670" spans="1:5">
      <c r="A670" s="578" t="s">
        <v>2293</v>
      </c>
      <c r="B670" s="578" t="s">
        <v>2294</v>
      </c>
      <c r="C670">
        <v>0</v>
      </c>
      <c r="D670" s="513">
        <v>-152529.54999999999</v>
      </c>
      <c r="E670">
        <f>VLOOKUP(A670,Ucto_HK_summ!$A$2:$K$965,8,FALSE)</f>
        <v>-179589.64</v>
      </c>
    </row>
    <row r="671" spans="1:5">
      <c r="A671" s="578" t="s">
        <v>2295</v>
      </c>
      <c r="B671" s="578" t="s">
        <v>2296</v>
      </c>
      <c r="C671">
        <v>0</v>
      </c>
      <c r="D671" s="513">
        <v>-2479781.2400000002</v>
      </c>
      <c r="E671">
        <f>VLOOKUP(A671,Ucto_HK_summ!$A$2:$K$965,8,FALSE)</f>
        <v>-2925039.67</v>
      </c>
    </row>
    <row r="672" spans="1:5">
      <c r="A672" s="578" t="s">
        <v>2297</v>
      </c>
      <c r="B672" s="578" t="s">
        <v>2298</v>
      </c>
      <c r="C672">
        <v>0</v>
      </c>
      <c r="D672" s="513">
        <v>-40956.239999999998</v>
      </c>
      <c r="E672">
        <f>VLOOKUP(A672,Ucto_HK_summ!$A$2:$K$965,8,FALSE)</f>
        <v>-52417.24</v>
      </c>
    </row>
    <row r="673" spans="1:5">
      <c r="A673" s="578" t="s">
        <v>2299</v>
      </c>
      <c r="B673" s="578" t="s">
        <v>2300</v>
      </c>
      <c r="C673">
        <v>0</v>
      </c>
      <c r="D673" s="513">
        <v>-223818.11</v>
      </c>
      <c r="E673">
        <f>VLOOKUP(A673,Ucto_HK_summ!$A$2:$K$965,8,FALSE)</f>
        <v>-260454.28</v>
      </c>
    </row>
    <row r="674" spans="1:5">
      <c r="A674" s="578" t="s">
        <v>2301</v>
      </c>
      <c r="B674" s="578" t="s">
        <v>2302</v>
      </c>
      <c r="C674">
        <v>0</v>
      </c>
      <c r="D674" s="513">
        <v>-6567966.9000000004</v>
      </c>
      <c r="E674">
        <f>VLOOKUP(A674,Ucto_HK_summ!$A$2:$K$965,8,FALSE)</f>
        <v>-7681188.6100000003</v>
      </c>
    </row>
    <row r="675" spans="1:5">
      <c r="A675" s="578" t="s">
        <v>2303</v>
      </c>
      <c r="B675" s="578" t="s">
        <v>2304</v>
      </c>
      <c r="C675">
        <v>0</v>
      </c>
      <c r="D675" s="513">
        <v>-18780.07</v>
      </c>
      <c r="E675">
        <f>VLOOKUP(A675,Ucto_HK_summ!$A$2:$K$965,8,FALSE)</f>
        <v>-22231.05</v>
      </c>
    </row>
    <row r="676" spans="1:5">
      <c r="A676" s="578" t="s">
        <v>2305</v>
      </c>
      <c r="B676" s="578" t="s">
        <v>2306</v>
      </c>
      <c r="C676">
        <v>0</v>
      </c>
      <c r="D676" s="513">
        <v>-21578941.73</v>
      </c>
      <c r="E676">
        <f>VLOOKUP(A676,Ucto_HK_summ!$A$2:$K$965,8,FALSE)</f>
        <v>-26974577.510000002</v>
      </c>
    </row>
    <row r="677" spans="1:5">
      <c r="A677" s="578" t="s">
        <v>2307</v>
      </c>
      <c r="B677" s="578" t="s">
        <v>2308</v>
      </c>
      <c r="C677">
        <v>0</v>
      </c>
      <c r="D677" s="513">
        <v>-1593.36</v>
      </c>
      <c r="E677">
        <f>VLOOKUP(A677,Ucto_HK_summ!$A$2:$K$965,8,FALSE)</f>
        <v>-1659.75</v>
      </c>
    </row>
    <row r="678" spans="1:5">
      <c r="A678" s="578" t="s">
        <v>2803</v>
      </c>
      <c r="B678" s="578" t="s">
        <v>2804</v>
      </c>
      <c r="C678">
        <v>0</v>
      </c>
      <c r="D678">
        <v>-5.2</v>
      </c>
      <c r="E678">
        <f>VLOOKUP(A678,Ucto_HK_summ!$A$2:$K$965,8,FALSE)</f>
        <v>-5.2</v>
      </c>
    </row>
    <row r="679" spans="1:5">
      <c r="A679" s="578" t="s">
        <v>2309</v>
      </c>
      <c r="B679" s="578" t="s">
        <v>2310</v>
      </c>
      <c r="C679">
        <v>0</v>
      </c>
      <c r="D679" s="513">
        <v>-1599096.09</v>
      </c>
      <c r="E679">
        <f>VLOOKUP(A679,Ucto_HK_summ!$A$2:$K$965,8,FALSE)</f>
        <v>-1854467.07</v>
      </c>
    </row>
    <row r="680" spans="1:5">
      <c r="A680" s="578" t="s">
        <v>2311</v>
      </c>
      <c r="B680" s="578" t="s">
        <v>2312</v>
      </c>
      <c r="C680">
        <v>0</v>
      </c>
      <c r="D680" s="513">
        <v>-301019.14</v>
      </c>
      <c r="E680">
        <f>VLOOKUP(A680,Ucto_HK_summ!$A$2:$K$965,8,FALSE)</f>
        <v>-404391.63</v>
      </c>
    </row>
    <row r="681" spans="1:5">
      <c r="A681" s="578" t="s">
        <v>2313</v>
      </c>
      <c r="B681" s="578" t="s">
        <v>2314</v>
      </c>
      <c r="C681">
        <v>0</v>
      </c>
      <c r="D681" s="513">
        <v>-26039.05</v>
      </c>
      <c r="E681">
        <f>VLOOKUP(A681,Ucto_HK_summ!$A$2:$K$965,8,FALSE)</f>
        <v>-31444.23</v>
      </c>
    </row>
    <row r="682" spans="1:5">
      <c r="A682" s="578" t="s">
        <v>2315</v>
      </c>
      <c r="B682" s="578" t="s">
        <v>2316</v>
      </c>
      <c r="C682">
        <v>0</v>
      </c>
      <c r="D682" s="513">
        <v>-133504.26</v>
      </c>
      <c r="E682">
        <f>VLOOKUP(A682,Ucto_HK_summ!$A$2:$K$965,8,FALSE)</f>
        <v>-165049.95000000001</v>
      </c>
    </row>
    <row r="683" spans="1:5">
      <c r="A683" s="578" t="s">
        <v>2317</v>
      </c>
      <c r="B683" s="578" t="s">
        <v>2318</v>
      </c>
      <c r="C683">
        <v>0</v>
      </c>
      <c r="D683" s="513">
        <v>-2298195.4300000002</v>
      </c>
      <c r="E683">
        <f>VLOOKUP(A683,Ucto_HK_summ!$A$2:$K$965,8,FALSE)</f>
        <v>-2700620.23</v>
      </c>
    </row>
    <row r="684" spans="1:5">
      <c r="A684" s="578" t="s">
        <v>2319</v>
      </c>
      <c r="B684" s="578" t="s">
        <v>2320</v>
      </c>
      <c r="C684">
        <v>0</v>
      </c>
      <c r="D684" s="513">
        <v>-433538.99</v>
      </c>
      <c r="E684">
        <f>VLOOKUP(A684,Ucto_HK_summ!$A$2:$K$965,8,FALSE)</f>
        <v>-544378.31000000006</v>
      </c>
    </row>
    <row r="685" spans="1:5">
      <c r="A685" s="578" t="s">
        <v>2321</v>
      </c>
      <c r="B685" s="578" t="s">
        <v>2322</v>
      </c>
      <c r="C685">
        <v>0</v>
      </c>
      <c r="D685" s="513">
        <v>-476470.53</v>
      </c>
      <c r="E685">
        <f>VLOOKUP(A685,Ucto_HK_summ!$A$2:$K$965,8,FALSE)</f>
        <v>-562571.59</v>
      </c>
    </row>
    <row r="686" spans="1:5">
      <c r="A686" s="578" t="s">
        <v>2323</v>
      </c>
      <c r="B686" s="578" t="s">
        <v>2324</v>
      </c>
      <c r="C686">
        <v>0</v>
      </c>
      <c r="D686" s="513">
        <v>-21976.04</v>
      </c>
      <c r="E686">
        <f>VLOOKUP(A686,Ucto_HK_summ!$A$2:$K$965,8,FALSE)</f>
        <v>-32885.46</v>
      </c>
    </row>
    <row r="687" spans="1:5">
      <c r="A687" s="578" t="s">
        <v>2325</v>
      </c>
      <c r="B687" s="578" t="s">
        <v>2326</v>
      </c>
      <c r="C687">
        <v>0</v>
      </c>
      <c r="D687" s="513">
        <v>-15740.25</v>
      </c>
      <c r="E687">
        <f>VLOOKUP(A687,Ucto_HK_summ!$A$2:$K$965,8,FALSE)</f>
        <v>-16169.28</v>
      </c>
    </row>
    <row r="688" spans="1:5">
      <c r="A688" s="578" t="s">
        <v>2327</v>
      </c>
      <c r="B688" s="578" t="s">
        <v>2328</v>
      </c>
      <c r="C688">
        <v>0</v>
      </c>
      <c r="D688" s="513">
        <v>-1467109.04</v>
      </c>
      <c r="E688">
        <f>VLOOKUP(A688,Ucto_HK_summ!$A$2:$K$965,8,FALSE)</f>
        <v>-1847966.74</v>
      </c>
    </row>
    <row r="689" spans="1:5">
      <c r="A689" s="578" t="s">
        <v>2329</v>
      </c>
      <c r="B689" s="578" t="s">
        <v>2330</v>
      </c>
      <c r="C689">
        <v>0</v>
      </c>
      <c r="D689" s="513">
        <v>-42693.85</v>
      </c>
      <c r="E689">
        <f>VLOOKUP(A689,Ucto_HK_summ!$A$2:$K$965,8,FALSE)</f>
        <v>-50889.24</v>
      </c>
    </row>
    <row r="690" spans="1:5">
      <c r="A690" s="578" t="s">
        <v>2331</v>
      </c>
      <c r="B690" s="578" t="s">
        <v>2332</v>
      </c>
      <c r="C690">
        <v>0</v>
      </c>
      <c r="D690" s="513">
        <v>-1870845.57</v>
      </c>
      <c r="E690">
        <f>VLOOKUP(A690,Ucto_HK_summ!$A$2:$K$965,8,FALSE)</f>
        <v>-1350606.7</v>
      </c>
    </row>
    <row r="691" spans="1:5">
      <c r="A691" s="578" t="s">
        <v>2805</v>
      </c>
      <c r="B691" s="578" t="s">
        <v>2806</v>
      </c>
      <c r="C691">
        <v>0</v>
      </c>
      <c r="D691">
        <v>-4.8</v>
      </c>
      <c r="E691">
        <f>VLOOKUP(A691,Ucto_HK_summ!$A$2:$K$965,8,FALSE)</f>
        <v>-4.8</v>
      </c>
    </row>
    <row r="692" spans="1:5">
      <c r="A692" s="578" t="s">
        <v>2333</v>
      </c>
      <c r="B692" s="578" t="s">
        <v>2334</v>
      </c>
      <c r="C692">
        <v>0</v>
      </c>
      <c r="D692" s="513">
        <v>-81330.3</v>
      </c>
      <c r="E692">
        <f>VLOOKUP(A692,Ucto_HK_summ!$A$2:$K$965,8,FALSE)</f>
        <v>-92164.36</v>
      </c>
    </row>
    <row r="693" spans="1:5">
      <c r="A693" s="578" t="s">
        <v>2335</v>
      </c>
      <c r="B693" s="578" t="s">
        <v>2336</v>
      </c>
      <c r="C693">
        <v>0</v>
      </c>
      <c r="D693" s="513">
        <v>-1754668.32</v>
      </c>
      <c r="E693">
        <f>VLOOKUP(A693,Ucto_HK_summ!$A$2:$K$965,8,FALSE)</f>
        <v>-2060566.28</v>
      </c>
    </row>
    <row r="694" spans="1:5">
      <c r="A694" s="578" t="s">
        <v>2337</v>
      </c>
      <c r="B694" s="578" t="s">
        <v>2338</v>
      </c>
      <c r="C694">
        <v>0</v>
      </c>
      <c r="D694" s="550">
        <v>-7852</v>
      </c>
      <c r="E694">
        <f>VLOOKUP(A694,Ucto_HK_summ!$A$2:$K$965,8,FALSE)</f>
        <v>-9337</v>
      </c>
    </row>
    <row r="695" spans="1:5">
      <c r="A695" s="578" t="s">
        <v>2339</v>
      </c>
      <c r="B695" s="578" t="s">
        <v>2340</v>
      </c>
      <c r="C695">
        <v>0</v>
      </c>
      <c r="D695" s="513">
        <v>-6475825.0499999998</v>
      </c>
      <c r="E695">
        <f>VLOOKUP(A695,Ucto_HK_summ!$A$2:$K$965,8,FALSE)</f>
        <v>-7763296.3899999997</v>
      </c>
    </row>
    <row r="696" spans="1:5">
      <c r="A696" s="578" t="s">
        <v>2343</v>
      </c>
      <c r="B696" s="578" t="s">
        <v>2344</v>
      </c>
      <c r="C696">
        <v>0</v>
      </c>
      <c r="D696" s="513">
        <v>-87007.62</v>
      </c>
      <c r="E696">
        <f>VLOOKUP(A696,Ucto_HK_summ!$A$2:$K$965,8,FALSE)</f>
        <v>-87007.62</v>
      </c>
    </row>
    <row r="697" spans="1:5">
      <c r="A697" s="578" t="s">
        <v>2345</v>
      </c>
      <c r="B697" s="578" t="s">
        <v>2346</v>
      </c>
      <c r="C697">
        <v>0</v>
      </c>
      <c r="D697" s="513">
        <v>-735239.76</v>
      </c>
      <c r="E697">
        <f>VLOOKUP(A697,Ucto_HK_summ!$A$2:$K$965,8,FALSE)</f>
        <v>-848926.52</v>
      </c>
    </row>
    <row r="698" spans="1:5">
      <c r="A698" s="578" t="s">
        <v>2347</v>
      </c>
      <c r="B698" s="578" t="s">
        <v>2348</v>
      </c>
      <c r="C698">
        <v>0</v>
      </c>
      <c r="D698" s="513">
        <v>-98446.53</v>
      </c>
      <c r="E698">
        <f>VLOOKUP(A698,Ucto_HK_summ!$A$2:$K$965,8,FALSE)</f>
        <v>-126798.87</v>
      </c>
    </row>
    <row r="699" spans="1:5">
      <c r="A699" s="578" t="s">
        <v>2349</v>
      </c>
      <c r="B699" s="578" t="s">
        <v>2350</v>
      </c>
      <c r="C699">
        <v>0</v>
      </c>
      <c r="D699" s="513">
        <v>-10737.06</v>
      </c>
      <c r="E699">
        <f>VLOOKUP(A699,Ucto_HK_summ!$A$2:$K$965,8,FALSE)</f>
        <v>-12942.64</v>
      </c>
    </row>
    <row r="700" spans="1:5">
      <c r="A700" s="578" t="s">
        <v>2351</v>
      </c>
      <c r="B700" s="578" t="s">
        <v>2352</v>
      </c>
      <c r="C700">
        <v>0</v>
      </c>
      <c r="D700" s="513">
        <v>-92458.21</v>
      </c>
      <c r="E700">
        <f>VLOOKUP(A700,Ucto_HK_summ!$A$2:$K$965,8,FALSE)</f>
        <v>-112442.36</v>
      </c>
    </row>
    <row r="701" spans="1:5">
      <c r="A701" s="578" t="s">
        <v>2353</v>
      </c>
      <c r="B701" s="578" t="s">
        <v>2354</v>
      </c>
      <c r="C701">
        <v>0</v>
      </c>
      <c r="D701" s="513">
        <v>-1200488.76</v>
      </c>
      <c r="E701">
        <f>VLOOKUP(A701,Ucto_HK_summ!$A$2:$K$965,8,FALSE)</f>
        <v>-1443410.89</v>
      </c>
    </row>
    <row r="702" spans="1:5">
      <c r="A702" s="578" t="s">
        <v>2355</v>
      </c>
      <c r="B702" s="578" t="s">
        <v>2356</v>
      </c>
      <c r="C702">
        <v>0</v>
      </c>
      <c r="D702" s="513">
        <v>-305504.67</v>
      </c>
      <c r="E702">
        <f>VLOOKUP(A702,Ucto_HK_summ!$A$2:$K$965,8,FALSE)</f>
        <v>-423957.27</v>
      </c>
    </row>
    <row r="703" spans="1:5">
      <c r="A703" s="578" t="s">
        <v>2357</v>
      </c>
      <c r="B703" s="578" t="s">
        <v>2358</v>
      </c>
      <c r="C703">
        <v>0</v>
      </c>
      <c r="D703" s="513">
        <v>-134740.54999999999</v>
      </c>
      <c r="E703">
        <f>VLOOKUP(A703,Ucto_HK_summ!$A$2:$K$965,8,FALSE)</f>
        <v>-210815.01</v>
      </c>
    </row>
    <row r="704" spans="1:5">
      <c r="A704" s="578" t="s">
        <v>2359</v>
      </c>
      <c r="B704" s="578" t="s">
        <v>2360</v>
      </c>
      <c r="C704">
        <v>0</v>
      </c>
      <c r="D704" s="513">
        <v>-4132.95</v>
      </c>
      <c r="E704">
        <f>VLOOKUP(A704,Ucto_HK_summ!$A$2:$K$965,8,FALSE)</f>
        <v>-8073.39</v>
      </c>
    </row>
    <row r="705" spans="1:5">
      <c r="A705" s="578" t="s">
        <v>2361</v>
      </c>
      <c r="B705" s="578" t="s">
        <v>2362</v>
      </c>
      <c r="C705">
        <v>0</v>
      </c>
      <c r="D705" s="513">
        <v>-25907.119999999999</v>
      </c>
      <c r="E705">
        <f>VLOOKUP(A705,Ucto_HK_summ!$A$2:$K$965,8,FALSE)</f>
        <v>-15280.14</v>
      </c>
    </row>
    <row r="706" spans="1:5">
      <c r="A706" s="578" t="s">
        <v>2363</v>
      </c>
      <c r="B706" s="578" t="s">
        <v>2364</v>
      </c>
      <c r="C706">
        <v>0</v>
      </c>
      <c r="D706" s="513">
        <v>-368554.63</v>
      </c>
      <c r="E706">
        <f>VLOOKUP(A706,Ucto_HK_summ!$A$2:$K$965,8,FALSE)</f>
        <v>-440820.9</v>
      </c>
    </row>
    <row r="707" spans="1:5">
      <c r="A707" s="578" t="s">
        <v>2365</v>
      </c>
      <c r="B707" s="578" t="s">
        <v>2366</v>
      </c>
      <c r="C707">
        <v>0</v>
      </c>
      <c r="D707" s="513">
        <v>-16049.44</v>
      </c>
      <c r="E707">
        <f>VLOOKUP(A707,Ucto_HK_summ!$A$2:$K$965,8,FALSE)</f>
        <v>-18141.900000000001</v>
      </c>
    </row>
    <row r="708" spans="1:5">
      <c r="A708" s="578" t="s">
        <v>2367</v>
      </c>
      <c r="B708" s="578" t="s">
        <v>2368</v>
      </c>
      <c r="C708">
        <v>0</v>
      </c>
      <c r="D708" s="513">
        <v>-456214.43</v>
      </c>
      <c r="E708">
        <f>VLOOKUP(A708,Ucto_HK_summ!$A$2:$K$965,8,FALSE)</f>
        <v>-623544.86</v>
      </c>
    </row>
    <row r="709" spans="1:5">
      <c r="A709" s="578" t="s">
        <v>2369</v>
      </c>
      <c r="B709" s="578" t="s">
        <v>2370</v>
      </c>
      <c r="C709">
        <v>0</v>
      </c>
      <c r="D709" s="513">
        <v>-3596.73</v>
      </c>
      <c r="E709">
        <f>VLOOKUP(A709,Ucto_HK_summ!$A$2:$K$965,8,FALSE)</f>
        <v>-3596.73</v>
      </c>
    </row>
    <row r="710" spans="1:5">
      <c r="A710" s="578" t="s">
        <v>2371</v>
      </c>
      <c r="B710" s="578" t="s">
        <v>2372</v>
      </c>
      <c r="C710">
        <v>0</v>
      </c>
      <c r="D710" s="513">
        <v>-56035.96</v>
      </c>
      <c r="E710">
        <f>VLOOKUP(A710,Ucto_HK_summ!$A$2:$K$965,8,FALSE)</f>
        <v>-59202.84</v>
      </c>
    </row>
    <row r="711" spans="1:5">
      <c r="A711" s="578" t="s">
        <v>2373</v>
      </c>
      <c r="B711" s="578" t="s">
        <v>2374</v>
      </c>
      <c r="C711">
        <v>0</v>
      </c>
      <c r="D711" s="513">
        <v>-633787.29</v>
      </c>
      <c r="E711">
        <f>VLOOKUP(A711,Ucto_HK_summ!$A$2:$K$965,8,FALSE)</f>
        <v>-715007.39</v>
      </c>
    </row>
    <row r="712" spans="1:5">
      <c r="A712" s="578" t="s">
        <v>2375</v>
      </c>
      <c r="B712" s="578" t="s">
        <v>2376</v>
      </c>
      <c r="C712">
        <v>0</v>
      </c>
      <c r="D712" s="513">
        <v>-4390.3999999999996</v>
      </c>
      <c r="E712">
        <f>VLOOKUP(A712,Ucto_HK_summ!$A$2:$K$965,8,FALSE)</f>
        <v>-4605.6000000000004</v>
      </c>
    </row>
    <row r="713" spans="1:5">
      <c r="A713" s="578" t="s">
        <v>2377</v>
      </c>
      <c r="B713" s="578" t="s">
        <v>2378</v>
      </c>
      <c r="C713">
        <v>0</v>
      </c>
      <c r="D713" s="513">
        <v>-283976.51</v>
      </c>
      <c r="E713">
        <f>VLOOKUP(A713,Ucto_HK_summ!$A$2:$K$965,8,FALSE)</f>
        <v>-357465.24</v>
      </c>
    </row>
    <row r="714" spans="1:5">
      <c r="A714" s="578" t="s">
        <v>2379</v>
      </c>
      <c r="B714" s="578" t="s">
        <v>2380</v>
      </c>
      <c r="C714">
        <v>0</v>
      </c>
      <c r="D714" s="550">
        <v>-4441</v>
      </c>
      <c r="E714">
        <f>VLOOKUP(A714,Ucto_HK_summ!$A$2:$K$965,8,FALSE)</f>
        <v>-6035</v>
      </c>
    </row>
    <row r="715" spans="1:5">
      <c r="A715" s="578" t="s">
        <v>2381</v>
      </c>
      <c r="B715" s="578" t="s">
        <v>2382</v>
      </c>
      <c r="C715">
        <v>0</v>
      </c>
      <c r="D715" s="513">
        <v>-66589.48</v>
      </c>
      <c r="E715">
        <f>VLOOKUP(A715,Ucto_HK_summ!$A$2:$K$965,8,FALSE)</f>
        <v>-75433.13</v>
      </c>
    </row>
    <row r="716" spans="1:5">
      <c r="A716" s="578" t="s">
        <v>2383</v>
      </c>
      <c r="B716" s="578" t="s">
        <v>2384</v>
      </c>
      <c r="C716">
        <v>0</v>
      </c>
      <c r="D716" s="513">
        <v>-271718.57</v>
      </c>
      <c r="E716">
        <f>VLOOKUP(A716,Ucto_HK_summ!$A$2:$K$965,8,FALSE)</f>
        <v>-348154.29</v>
      </c>
    </row>
    <row r="717" spans="1:5">
      <c r="A717" s="578" t="s">
        <v>2385</v>
      </c>
      <c r="B717" s="578" t="s">
        <v>2386</v>
      </c>
      <c r="C717">
        <v>0</v>
      </c>
      <c r="D717" s="513">
        <v>-72414.16</v>
      </c>
      <c r="E717">
        <f>VLOOKUP(A717,Ucto_HK_summ!$A$2:$K$965,8,FALSE)</f>
        <v>-83312.350000000006</v>
      </c>
    </row>
    <row r="718" spans="1:5">
      <c r="A718" s="578" t="s">
        <v>2387</v>
      </c>
      <c r="B718" s="578" t="s">
        <v>2388</v>
      </c>
      <c r="C718">
        <v>0</v>
      </c>
      <c r="D718" s="513">
        <v>-16088.15</v>
      </c>
      <c r="E718">
        <f>VLOOKUP(A718,Ucto_HK_summ!$A$2:$K$965,8,FALSE)</f>
        <v>-20887.900000000001</v>
      </c>
    </row>
    <row r="719" spans="1:5">
      <c r="A719" s="578" t="s">
        <v>2389</v>
      </c>
      <c r="B719" s="578" t="s">
        <v>2390</v>
      </c>
      <c r="C719">
        <v>0</v>
      </c>
      <c r="D719" s="513">
        <v>-15940.62</v>
      </c>
      <c r="E719">
        <f>VLOOKUP(A719,Ucto_HK_summ!$A$2:$K$965,8,FALSE)</f>
        <v>-18474.509999999998</v>
      </c>
    </row>
    <row r="720" spans="1:5">
      <c r="A720" s="578" t="s">
        <v>2391</v>
      </c>
      <c r="B720" s="578" t="s">
        <v>2392</v>
      </c>
      <c r="C720">
        <v>0</v>
      </c>
      <c r="D720" s="513">
        <v>-37012.69</v>
      </c>
      <c r="E720">
        <f>VLOOKUP(A720,Ucto_HK_summ!$A$2:$K$965,8,FALSE)</f>
        <v>-40995.22</v>
      </c>
    </row>
    <row r="721" spans="1:5">
      <c r="A721" s="578" t="s">
        <v>2393</v>
      </c>
      <c r="B721" s="578" t="s">
        <v>2394</v>
      </c>
      <c r="C721">
        <v>0</v>
      </c>
      <c r="D721">
        <v>-140</v>
      </c>
      <c r="E721">
        <f>VLOOKUP(A721,Ucto_HK_summ!$A$2:$K$965,8,FALSE)</f>
        <v>-140</v>
      </c>
    </row>
    <row r="722" spans="1:5">
      <c r="A722" s="578" t="s">
        <v>2395</v>
      </c>
      <c r="B722" s="578" t="s">
        <v>2396</v>
      </c>
      <c r="C722">
        <v>0</v>
      </c>
      <c r="D722" s="513">
        <v>-10037.75</v>
      </c>
      <c r="E722">
        <f>VLOOKUP(A722,Ucto_HK_summ!$A$2:$K$965,8,FALSE)</f>
        <v>-11537.75</v>
      </c>
    </row>
    <row r="723" spans="1:5">
      <c r="A723" s="578" t="s">
        <v>2397</v>
      </c>
      <c r="B723" s="578" t="s">
        <v>2398</v>
      </c>
      <c r="C723">
        <v>0</v>
      </c>
      <c r="D723" s="513">
        <v>-6863.94</v>
      </c>
      <c r="E723">
        <f>VLOOKUP(A723,Ucto_HK_summ!$A$2:$K$965,8,FALSE)</f>
        <v>-8076.34</v>
      </c>
    </row>
    <row r="724" spans="1:5" s="331" customFormat="1">
      <c r="A724" s="581" t="s">
        <v>2399</v>
      </c>
      <c r="B724" s="581" t="s">
        <v>2400</v>
      </c>
      <c r="C724" s="331">
        <v>0</v>
      </c>
      <c r="D724" s="582">
        <v>-3422.91</v>
      </c>
      <c r="E724">
        <f>VLOOKUP(A724,Ucto_HK_summ!$A$2:$K$965,8,FALSE)</f>
        <v>-4135.91</v>
      </c>
    </row>
    <row r="725" spans="1:5" s="331" customFormat="1">
      <c r="A725" s="581" t="s">
        <v>2401</v>
      </c>
      <c r="B725" s="581" t="s">
        <v>2402</v>
      </c>
      <c r="C725" s="331">
        <v>0</v>
      </c>
      <c r="D725" s="582">
        <v>-5723.18</v>
      </c>
      <c r="E725">
        <f>VLOOKUP(A725,Ucto_HK_summ!$A$2:$K$965,8,FALSE)</f>
        <v>-7291.88</v>
      </c>
    </row>
    <row r="726" spans="1:5" s="331" customFormat="1">
      <c r="A726" s="581" t="s">
        <v>2403</v>
      </c>
      <c r="B726" s="581" t="s">
        <v>2404</v>
      </c>
      <c r="C726" s="331">
        <v>0</v>
      </c>
      <c r="D726" s="331">
        <v>-686.77</v>
      </c>
      <c r="E726">
        <f>VLOOKUP(A726,Ucto_HK_summ!$A$2:$K$965,8,FALSE)</f>
        <v>-1123.56</v>
      </c>
    </row>
    <row r="727" spans="1:5" s="331" customFormat="1">
      <c r="A727" s="581" t="s">
        <v>2405</v>
      </c>
      <c r="B727" s="581" t="s">
        <v>2406</v>
      </c>
      <c r="C727" s="331">
        <v>0</v>
      </c>
      <c r="D727" s="582">
        <v>-40463.06</v>
      </c>
      <c r="E727">
        <f>VLOOKUP(A727,Ucto_HK_summ!$A$2:$K$965,8,FALSE)</f>
        <v>-41883.919999999998</v>
      </c>
    </row>
    <row r="728" spans="1:5" s="331" customFormat="1">
      <c r="A728" s="581" t="s">
        <v>2407</v>
      </c>
      <c r="B728" s="581" t="s">
        <v>2408</v>
      </c>
      <c r="C728" s="331">
        <v>0</v>
      </c>
      <c r="D728" s="582">
        <v>-288472.83</v>
      </c>
      <c r="E728">
        <f>VLOOKUP(A728,Ucto_HK_summ!$A$2:$K$965,8,FALSE)</f>
        <v>-427739.67</v>
      </c>
    </row>
    <row r="729" spans="1:5" s="331" customFormat="1">
      <c r="A729" s="581" t="s">
        <v>2409</v>
      </c>
      <c r="B729" s="581" t="s">
        <v>2410</v>
      </c>
      <c r="C729" s="331">
        <v>0</v>
      </c>
      <c r="D729" s="582">
        <v>-173853.53</v>
      </c>
      <c r="E729">
        <f>VLOOKUP(A729,Ucto_HK_summ!$A$2:$K$965,8,FALSE)</f>
        <v>-198946.87</v>
      </c>
    </row>
    <row r="730" spans="1:5" s="331" customFormat="1">
      <c r="A730" s="581" t="s">
        <v>2411</v>
      </c>
      <c r="B730" s="581" t="s">
        <v>2412</v>
      </c>
      <c r="C730" s="331">
        <v>0</v>
      </c>
      <c r="D730" s="583">
        <v>-8210</v>
      </c>
      <c r="E730">
        <f>VLOOKUP(A730,Ucto_HK_summ!$A$2:$K$965,8,FALSE)</f>
        <v>-10600</v>
      </c>
    </row>
    <row r="731" spans="1:5" s="331" customFormat="1">
      <c r="A731" s="581" t="s">
        <v>2413</v>
      </c>
      <c r="B731" s="581" t="s">
        <v>2414</v>
      </c>
      <c r="C731" s="331">
        <v>0</v>
      </c>
      <c r="D731" s="582">
        <v>-68196.789999999994</v>
      </c>
      <c r="E731">
        <f>VLOOKUP(A731,Ucto_HK_summ!$A$2:$K$965,8,FALSE)</f>
        <v>-80989.59</v>
      </c>
    </row>
    <row r="732" spans="1:5" s="331" customFormat="1">
      <c r="A732" s="581" t="s">
        <v>2415</v>
      </c>
      <c r="B732" s="581" t="s">
        <v>2416</v>
      </c>
      <c r="C732" s="331">
        <v>0</v>
      </c>
      <c r="D732" s="582">
        <v>-103710.92</v>
      </c>
      <c r="E732">
        <f>VLOOKUP(A732,Ucto_HK_summ!$A$2:$K$965,8,FALSE)</f>
        <v>-130392.42</v>
      </c>
    </row>
    <row r="733" spans="1:5">
      <c r="A733" s="578" t="s">
        <v>2417</v>
      </c>
      <c r="B733" s="578" t="s">
        <v>2418</v>
      </c>
      <c r="C733">
        <v>0</v>
      </c>
      <c r="D733" s="513">
        <v>-944844.68</v>
      </c>
      <c r="E733">
        <f>VLOOKUP(A733,Ucto_HK_summ!$A$2:$K$965,8,FALSE)</f>
        <v>-1279283.21</v>
      </c>
    </row>
    <row r="734" spans="1:5">
      <c r="A734" s="578" t="s">
        <v>2419</v>
      </c>
      <c r="B734" s="578" t="s">
        <v>2420</v>
      </c>
      <c r="C734">
        <v>0</v>
      </c>
      <c r="D734" s="550">
        <v>-19400</v>
      </c>
      <c r="E734">
        <f>VLOOKUP(A734,Ucto_HK_summ!$A$2:$K$965,8,FALSE)</f>
        <v>-23000</v>
      </c>
    </row>
    <row r="735" spans="1:5">
      <c r="A735" s="578" t="s">
        <v>2421</v>
      </c>
      <c r="B735" s="578" t="s">
        <v>2422</v>
      </c>
      <c r="C735">
        <v>0</v>
      </c>
      <c r="D735" s="550">
        <v>-21370</v>
      </c>
      <c r="E735">
        <f>VLOOKUP(A735,Ucto_HK_summ!$A$2:$K$965,8,FALSE)</f>
        <v>-34995</v>
      </c>
    </row>
    <row r="736" spans="1:5">
      <c r="A736" s="578" t="s">
        <v>2423</v>
      </c>
      <c r="B736" s="578" t="s">
        <v>2424</v>
      </c>
      <c r="C736">
        <v>0</v>
      </c>
      <c r="D736" s="513">
        <v>-275358.32</v>
      </c>
      <c r="E736">
        <f>VLOOKUP(A736,Ucto_HK_summ!$A$2:$K$965,8,FALSE)</f>
        <v>-765242.48</v>
      </c>
    </row>
    <row r="737" spans="1:5">
      <c r="A737" s="578" t="s">
        <v>2425</v>
      </c>
      <c r="B737" s="578" t="s">
        <v>2426</v>
      </c>
      <c r="C737">
        <v>0</v>
      </c>
      <c r="D737" s="513">
        <v>-2498.0100000000002</v>
      </c>
      <c r="E737">
        <f>VLOOKUP(A737,Ucto_HK_summ!$A$2:$K$965,8,FALSE)</f>
        <v>-3036.41</v>
      </c>
    </row>
    <row r="738" spans="1:5">
      <c r="A738" s="578" t="s">
        <v>2427</v>
      </c>
      <c r="B738" s="578" t="s">
        <v>1652</v>
      </c>
      <c r="C738">
        <v>0</v>
      </c>
      <c r="D738" s="513">
        <v>-48670.5</v>
      </c>
      <c r="E738">
        <f>VLOOKUP(A738,Ucto_HK_summ!$A$2:$K$965,8,FALSE)</f>
        <v>-46788</v>
      </c>
    </row>
    <row r="739" spans="1:5">
      <c r="A739" s="578" t="s">
        <v>2428</v>
      </c>
      <c r="B739" s="578" t="s">
        <v>2429</v>
      </c>
      <c r="C739">
        <v>0</v>
      </c>
      <c r="D739">
        <v>-15.76</v>
      </c>
      <c r="E739">
        <f>VLOOKUP(A739,Ucto_HK_summ!$A$2:$K$965,8,FALSE)</f>
        <v>-15.76</v>
      </c>
    </row>
    <row r="740" spans="1:5">
      <c r="A740" s="578" t="s">
        <v>2430</v>
      </c>
      <c r="B740" s="578" t="s">
        <v>2431</v>
      </c>
      <c r="C740">
        <v>0</v>
      </c>
      <c r="D740" s="513">
        <v>-473002.84</v>
      </c>
      <c r="E740">
        <f>VLOOKUP(A740,Ucto_HK_summ!$A$2:$K$965,8,FALSE)</f>
        <v>-572405.43999999994</v>
      </c>
    </row>
    <row r="741" spans="1:5">
      <c r="A741" s="578" t="s">
        <v>2432</v>
      </c>
      <c r="B741" s="578" t="s">
        <v>2433</v>
      </c>
      <c r="C741">
        <v>0</v>
      </c>
      <c r="D741" s="513">
        <v>-486084.03</v>
      </c>
      <c r="E741">
        <f>VLOOKUP(A741,Ucto_HK_summ!$A$2:$K$965,8,FALSE)</f>
        <v>-570972.16000000003</v>
      </c>
    </row>
    <row r="742" spans="1:5">
      <c r="A742" s="578" t="s">
        <v>2434</v>
      </c>
      <c r="B742" s="578" t="s">
        <v>2435</v>
      </c>
      <c r="C742">
        <v>0</v>
      </c>
      <c r="D742" s="513">
        <v>-6536.9</v>
      </c>
      <c r="E742">
        <f>VLOOKUP(A742,Ucto_HK_summ!$A$2:$K$965,8,FALSE)</f>
        <v>-7844.28</v>
      </c>
    </row>
    <row r="743" spans="1:5">
      <c r="A743" s="578" t="s">
        <v>2436</v>
      </c>
      <c r="B743" s="578" t="s">
        <v>2437</v>
      </c>
      <c r="C743">
        <v>0</v>
      </c>
      <c r="D743">
        <v>-175.82</v>
      </c>
      <c r="E743">
        <f>VLOOKUP(A743,Ucto_HK_summ!$A$2:$K$965,8,FALSE)</f>
        <v>-195.82</v>
      </c>
    </row>
    <row r="744" spans="1:5">
      <c r="A744" s="578" t="s">
        <v>2438</v>
      </c>
      <c r="B744" s="578" t="s">
        <v>2439</v>
      </c>
      <c r="C744">
        <v>0</v>
      </c>
      <c r="D744" s="513">
        <v>-33789.18</v>
      </c>
      <c r="E744">
        <f>VLOOKUP(A744,Ucto_HK_summ!$A$2:$K$965,8,FALSE)</f>
        <v>-66685.34</v>
      </c>
    </row>
    <row r="745" spans="1:5">
      <c r="A745" s="578" t="s">
        <v>2440</v>
      </c>
      <c r="B745" s="578" t="s">
        <v>2441</v>
      </c>
      <c r="C745">
        <v>0</v>
      </c>
      <c r="D745" s="513">
        <v>-234966.33</v>
      </c>
      <c r="E745">
        <f>VLOOKUP(A745,Ucto_HK_summ!$A$2:$K$965,8,FALSE)</f>
        <v>-274541.78999999998</v>
      </c>
    </row>
    <row r="746" spans="1:5">
      <c r="A746" s="578" t="s">
        <v>2442</v>
      </c>
      <c r="B746" s="578" t="s">
        <v>2443</v>
      </c>
      <c r="C746">
        <v>0</v>
      </c>
      <c r="D746" s="513">
        <v>-6374.08</v>
      </c>
      <c r="E746">
        <f>VLOOKUP(A746,Ucto_HK_summ!$A$2:$K$965,8,FALSE)</f>
        <v>-7524.23</v>
      </c>
    </row>
    <row r="747" spans="1:5" s="331" customFormat="1">
      <c r="A747" s="581" t="s">
        <v>2444</v>
      </c>
      <c r="B747" s="581" t="s">
        <v>2445</v>
      </c>
      <c r="C747" s="331">
        <v>0</v>
      </c>
      <c r="D747" s="582">
        <v>-90801.01</v>
      </c>
      <c r="E747">
        <f>VLOOKUP(A747,Ucto_HK_summ!$A$2:$K$965,8,FALSE)</f>
        <v>-93507.77</v>
      </c>
    </row>
    <row r="748" spans="1:5">
      <c r="A748" s="578" t="s">
        <v>2446</v>
      </c>
      <c r="B748" s="578" t="s">
        <v>2447</v>
      </c>
      <c r="C748">
        <v>0</v>
      </c>
      <c r="D748" s="550">
        <v>-3240</v>
      </c>
      <c r="E748">
        <f>VLOOKUP(A748,Ucto_HK_summ!$A$2:$K$965,8,FALSE)</f>
        <v>-3820</v>
      </c>
    </row>
    <row r="749" spans="1:5">
      <c r="A749" s="578" t="s">
        <v>2448</v>
      </c>
      <c r="B749" s="578" t="s">
        <v>2449</v>
      </c>
      <c r="C749">
        <v>0</v>
      </c>
      <c r="D749" s="513">
        <v>-44214.16</v>
      </c>
      <c r="E749">
        <f>VLOOKUP(A749,Ucto_HK_summ!$A$2:$K$965,8,FALSE)</f>
        <v>-66071.399999999994</v>
      </c>
    </row>
    <row r="750" spans="1:5">
      <c r="A750" s="578" t="s">
        <v>2450</v>
      </c>
      <c r="B750" s="578" t="s">
        <v>2451</v>
      </c>
      <c r="C750">
        <v>0</v>
      </c>
      <c r="D750" s="513">
        <v>-29751.88</v>
      </c>
      <c r="E750">
        <f>VLOOKUP(A750,Ucto_HK_summ!$A$2:$K$965,8,FALSE)</f>
        <v>-43593.02</v>
      </c>
    </row>
    <row r="751" spans="1:5">
      <c r="A751" s="578" t="s">
        <v>909</v>
      </c>
      <c r="C751">
        <v>0</v>
      </c>
      <c r="D751" s="513">
        <v>-105979392.93000001</v>
      </c>
      <c r="E751">
        <f>VLOOKUP(A751,Ucto_HK_summ!$A$2:$K$965,8,FALSE)</f>
        <v>-127492099.15000001</v>
      </c>
    </row>
    <row r="752" spans="1:5">
      <c r="A752" s="578" t="s">
        <v>2452</v>
      </c>
      <c r="B752" s="578" t="s">
        <v>2453</v>
      </c>
      <c r="C752">
        <v>0</v>
      </c>
      <c r="D752" s="513">
        <v>-255745.07</v>
      </c>
      <c r="E752">
        <f>VLOOKUP(A752,Ucto_HK_summ!$A$2:$K$965,8,FALSE)</f>
        <v>-307701.36</v>
      </c>
    </row>
    <row r="753" spans="1:5">
      <c r="A753" s="578" t="s">
        <v>2454</v>
      </c>
      <c r="B753" s="578" t="s">
        <v>2455</v>
      </c>
      <c r="C753">
        <v>0</v>
      </c>
      <c r="D753" s="513">
        <v>-32285.73</v>
      </c>
      <c r="E753">
        <f>VLOOKUP(A753,Ucto_HK_summ!$A$2:$K$965,8,FALSE)</f>
        <v>-42017.04</v>
      </c>
    </row>
    <row r="754" spans="1:5">
      <c r="A754" s="578" t="s">
        <v>2456</v>
      </c>
      <c r="B754" s="578" t="s">
        <v>2457</v>
      </c>
      <c r="C754">
        <v>0</v>
      </c>
      <c r="D754" s="513">
        <v>-100440.27</v>
      </c>
      <c r="E754">
        <f>VLOOKUP(A754,Ucto_HK_summ!$A$2:$K$965,8,FALSE)</f>
        <v>-129174.31</v>
      </c>
    </row>
    <row r="755" spans="1:5">
      <c r="A755" s="578" t="s">
        <v>2807</v>
      </c>
      <c r="B755" s="578" t="s">
        <v>2808</v>
      </c>
      <c r="C755">
        <v>0</v>
      </c>
      <c r="D755">
        <v>-570.26</v>
      </c>
      <c r="E755">
        <f>VLOOKUP(A755,Ucto_HK_summ!$A$2:$K$965,8,FALSE)</f>
        <v>-668.18</v>
      </c>
    </row>
    <row r="756" spans="1:5">
      <c r="A756" s="578" t="s">
        <v>2458</v>
      </c>
      <c r="B756" s="578" t="s">
        <v>2459</v>
      </c>
      <c r="C756">
        <v>0</v>
      </c>
      <c r="D756" s="513">
        <v>-1369807.42</v>
      </c>
      <c r="E756">
        <f>VLOOKUP(A756,Ucto_HK_summ!$A$2:$K$965,8,FALSE)</f>
        <v>-1748230.82</v>
      </c>
    </row>
    <row r="757" spans="1:5">
      <c r="A757" s="578" t="s">
        <v>2460</v>
      </c>
      <c r="B757" s="578" t="s">
        <v>2461</v>
      </c>
      <c r="C757">
        <v>0</v>
      </c>
      <c r="D757" s="513">
        <v>-10015.799999999999</v>
      </c>
      <c r="E757">
        <f>VLOOKUP(A757,Ucto_HK_summ!$A$2:$K$965,8,FALSE)</f>
        <v>-12469.94</v>
      </c>
    </row>
    <row r="758" spans="1:5">
      <c r="A758" s="578" t="s">
        <v>2462</v>
      </c>
      <c r="B758" s="578" t="s">
        <v>2463</v>
      </c>
      <c r="C758">
        <v>0</v>
      </c>
      <c r="D758" s="513">
        <v>-522509.19</v>
      </c>
      <c r="E758">
        <f>VLOOKUP(A758,Ucto_HK_summ!$A$2:$K$965,8,FALSE)</f>
        <v>-702658.4</v>
      </c>
    </row>
    <row r="759" spans="1:5">
      <c r="A759" s="578" t="s">
        <v>2464</v>
      </c>
      <c r="B759" s="578" t="s">
        <v>2465</v>
      </c>
      <c r="C759">
        <v>0</v>
      </c>
      <c r="D759" s="513">
        <v>-8440.17</v>
      </c>
      <c r="E759">
        <f>VLOOKUP(A759,Ucto_HK_summ!$A$2:$K$965,8,FALSE)</f>
        <v>-9982.56</v>
      </c>
    </row>
    <row r="760" spans="1:5">
      <c r="A760" s="578" t="s">
        <v>2466</v>
      </c>
      <c r="B760" s="578" t="s">
        <v>2467</v>
      </c>
      <c r="C760">
        <v>0</v>
      </c>
      <c r="D760" s="513">
        <v>-145762.01</v>
      </c>
      <c r="E760">
        <f>VLOOKUP(A760,Ucto_HK_summ!$A$2:$K$965,8,FALSE)</f>
        <v>-207152.27</v>
      </c>
    </row>
    <row r="761" spans="1:5">
      <c r="A761" s="578" t="s">
        <v>2468</v>
      </c>
      <c r="B761" s="578" t="s">
        <v>2469</v>
      </c>
      <c r="C761">
        <v>0</v>
      </c>
      <c r="D761" s="513">
        <v>-1719.74</v>
      </c>
      <c r="E761">
        <f>VLOOKUP(A761,Ucto_HK_summ!$A$2:$K$965,8,FALSE)</f>
        <v>-2064.04</v>
      </c>
    </row>
    <row r="762" spans="1:5">
      <c r="A762" s="578" t="s">
        <v>2470</v>
      </c>
      <c r="C762">
        <v>0</v>
      </c>
      <c r="D762" s="513">
        <v>-2447295.66</v>
      </c>
      <c r="E762">
        <f>VLOOKUP(A762,Ucto_HK_summ!$A$2:$K$965,8,FALSE)</f>
        <v>-3162118.92</v>
      </c>
    </row>
    <row r="763" spans="1:5">
      <c r="A763" s="577" t="s">
        <v>2471</v>
      </c>
      <c r="C763" s="369">
        <v>0</v>
      </c>
      <c r="D763" s="579">
        <v>-108426688.59</v>
      </c>
      <c r="E763">
        <f>VLOOKUP(A763,Ucto_HK_summ!$A$2:$K$965,8,FALSE)</f>
        <v>-130654218.06999999</v>
      </c>
    </row>
    <row r="765" spans="1:5">
      <c r="A765" s="578" t="s">
        <v>2809</v>
      </c>
      <c r="B765" s="578" t="s">
        <v>2810</v>
      </c>
      <c r="C765">
        <v>0</v>
      </c>
      <c r="D765">
        <v>-31.64</v>
      </c>
      <c r="E765">
        <f>VLOOKUP(A765,Ucto_HK_summ!$A$2:$K$965,8,FALSE)</f>
        <v>-39.64</v>
      </c>
    </row>
    <row r="766" spans="1:5">
      <c r="A766" s="578" t="s">
        <v>922</v>
      </c>
      <c r="C766">
        <v>0</v>
      </c>
      <c r="D766">
        <v>-31.64</v>
      </c>
      <c r="E766">
        <f>VLOOKUP(A766,Ucto_HK_summ!$A$2:$K$965,8,FALSE)</f>
        <v>-39.64</v>
      </c>
    </row>
    <row r="767" spans="1:5">
      <c r="A767" s="578" t="s">
        <v>2472</v>
      </c>
      <c r="B767" s="578" t="s">
        <v>2473</v>
      </c>
      <c r="C767">
        <v>0</v>
      </c>
      <c r="D767" s="513">
        <v>-38052.800000000003</v>
      </c>
      <c r="E767">
        <f>VLOOKUP(A767,Ucto_HK_summ!$A$2:$K$965,8,FALSE)</f>
        <v>-45970.400000000001</v>
      </c>
    </row>
    <row r="768" spans="1:5">
      <c r="A768" s="578" t="s">
        <v>924</v>
      </c>
      <c r="C768">
        <v>0</v>
      </c>
      <c r="D768" s="513">
        <v>-38052.800000000003</v>
      </c>
      <c r="E768">
        <f>VLOOKUP(A768,Ucto_HK_summ!$A$2:$K$965,8,FALSE)</f>
        <v>-45970.400000000001</v>
      </c>
    </row>
    <row r="769" spans="1:5">
      <c r="A769" s="577" t="s">
        <v>2474</v>
      </c>
      <c r="C769" s="369">
        <v>0</v>
      </c>
      <c r="D769" s="579">
        <v>-38084.44</v>
      </c>
      <c r="E769">
        <f>VLOOKUP(A769,Ucto_HK_summ!$A$2:$K$965,8,FALSE)</f>
        <v>-46010.04</v>
      </c>
    </row>
    <row r="771" spans="1:5">
      <c r="A771" s="578" t="s">
        <v>2481</v>
      </c>
      <c r="B771" s="578" t="s">
        <v>2482</v>
      </c>
      <c r="C771">
        <v>0</v>
      </c>
      <c r="D771" s="513">
        <v>-82121.929999999993</v>
      </c>
      <c r="E771">
        <f>VLOOKUP(A771,Ucto_HK_summ!$A$2:$K$965,8,FALSE)</f>
        <v>-84905.78</v>
      </c>
    </row>
    <row r="772" spans="1:5">
      <c r="A772" s="578" t="s">
        <v>2485</v>
      </c>
      <c r="B772" s="578" t="s">
        <v>2486</v>
      </c>
      <c r="C772">
        <v>0</v>
      </c>
      <c r="D772">
        <v>-659.28</v>
      </c>
      <c r="E772">
        <f>VLOOKUP(A772,Ucto_HK_summ!$A$2:$K$965,8,FALSE)</f>
        <v>-815.28</v>
      </c>
    </row>
    <row r="773" spans="1:5">
      <c r="A773" s="578" t="s">
        <v>2487</v>
      </c>
      <c r="B773" s="578" t="s">
        <v>2488</v>
      </c>
      <c r="C773">
        <v>0</v>
      </c>
      <c r="D773" s="513">
        <v>-145206.41</v>
      </c>
      <c r="E773">
        <f>VLOOKUP(A773,Ucto_HK_summ!$A$2:$K$965,8,FALSE)</f>
        <v>-167269.15</v>
      </c>
    </row>
    <row r="774" spans="1:5">
      <c r="A774" s="578" t="s">
        <v>2489</v>
      </c>
      <c r="B774" s="578" t="s">
        <v>2490</v>
      </c>
      <c r="C774">
        <v>0</v>
      </c>
      <c r="D774" s="513">
        <v>-7240.49</v>
      </c>
      <c r="E774">
        <f>VLOOKUP(A774,Ucto_HK_summ!$A$2:$K$965,8,FALSE)</f>
        <v>-8142.23</v>
      </c>
    </row>
    <row r="775" spans="1:5">
      <c r="A775" s="578" t="s">
        <v>2491</v>
      </c>
      <c r="B775" s="578" t="s">
        <v>2492</v>
      </c>
      <c r="C775">
        <v>0</v>
      </c>
      <c r="D775">
        <v>-12.23</v>
      </c>
      <c r="E775">
        <f>VLOOKUP(A775,Ucto_HK_summ!$A$2:$K$965,8,FALSE)</f>
        <v>-17.399999999999999</v>
      </c>
    </row>
    <row r="776" spans="1:5">
      <c r="A776" s="578" t="s">
        <v>2493</v>
      </c>
      <c r="B776" s="578" t="s">
        <v>2494</v>
      </c>
      <c r="C776">
        <v>0</v>
      </c>
      <c r="D776" s="513">
        <v>-13388.9</v>
      </c>
      <c r="E776">
        <f>VLOOKUP(A776,Ucto_HK_summ!$A$2:$K$965,8,FALSE)</f>
        <v>-15675.5</v>
      </c>
    </row>
    <row r="777" spans="1:5">
      <c r="A777" s="578" t="s">
        <v>2495</v>
      </c>
      <c r="B777" s="578" t="s">
        <v>2496</v>
      </c>
      <c r="C777">
        <v>0</v>
      </c>
      <c r="D777">
        <v>-266.24</v>
      </c>
      <c r="E777">
        <f>VLOOKUP(A777,Ucto_HK_summ!$A$2:$K$965,8,FALSE)</f>
        <v>-456</v>
      </c>
    </row>
    <row r="778" spans="1:5">
      <c r="A778" s="578" t="s">
        <v>2811</v>
      </c>
      <c r="B778" s="578" t="s">
        <v>2812</v>
      </c>
      <c r="C778">
        <v>0</v>
      </c>
      <c r="D778" s="550">
        <v>-9500</v>
      </c>
      <c r="E778">
        <f>VLOOKUP(A778,Ucto_HK_summ!$A$2:$K$965,8,FALSE)</f>
        <v>-335236.21999999997</v>
      </c>
    </row>
    <row r="779" spans="1:5">
      <c r="A779" s="578" t="s">
        <v>2497</v>
      </c>
      <c r="B779" s="578" t="s">
        <v>2498</v>
      </c>
      <c r="C779">
        <v>0</v>
      </c>
      <c r="D779" s="513">
        <v>-157204.81</v>
      </c>
      <c r="E779">
        <f>VLOOKUP(A779,Ucto_HK_summ!$A$2:$K$965,8,FALSE)</f>
        <v>-176574.12</v>
      </c>
    </row>
    <row r="780" spans="1:5">
      <c r="A780" s="578" t="s">
        <v>2503</v>
      </c>
      <c r="B780" s="578" t="s">
        <v>2504</v>
      </c>
      <c r="C780">
        <v>0</v>
      </c>
      <c r="D780" s="513">
        <v>-30449.5</v>
      </c>
      <c r="E780">
        <f>VLOOKUP(A780,Ucto_HK_summ!$A$2:$K$965,8,FALSE)</f>
        <v>-36340.06</v>
      </c>
    </row>
    <row r="781" spans="1:5">
      <c r="A781" s="578" t="s">
        <v>2505</v>
      </c>
      <c r="B781" s="578" t="s">
        <v>2506</v>
      </c>
      <c r="C781">
        <v>0</v>
      </c>
      <c r="D781">
        <v>-109.01</v>
      </c>
      <c r="E781">
        <f>VLOOKUP(A781,Ucto_HK_summ!$A$2:$K$965,8,FALSE)</f>
        <v>-109.01</v>
      </c>
    </row>
    <row r="782" spans="1:5">
      <c r="A782" s="578" t="s">
        <v>2507</v>
      </c>
      <c r="B782" s="578" t="s">
        <v>2508</v>
      </c>
      <c r="C782">
        <v>0</v>
      </c>
      <c r="D782">
        <v>-550.23</v>
      </c>
      <c r="E782">
        <f>VLOOKUP(A782,Ucto_HK_summ!$A$2:$K$965,8,FALSE)</f>
        <v>-903.35</v>
      </c>
    </row>
    <row r="783" spans="1:5">
      <c r="A783" s="578" t="s">
        <v>946</v>
      </c>
      <c r="C783">
        <v>0</v>
      </c>
      <c r="D783" s="513">
        <v>-446709.03</v>
      </c>
      <c r="E783">
        <f>VLOOKUP(A783,Ucto_HK_summ!$A$2:$K$965,8,FALSE)</f>
        <v>-2101358.66</v>
      </c>
    </row>
    <row r="784" spans="1:5">
      <c r="A784" s="577" t="s">
        <v>2509</v>
      </c>
      <c r="C784" s="369">
        <v>0</v>
      </c>
      <c r="D784" s="579">
        <v>-446709.03</v>
      </c>
      <c r="E784">
        <f>VLOOKUP(A784,Ucto_HK_summ!$A$2:$K$965,8,FALSE)</f>
        <v>-2113476.08</v>
      </c>
    </row>
    <row r="786" spans="1:5">
      <c r="A786" s="578" t="s">
        <v>2514</v>
      </c>
      <c r="B786" s="578" t="s">
        <v>2515</v>
      </c>
      <c r="C786">
        <v>0</v>
      </c>
      <c r="D786" s="513">
        <v>-599532.47</v>
      </c>
      <c r="E786">
        <f>VLOOKUP(A786,Ucto_HK_summ!$A$2:$K$965,8,FALSE)</f>
        <v>-604132.47</v>
      </c>
    </row>
    <row r="787" spans="1:5">
      <c r="A787" s="578" t="s">
        <v>952</v>
      </c>
      <c r="C787">
        <v>0</v>
      </c>
      <c r="D787" s="513">
        <v>-599532.47</v>
      </c>
      <c r="E787">
        <f>VLOOKUP(A787,Ucto_HK_summ!$A$2:$K$965,8,FALSE)</f>
        <v>-961624.44</v>
      </c>
    </row>
    <row r="788" spans="1:5">
      <c r="A788" s="577" t="s">
        <v>2520</v>
      </c>
      <c r="C788" s="369">
        <v>0</v>
      </c>
      <c r="D788" s="579">
        <v>-599532.47</v>
      </c>
      <c r="E788">
        <f>VLOOKUP(A788,Ucto_HK_summ!$A$2:$K$965,8,FALSE)</f>
        <v>-1248333.77</v>
      </c>
    </row>
    <row r="790" spans="1:5">
      <c r="A790" s="578" t="s">
        <v>2813</v>
      </c>
      <c r="B790" s="578" t="s">
        <v>238</v>
      </c>
      <c r="C790">
        <v>0</v>
      </c>
      <c r="D790">
        <v>0</v>
      </c>
    </row>
    <row r="791" spans="1:5">
      <c r="A791" s="578" t="s">
        <v>2521</v>
      </c>
      <c r="B791" s="578" t="s">
        <v>2522</v>
      </c>
      <c r="C791">
        <v>0</v>
      </c>
      <c r="D791">
        <v>-972.33</v>
      </c>
      <c r="E791">
        <f>VLOOKUP(A791,Ucto_HK_summ!$A$2:$K$965,8,FALSE)</f>
        <v>-1244.3399999999999</v>
      </c>
    </row>
    <row r="792" spans="1:5">
      <c r="A792" s="578" t="s">
        <v>967</v>
      </c>
      <c r="C792">
        <v>0</v>
      </c>
      <c r="D792">
        <v>-972.33</v>
      </c>
      <c r="E792">
        <f>VLOOKUP(A792,Ucto_HK_summ!$A$2:$K$965,8,FALSE)</f>
        <v>-1244.3399999999999</v>
      </c>
    </row>
    <row r="793" spans="1:5">
      <c r="A793" s="578" t="s">
        <v>2527</v>
      </c>
      <c r="B793" s="578" t="s">
        <v>978</v>
      </c>
      <c r="C793">
        <v>0</v>
      </c>
      <c r="D793">
        <v>-190.87</v>
      </c>
      <c r="E793">
        <f>VLOOKUP(A793,Ucto_HK_summ!$A$2:$K$965,8,FALSE)</f>
        <v>-190.87</v>
      </c>
    </row>
    <row r="794" spans="1:5">
      <c r="A794" s="578" t="s">
        <v>2528</v>
      </c>
      <c r="B794" s="578" t="s">
        <v>2529</v>
      </c>
      <c r="C794">
        <v>0</v>
      </c>
      <c r="D794">
        <v>-0.26</v>
      </c>
      <c r="E794">
        <f>VLOOKUP(A794,Ucto_HK_summ!$A$2:$K$965,8,FALSE)</f>
        <v>-0.26</v>
      </c>
    </row>
    <row r="795" spans="1:5">
      <c r="A795" s="578" t="s">
        <v>977</v>
      </c>
      <c r="C795">
        <v>0</v>
      </c>
      <c r="D795">
        <v>-191.13</v>
      </c>
      <c r="E795">
        <f>VLOOKUP(A795,Ucto_HK_summ!$A$2:$K$965,8,FALSE)</f>
        <v>-191.13</v>
      </c>
    </row>
    <row r="796" spans="1:5">
      <c r="A796" s="577" t="s">
        <v>2530</v>
      </c>
      <c r="C796" s="369">
        <v>0</v>
      </c>
      <c r="D796" s="579">
        <v>-1163.46</v>
      </c>
      <c r="E796">
        <f>VLOOKUP(A796,Ucto_HK_summ!$A$2:$K$965,8,FALSE)</f>
        <v>-1435.47</v>
      </c>
    </row>
    <row r="798" spans="1:5">
      <c r="A798" s="578" t="s">
        <v>2531</v>
      </c>
      <c r="B798" s="578" t="s">
        <v>987</v>
      </c>
      <c r="C798">
        <v>0</v>
      </c>
      <c r="D798">
        <v>-187.62</v>
      </c>
      <c r="E798">
        <f>VLOOKUP(A798,Ucto_HK_summ!$A$2:$K$965,8,FALSE)</f>
        <v>-187.62</v>
      </c>
    </row>
    <row r="799" spans="1:5">
      <c r="A799" s="578" t="s">
        <v>986</v>
      </c>
      <c r="C799">
        <v>0</v>
      </c>
      <c r="D799">
        <v>-187.62</v>
      </c>
      <c r="E799">
        <f>VLOOKUP(A799,Ucto_HK_summ!$A$2:$K$965,8,FALSE)</f>
        <v>-187.62</v>
      </c>
    </row>
    <row r="800" spans="1:5">
      <c r="A800" s="577" t="s">
        <v>2532</v>
      </c>
      <c r="C800" s="369">
        <v>0</v>
      </c>
      <c r="D800" s="369">
        <v>-187.62</v>
      </c>
      <c r="E800">
        <f>VLOOKUP(A800,Ucto_HK_summ!$A$2:$K$965,8,FALSE)</f>
        <v>-187.62</v>
      </c>
    </row>
    <row r="802" spans="1:5">
      <c r="A802" s="578" t="s">
        <v>2533</v>
      </c>
      <c r="B802" s="578" t="s">
        <v>2534</v>
      </c>
      <c r="C802">
        <v>0</v>
      </c>
      <c r="D802" s="513">
        <v>-251019.94</v>
      </c>
      <c r="E802">
        <f>VLOOKUP(A802,Ucto_HK_summ!$A$2:$K$965,8,FALSE)</f>
        <v>-417660.26</v>
      </c>
    </row>
    <row r="803" spans="1:5">
      <c r="A803" s="578" t="s">
        <v>2537</v>
      </c>
      <c r="B803" s="578" t="s">
        <v>2538</v>
      </c>
      <c r="C803">
        <v>0</v>
      </c>
      <c r="D803" s="513">
        <v>-14573652.470000001</v>
      </c>
      <c r="E803">
        <f>VLOOKUP(A803,Ucto_HK_summ!$A$2:$K$965,8,FALSE)</f>
        <v>-21394931.390000001</v>
      </c>
    </row>
    <row r="804" spans="1:5">
      <c r="A804" s="578" t="s">
        <v>2814</v>
      </c>
      <c r="B804" s="578" t="s">
        <v>2815</v>
      </c>
      <c r="C804">
        <v>0</v>
      </c>
      <c r="D804" s="513">
        <v>-10885693.76</v>
      </c>
      <c r="E804">
        <f>VLOOKUP(A804,Ucto_HK_summ!$A$2:$K$965,8,FALSE)</f>
        <v>-16570501.08</v>
      </c>
    </row>
    <row r="805" spans="1:5">
      <c r="A805" s="578" t="s">
        <v>989</v>
      </c>
      <c r="C805">
        <v>0</v>
      </c>
      <c r="D805" s="513">
        <v>-25710366.170000002</v>
      </c>
      <c r="E805">
        <f>VLOOKUP(A805,Ucto_HK_summ!$A$2:$K$965,8,FALSE)</f>
        <v>-38383092.729999997</v>
      </c>
    </row>
    <row r="806" spans="1:5">
      <c r="A806" s="578" t="s">
        <v>2539</v>
      </c>
      <c r="B806" s="578" t="s">
        <v>2540</v>
      </c>
      <c r="C806">
        <v>0</v>
      </c>
      <c r="D806" s="513">
        <v>-1612281.34</v>
      </c>
      <c r="E806">
        <f>VLOOKUP(A806,Ucto_HK_summ!$A$2:$K$965,8,FALSE)</f>
        <v>-1893018.13</v>
      </c>
    </row>
    <row r="807" spans="1:5">
      <c r="A807" s="578" t="s">
        <v>2541</v>
      </c>
      <c r="B807" s="578" t="s">
        <v>2542</v>
      </c>
      <c r="C807">
        <v>0</v>
      </c>
      <c r="D807" s="513">
        <v>-5970.32</v>
      </c>
      <c r="E807">
        <f>VLOOKUP(A807,Ucto_HK_summ!$A$2:$K$965,8,FALSE)</f>
        <v>-6999.31</v>
      </c>
    </row>
    <row r="808" spans="1:5">
      <c r="A808" s="578" t="s">
        <v>2543</v>
      </c>
      <c r="B808" s="578" t="s">
        <v>2544</v>
      </c>
      <c r="C808">
        <v>0</v>
      </c>
      <c r="D808" s="513">
        <v>-33832.19</v>
      </c>
      <c r="E808">
        <f>VLOOKUP(A808,Ucto_HK_summ!$A$2:$K$965,8,FALSE)</f>
        <v>-39663.230000000003</v>
      </c>
    </row>
    <row r="809" spans="1:5">
      <c r="A809" s="578" t="s">
        <v>2545</v>
      </c>
      <c r="B809" s="578" t="s">
        <v>2546</v>
      </c>
      <c r="C809">
        <v>0</v>
      </c>
      <c r="D809" s="513">
        <v>-110811.95</v>
      </c>
      <c r="E809">
        <f>VLOOKUP(A809,Ucto_HK_summ!$A$2:$K$965,8,FALSE)</f>
        <v>-132975.73000000001</v>
      </c>
    </row>
    <row r="810" spans="1:5">
      <c r="A810" s="578" t="s">
        <v>2547</v>
      </c>
      <c r="B810" s="578" t="s">
        <v>2548</v>
      </c>
      <c r="C810">
        <v>0</v>
      </c>
      <c r="D810" s="513">
        <v>-627933.43999999994</v>
      </c>
      <c r="E810">
        <f>VLOOKUP(A810,Ucto_HK_summ!$A$2:$K$965,8,FALSE)</f>
        <v>-753528.35</v>
      </c>
    </row>
    <row r="811" spans="1:5">
      <c r="A811" s="578" t="s">
        <v>991</v>
      </c>
      <c r="C811">
        <v>0</v>
      </c>
      <c r="D811" s="513">
        <v>-2390829.2400000002</v>
      </c>
      <c r="E811">
        <f>VLOOKUP(A811,Ucto_HK_summ!$A$2:$K$965,8,FALSE)</f>
        <v>-2826184.75</v>
      </c>
    </row>
    <row r="812" spans="1:5">
      <c r="A812" s="578" t="s">
        <v>2551</v>
      </c>
      <c r="B812" s="578" t="s">
        <v>2552</v>
      </c>
      <c r="C812">
        <v>0</v>
      </c>
      <c r="D812" s="513">
        <v>-156006.63</v>
      </c>
      <c r="E812">
        <f>VLOOKUP(A812,Ucto_HK_summ!$A$2:$K$965,8,FALSE)</f>
        <v>-180408.64</v>
      </c>
    </row>
    <row r="813" spans="1:5">
      <c r="A813" s="578" t="s">
        <v>2816</v>
      </c>
      <c r="B813" s="578" t="s">
        <v>2817</v>
      </c>
      <c r="C813">
        <v>0</v>
      </c>
      <c r="D813" s="513">
        <v>-832245.9</v>
      </c>
      <c r="E813">
        <f>VLOOKUP(A813,Ucto_HK_summ!$A$2:$K$965,8,FALSE)</f>
        <v>-1889002.11</v>
      </c>
    </row>
    <row r="814" spans="1:5">
      <c r="A814" s="578" t="s">
        <v>993</v>
      </c>
      <c r="C814">
        <v>0</v>
      </c>
      <c r="D814" s="513">
        <v>-988252.53</v>
      </c>
      <c r="E814">
        <f>VLOOKUP(A814,Ucto_HK_summ!$A$2:$K$965,8,FALSE)</f>
        <v>-5150864.95</v>
      </c>
    </row>
    <row r="815" spans="1:5">
      <c r="A815" s="578" t="s">
        <v>2553</v>
      </c>
      <c r="B815" s="578" t="s">
        <v>2554</v>
      </c>
      <c r="C815">
        <v>0</v>
      </c>
      <c r="D815" s="513">
        <v>-69149.429999999993</v>
      </c>
      <c r="E815">
        <f>VLOOKUP(A815,Ucto_HK_summ!$A$2:$K$965,8,FALSE)</f>
        <v>-100360.25</v>
      </c>
    </row>
    <row r="816" spans="1:5">
      <c r="A816" s="578" t="s">
        <v>1001</v>
      </c>
      <c r="C816">
        <v>0</v>
      </c>
      <c r="D816" s="513">
        <v>-69149.429999999993</v>
      </c>
      <c r="E816">
        <f>VLOOKUP(A816,Ucto_HK_summ!$A$2:$K$965,8,FALSE)</f>
        <v>-100360.25</v>
      </c>
    </row>
    <row r="817" spans="1:5">
      <c r="A817" s="578" t="s">
        <v>2555</v>
      </c>
      <c r="B817" s="578" t="s">
        <v>2556</v>
      </c>
      <c r="C817">
        <v>0</v>
      </c>
      <c r="D817" s="513">
        <v>-39903.9</v>
      </c>
      <c r="E817">
        <f>VLOOKUP(A817,Ucto_HK_summ!$A$2:$K$965,8,FALSE)</f>
        <v>-48638.32</v>
      </c>
    </row>
    <row r="818" spans="1:5">
      <c r="A818" s="578" t="s">
        <v>1003</v>
      </c>
      <c r="C818">
        <v>0</v>
      </c>
      <c r="D818" s="513">
        <v>-39903.9</v>
      </c>
      <c r="E818">
        <f>VLOOKUP(A818,Ucto_HK_summ!$A$2:$K$965,8,FALSE)</f>
        <v>-48638.32</v>
      </c>
    </row>
    <row r="819" spans="1:5">
      <c r="A819" s="577" t="s">
        <v>2557</v>
      </c>
      <c r="C819" s="369">
        <v>0</v>
      </c>
      <c r="D819" s="579">
        <v>-29198501.27</v>
      </c>
      <c r="E819">
        <f>VLOOKUP(A819,Ucto_HK_summ!$A$2:$K$965,8,FALSE)</f>
        <v>-46509141</v>
      </c>
    </row>
    <row r="821" spans="1:5">
      <c r="A821" s="577" t="s">
        <v>2558</v>
      </c>
      <c r="C821" s="369">
        <v>0</v>
      </c>
      <c r="D821" s="579">
        <v>-138710866.88</v>
      </c>
      <c r="E821">
        <f>VLOOKUP(A821,Ucto_HK_summ!$A$2:$K$965,8,FALSE)</f>
        <v>-180572802.05000001</v>
      </c>
    </row>
    <row r="824" spans="1:5">
      <c r="A824" s="578" t="s">
        <v>2559</v>
      </c>
      <c r="B824" s="578" t="s">
        <v>2560</v>
      </c>
      <c r="C824" s="513">
        <v>990920.16</v>
      </c>
      <c r="D824" s="513">
        <v>990920.16</v>
      </c>
      <c r="E824">
        <f>VLOOKUP(A824,Ucto_HK_summ!$A$2:$K$965,8,FALSE)</f>
        <v>990920.16</v>
      </c>
    </row>
    <row r="825" spans="1:5">
      <c r="A825" s="578" t="s">
        <v>2561</v>
      </c>
      <c r="B825" s="578" t="s">
        <v>2562</v>
      </c>
      <c r="C825" s="513">
        <v>5615214.1699999999</v>
      </c>
      <c r="D825" s="513">
        <v>5615214.1699999999</v>
      </c>
      <c r="E825">
        <f>VLOOKUP(A825,Ucto_HK_summ!$A$2:$K$965,8,FALSE)</f>
        <v>5615214.1699999999</v>
      </c>
    </row>
    <row r="826" spans="1:5">
      <c r="A826" s="578" t="s">
        <v>2563</v>
      </c>
      <c r="C826" s="513">
        <v>6606134.3300000001</v>
      </c>
      <c r="D826" s="513">
        <v>6606134.3300000001</v>
      </c>
      <c r="E826">
        <f>VLOOKUP(A826,Ucto_HK_summ!$A$2:$K$965,8,FALSE)</f>
        <v>6606134.3300000001</v>
      </c>
    </row>
    <row r="827" spans="1:5">
      <c r="A827" s="578" t="s">
        <v>2564</v>
      </c>
      <c r="B827" s="578" t="s">
        <v>2565</v>
      </c>
      <c r="C827" s="513">
        <v>435493.98</v>
      </c>
      <c r="D827" s="513">
        <v>435493.98</v>
      </c>
      <c r="E827">
        <f>VLOOKUP(A827,Ucto_HK_summ!$A$2:$K$965,8,FALSE)</f>
        <v>435493.98</v>
      </c>
    </row>
    <row r="828" spans="1:5">
      <c r="A828" s="578" t="s">
        <v>2566</v>
      </c>
      <c r="C828" s="513">
        <v>435493.98</v>
      </c>
      <c r="D828" s="513">
        <v>435493.98</v>
      </c>
      <c r="E828">
        <f>VLOOKUP(A828,Ucto_HK_summ!$A$2:$K$965,8,FALSE)</f>
        <v>435493.98</v>
      </c>
    </row>
    <row r="829" spans="1:5">
      <c r="A829" s="578" t="s">
        <v>2567</v>
      </c>
      <c r="B829" s="578" t="s">
        <v>2568</v>
      </c>
      <c r="C829" s="513">
        <v>1370.25</v>
      </c>
      <c r="D829" s="513">
        <v>1370.25</v>
      </c>
      <c r="E829">
        <f>VLOOKUP(A829,Ucto_HK_summ!$A$2:$K$965,8,FALSE)</f>
        <v>1370.25</v>
      </c>
    </row>
    <row r="830" spans="1:5">
      <c r="A830" s="578" t="s">
        <v>2569</v>
      </c>
      <c r="B830" s="578" t="s">
        <v>2570</v>
      </c>
      <c r="C830" s="513">
        <v>16642.150000000001</v>
      </c>
      <c r="D830" s="513">
        <v>16642.150000000001</v>
      </c>
      <c r="E830">
        <f>VLOOKUP(A830,Ucto_HK_summ!$A$2:$K$965,8,FALSE)</f>
        <v>16642.150000000001</v>
      </c>
    </row>
    <row r="831" spans="1:5">
      <c r="A831" s="578" t="s">
        <v>2571</v>
      </c>
      <c r="B831" s="578" t="s">
        <v>2572</v>
      </c>
      <c r="C831" s="513">
        <v>2138.2800000000002</v>
      </c>
      <c r="D831" s="513">
        <v>2138.2800000000002</v>
      </c>
      <c r="E831">
        <f>VLOOKUP(A831,Ucto_HK_summ!$A$2:$K$965,8,FALSE)</f>
        <v>2198.1799999999998</v>
      </c>
    </row>
    <row r="832" spans="1:5">
      <c r="A832" s="578" t="s">
        <v>2573</v>
      </c>
      <c r="B832" s="578" t="s">
        <v>2574</v>
      </c>
      <c r="C832" s="513">
        <v>1500.55</v>
      </c>
      <c r="D832" s="513">
        <v>1500.55</v>
      </c>
      <c r="E832">
        <f>VLOOKUP(A832,Ucto_HK_summ!$A$2:$K$965,8,FALSE)</f>
        <v>1500.55</v>
      </c>
    </row>
    <row r="833" spans="1:5">
      <c r="A833" s="578" t="s">
        <v>2575</v>
      </c>
      <c r="C833" s="513">
        <v>21651.23</v>
      </c>
      <c r="D833" s="513">
        <v>21651.23</v>
      </c>
      <c r="E833">
        <f>VLOOKUP(A833,Ucto_HK_summ!$A$2:$K$965,8,FALSE)</f>
        <v>21711.13</v>
      </c>
    </row>
    <row r="834" spans="1:5">
      <c r="A834" s="578" t="s">
        <v>2576</v>
      </c>
      <c r="B834" s="578" t="s">
        <v>2577</v>
      </c>
      <c r="C834" s="513">
        <v>12062832.130000001</v>
      </c>
      <c r="D834" s="513">
        <v>11154262.210000001</v>
      </c>
      <c r="E834">
        <f>VLOOKUP(A834,Ucto_HK_summ!$A$2:$K$965,8,FALSE)</f>
        <v>11282754.529999999</v>
      </c>
    </row>
    <row r="835" spans="1:5">
      <c r="A835" s="578" t="s">
        <v>2578</v>
      </c>
      <c r="B835" s="578" t="s">
        <v>2579</v>
      </c>
      <c r="C835" s="513">
        <v>71377.279999999999</v>
      </c>
      <c r="D835" s="513">
        <v>65643.350000000006</v>
      </c>
      <c r="E835">
        <f>VLOOKUP(A835,Ucto_HK_summ!$A$2:$K$965,8,FALSE)</f>
        <v>65643.350000000006</v>
      </c>
    </row>
    <row r="836" spans="1:5">
      <c r="A836" s="578" t="s">
        <v>2580</v>
      </c>
      <c r="B836" s="578" t="s">
        <v>2581</v>
      </c>
      <c r="C836" s="513">
        <v>212743.48</v>
      </c>
      <c r="D836" s="513">
        <v>207672.5</v>
      </c>
      <c r="E836">
        <f>VLOOKUP(A836,Ucto_HK_summ!$A$2:$K$965,8,FALSE)</f>
        <v>207672.5</v>
      </c>
    </row>
    <row r="837" spans="1:5">
      <c r="A837" s="578" t="s">
        <v>2582</v>
      </c>
      <c r="B837" s="578" t="s">
        <v>2583</v>
      </c>
      <c r="C837" s="513">
        <v>10459866.619999999</v>
      </c>
      <c r="D837" s="513">
        <v>10678092.560000001</v>
      </c>
      <c r="E837">
        <f>VLOOKUP(A837,Ucto_HK_summ!$A$2:$K$965,8,FALSE)</f>
        <v>10431581.91</v>
      </c>
    </row>
    <row r="838" spans="1:5">
      <c r="A838" s="578" t="s">
        <v>2584</v>
      </c>
      <c r="C838" s="513">
        <v>22806819.510000002</v>
      </c>
      <c r="D838" s="513">
        <v>22105670.620000001</v>
      </c>
      <c r="E838">
        <f>VLOOKUP(A838,Ucto_HK_summ!$A$2:$K$965,8,FALSE)</f>
        <v>21987652.289999999</v>
      </c>
    </row>
    <row r="839" spans="1:5">
      <c r="A839" s="578" t="s">
        <v>2585</v>
      </c>
      <c r="B839" s="578" t="s">
        <v>2586</v>
      </c>
      <c r="C839" s="513">
        <v>143437.20000000001</v>
      </c>
      <c r="D839" s="513">
        <v>143437.20000000001</v>
      </c>
      <c r="E839">
        <f>VLOOKUP(A839,Ucto_HK_summ!$A$2:$K$965,8,FALSE)</f>
        <v>0</v>
      </c>
    </row>
    <row r="840" spans="1:5">
      <c r="A840" s="578" t="s">
        <v>2587</v>
      </c>
      <c r="C840" s="513">
        <v>143437.20000000001</v>
      </c>
      <c r="D840" s="513">
        <v>143437.20000000001</v>
      </c>
      <c r="E840">
        <f>VLOOKUP(A840,Ucto_HK_summ!$A$2:$K$965,8,FALSE)</f>
        <v>0</v>
      </c>
    </row>
    <row r="841" spans="1:5">
      <c r="A841" s="577" t="s">
        <v>2588</v>
      </c>
      <c r="C841" s="579">
        <v>30013536.25</v>
      </c>
      <c r="D841" s="579">
        <v>29312387.359999999</v>
      </c>
      <c r="E841">
        <f>VLOOKUP(A841,Ucto_HK_summ!$A$2:$K$965,8,FALSE)</f>
        <v>29050991.73</v>
      </c>
    </row>
    <row r="843" spans="1:5">
      <c r="A843" s="578" t="s">
        <v>2589</v>
      </c>
      <c r="B843" s="578" t="s">
        <v>2590</v>
      </c>
      <c r="C843" s="513">
        <v>2622837.2999999998</v>
      </c>
      <c r="D843" s="513">
        <v>2622837.2999999998</v>
      </c>
      <c r="E843">
        <f>VLOOKUP(A843,Ucto_HK_summ!$A$2:$K$965,8,FALSE)</f>
        <v>2622837.2999999998</v>
      </c>
    </row>
    <row r="844" spans="1:5">
      <c r="A844" s="578" t="s">
        <v>2591</v>
      </c>
      <c r="B844" s="578" t="s">
        <v>2592</v>
      </c>
      <c r="C844" s="513">
        <v>-2622837.2999999998</v>
      </c>
      <c r="D844" s="513">
        <v>-2622837.2999999998</v>
      </c>
      <c r="E844">
        <f>VLOOKUP(A844,Ucto_HK_summ!$A$2:$K$965,8,FALSE)</f>
        <v>-2622837.2999999998</v>
      </c>
    </row>
    <row r="845" spans="1:5">
      <c r="A845" s="578" t="s">
        <v>2593</v>
      </c>
      <c r="B845" s="578" t="s">
        <v>2594</v>
      </c>
      <c r="C845" s="513">
        <v>124793.33</v>
      </c>
      <c r="D845" s="513">
        <v>124793.33</v>
      </c>
      <c r="E845">
        <f>VLOOKUP(A845,Ucto_HK_summ!$A$2:$K$965,8,FALSE)</f>
        <v>124793.33</v>
      </c>
    </row>
    <row r="846" spans="1:5">
      <c r="A846" s="578" t="s">
        <v>2595</v>
      </c>
      <c r="C846" s="513">
        <v>124793.33</v>
      </c>
      <c r="D846" s="513">
        <v>124793.33</v>
      </c>
      <c r="E846">
        <f>VLOOKUP(A846,Ucto_HK_summ!$A$2:$K$965,8,FALSE)</f>
        <v>124793.33</v>
      </c>
    </row>
    <row r="847" spans="1:5">
      <c r="A847" s="577" t="s">
        <v>2596</v>
      </c>
      <c r="C847" s="579">
        <v>124793.33</v>
      </c>
      <c r="D847" s="579">
        <v>124793.33</v>
      </c>
      <c r="E847">
        <f>VLOOKUP(A847,Ucto_HK_summ!$A$2:$K$965,8,FALSE)</f>
        <v>124793.33</v>
      </c>
    </row>
    <row r="849" spans="1:5">
      <c r="A849" s="578" t="s">
        <v>2597</v>
      </c>
      <c r="B849" s="578" t="s">
        <v>2598</v>
      </c>
      <c r="C849" s="513">
        <v>23861.48</v>
      </c>
      <c r="D849" s="513">
        <v>23456.34</v>
      </c>
      <c r="E849">
        <f>VLOOKUP(A849,Ucto_HK_summ!$A$2:$K$965,8,FALSE)</f>
        <v>18669.259999999998</v>
      </c>
    </row>
    <row r="850" spans="1:5">
      <c r="A850" s="578" t="s">
        <v>2599</v>
      </c>
      <c r="B850" s="578" t="s">
        <v>2600</v>
      </c>
      <c r="C850" s="513">
        <v>33518.639999999999</v>
      </c>
      <c r="D850" s="513">
        <v>16858.8</v>
      </c>
      <c r="E850">
        <f>VLOOKUP(A850,Ucto_HK_summ!$A$2:$K$965,8,FALSE)</f>
        <v>35218.1</v>
      </c>
    </row>
    <row r="851" spans="1:5">
      <c r="A851" s="578" t="s">
        <v>2601</v>
      </c>
      <c r="C851" s="513">
        <v>57380.12</v>
      </c>
      <c r="D851" s="513">
        <v>40315.14</v>
      </c>
      <c r="E851">
        <f>VLOOKUP(A851,Ucto_HK_summ!$A$2:$K$965,8,FALSE)</f>
        <v>53887.360000000001</v>
      </c>
    </row>
    <row r="852" spans="1:5">
      <c r="A852" s="577" t="s">
        <v>2602</v>
      </c>
      <c r="C852" s="579">
        <v>57380.12</v>
      </c>
      <c r="D852" s="579">
        <v>40315.14</v>
      </c>
      <c r="E852">
        <f>VLOOKUP(A852,Ucto_HK_summ!$A$2:$K$965,8,FALSE)</f>
        <v>53887.360000000001</v>
      </c>
    </row>
    <row r="854" spans="1:5">
      <c r="A854" s="578" t="s">
        <v>2603</v>
      </c>
      <c r="B854" s="578" t="s">
        <v>2604</v>
      </c>
      <c r="C854" s="513">
        <v>-30195709.699999999</v>
      </c>
      <c r="D854" s="513">
        <v>-29477495.829999998</v>
      </c>
      <c r="E854">
        <f>VLOOKUP(A854,Ucto_HK_summ!$A$2:$K$965,8,FALSE)</f>
        <v>-29229672.420000002</v>
      </c>
    </row>
    <row r="855" spans="1:5">
      <c r="A855" s="578" t="s">
        <v>2605</v>
      </c>
      <c r="C855" s="513">
        <v>-30195709.699999999</v>
      </c>
      <c r="D855" s="513">
        <v>-29477495.829999998</v>
      </c>
      <c r="E855">
        <f>VLOOKUP(A855,Ucto_HK_summ!$A$2:$K$965,8,FALSE)</f>
        <v>-29229672.420000002</v>
      </c>
    </row>
    <row r="856" spans="1:5">
      <c r="A856" s="577" t="s">
        <v>2606</v>
      </c>
      <c r="C856" s="579">
        <v>-30195709.699999999</v>
      </c>
      <c r="D856" s="579">
        <v>-29477495.829999998</v>
      </c>
      <c r="E856">
        <f>VLOOKUP(A856,Ucto_HK_summ!$A$2:$K$965,8,FALSE)</f>
        <v>-29229672.420000002</v>
      </c>
    </row>
    <row r="858" spans="1:5">
      <c r="A858" s="577" t="s">
        <v>2607</v>
      </c>
      <c r="C858" s="369">
        <v>0</v>
      </c>
      <c r="D858" s="369">
        <v>0</v>
      </c>
      <c r="E858">
        <f>VLOOKUP(A858,Ucto_HK_summ!$A$2:$K$965,8,FALSE)</f>
        <v>0</v>
      </c>
    </row>
    <row r="861" spans="1:5">
      <c r="A861" s="578" t="s">
        <v>2608</v>
      </c>
      <c r="B861" s="578" t="s">
        <v>2609</v>
      </c>
      <c r="C861" s="513">
        <v>-507698.78</v>
      </c>
      <c r="D861" s="513">
        <v>-591918.85</v>
      </c>
      <c r="E861">
        <f>VLOOKUP(A861,Ucto_HK_summ!$A$2:$K$965,8,FALSE)</f>
        <v>-717047.31</v>
      </c>
    </row>
    <row r="862" spans="1:5">
      <c r="A862" s="578" t="s">
        <v>2610</v>
      </c>
      <c r="B862" s="578" t="s">
        <v>2611</v>
      </c>
      <c r="C862" s="513">
        <v>-170273.52</v>
      </c>
      <c r="D862" s="513">
        <v>-205267.22</v>
      </c>
      <c r="E862">
        <f>VLOOKUP(A862,Ucto_HK_summ!$A$2:$K$965,8,FALSE)</f>
        <v>-257633.51</v>
      </c>
    </row>
    <row r="863" spans="1:5">
      <c r="A863" s="578" t="s">
        <v>2612</v>
      </c>
      <c r="B863" s="578" t="s">
        <v>2613</v>
      </c>
      <c r="C863" s="513">
        <v>-88225.43</v>
      </c>
      <c r="D863" s="513">
        <v>-121907.12</v>
      </c>
      <c r="E863">
        <f>VLOOKUP(A863,Ucto_HK_summ!$A$2:$K$965,8,FALSE)</f>
        <v>-150320.01999999999</v>
      </c>
    </row>
    <row r="864" spans="1:5">
      <c r="A864" s="578" t="s">
        <v>2614</v>
      </c>
      <c r="B864" s="578" t="s">
        <v>2615</v>
      </c>
      <c r="C864" s="513">
        <v>-1860494.78</v>
      </c>
      <c r="D864" s="513">
        <v>-2223968.87</v>
      </c>
      <c r="E864">
        <f>VLOOKUP(A864,Ucto_HK_summ!$A$2:$K$965,8,FALSE)</f>
        <v>-2756219.16</v>
      </c>
    </row>
    <row r="865" spans="1:5">
      <c r="A865" s="578" t="s">
        <v>2620</v>
      </c>
      <c r="B865" s="578" t="s">
        <v>2621</v>
      </c>
      <c r="C865" s="513">
        <v>-4254018.51</v>
      </c>
      <c r="D865" s="513">
        <v>-4254018.51</v>
      </c>
      <c r="E865">
        <f>VLOOKUP(A865,Ucto_HK_summ!$A$2:$K$965,8,FALSE)</f>
        <v>-4254018.51</v>
      </c>
    </row>
    <row r="866" spans="1:5">
      <c r="A866" s="578" t="s">
        <v>2622</v>
      </c>
      <c r="B866" s="578" t="s">
        <v>2623</v>
      </c>
      <c r="C866" s="513">
        <v>-13510778.92</v>
      </c>
      <c r="D866" s="513">
        <v>-13510778.92</v>
      </c>
      <c r="E866">
        <f>VLOOKUP(A866,Ucto_HK_summ!$A$2:$K$965,8,FALSE)</f>
        <v>-13510778.92</v>
      </c>
    </row>
    <row r="867" spans="1:5">
      <c r="A867" s="578" t="s">
        <v>2624</v>
      </c>
      <c r="B867" s="578" t="s">
        <v>2625</v>
      </c>
      <c r="C867" s="513">
        <v>-13399961.869999999</v>
      </c>
      <c r="D867" s="513">
        <v>-14656779.859999999</v>
      </c>
      <c r="E867">
        <f>VLOOKUP(A867,Ucto_HK_summ!$A$2:$K$965,8,FALSE)</f>
        <v>-14656779.859999999</v>
      </c>
    </row>
    <row r="868" spans="1:5">
      <c r="A868" s="578" t="s">
        <v>2818</v>
      </c>
      <c r="B868" s="578" t="s">
        <v>2819</v>
      </c>
      <c r="C868">
        <v>0</v>
      </c>
      <c r="D868" s="513">
        <v>-11398208.33</v>
      </c>
      <c r="E868">
        <f>VLOOKUP(A868,Ucto_HK_summ!$A$2:$K$965,8,FALSE)</f>
        <v>-14084500.57</v>
      </c>
    </row>
    <row r="869" spans="1:5">
      <c r="A869" s="578" t="s">
        <v>2626</v>
      </c>
      <c r="B869" s="578" t="s">
        <v>2627</v>
      </c>
      <c r="C869" s="513">
        <v>-608873.73</v>
      </c>
      <c r="D869" s="513">
        <v>-608873.73</v>
      </c>
      <c r="E869">
        <f>VLOOKUP(A869,Ucto_HK_summ!$A$2:$K$965,8,FALSE)</f>
        <v>-608873.73</v>
      </c>
    </row>
    <row r="870" spans="1:5">
      <c r="A870" s="578" t="s">
        <v>2628</v>
      </c>
      <c r="B870" s="578" t="s">
        <v>2629</v>
      </c>
      <c r="C870" s="513">
        <v>34400325.539999999</v>
      </c>
      <c r="D870" s="513">
        <v>47571721.409999996</v>
      </c>
      <c r="E870">
        <f>VLOOKUP(A870,Ucto_HK_summ!$A$2:$K$965,8,FALSE)</f>
        <v>50996171.590000004</v>
      </c>
    </row>
    <row r="871" spans="1:5">
      <c r="A871" s="578" t="s">
        <v>2630</v>
      </c>
      <c r="C871">
        <v>0</v>
      </c>
      <c r="D871">
        <v>0</v>
      </c>
      <c r="E871">
        <f>VLOOKUP(A871,Ucto_HK_summ!$A$2:$K$965,8,FALSE)</f>
        <v>0</v>
      </c>
    </row>
    <row r="872" spans="1:5">
      <c r="A872" s="577" t="s">
        <v>2631</v>
      </c>
      <c r="C872" s="369">
        <v>0</v>
      </c>
      <c r="D872" s="369">
        <v>0</v>
      </c>
      <c r="E872">
        <f>VLOOKUP(A872,Ucto_HK_summ!$A$2:$K$965,8,FALSE)</f>
        <v>0</v>
      </c>
    </row>
    <row r="874" spans="1:5">
      <c r="A874" s="577" t="s">
        <v>2632</v>
      </c>
      <c r="C874" s="369">
        <v>0</v>
      </c>
      <c r="D874" s="369">
        <v>0</v>
      </c>
      <c r="E874">
        <f>VLOOKUP(A874,Ucto_HK_summ!$A$2:$K$965,8,FALSE)</f>
        <v>0</v>
      </c>
    </row>
    <row r="877" spans="1:5">
      <c r="A877" s="578" t="s">
        <v>2633</v>
      </c>
      <c r="B877" s="578" t="s">
        <v>2634</v>
      </c>
      <c r="C877" s="513">
        <v>-20517725.129999999</v>
      </c>
      <c r="D877" s="513">
        <v>-20517725.129999999</v>
      </c>
      <c r="E877">
        <f>VLOOKUP(A877,Ucto_HK_summ!$A$2:$K$965,8,FALSE)</f>
        <v>0</v>
      </c>
    </row>
    <row r="878" spans="1:5">
      <c r="A878" s="578" t="s">
        <v>2635</v>
      </c>
      <c r="B878" s="578" t="s">
        <v>2636</v>
      </c>
      <c r="C878" s="513">
        <v>-492411.63</v>
      </c>
      <c r="D878" s="513">
        <v>-492411.63</v>
      </c>
      <c r="E878">
        <f>VLOOKUP(A878,Ucto_HK_summ!$A$2:$K$965,8,FALSE)</f>
        <v>0</v>
      </c>
    </row>
    <row r="879" spans="1:5">
      <c r="A879" s="578" t="s">
        <v>2637</v>
      </c>
      <c r="B879" s="578" t="s">
        <v>2638</v>
      </c>
      <c r="C879" s="513">
        <v>21010136.760000002</v>
      </c>
      <c r="D879" s="513">
        <v>21010136.760000002</v>
      </c>
      <c r="E879">
        <f>VLOOKUP(A879,Ucto_HK_summ!$A$2:$K$965,8,FALSE)</f>
        <v>0</v>
      </c>
    </row>
    <row r="880" spans="1:5">
      <c r="A880" s="578" t="s">
        <v>2639</v>
      </c>
      <c r="C880">
        <v>0</v>
      </c>
      <c r="D880">
        <v>0</v>
      </c>
      <c r="E880">
        <f>VLOOKUP(A880,Ucto_HK_summ!$A$2:$K$965,8,FALSE)</f>
        <v>0</v>
      </c>
    </row>
    <row r="881" spans="1:5">
      <c r="A881" s="577" t="s">
        <v>2640</v>
      </c>
      <c r="C881" s="369">
        <v>0</v>
      </c>
      <c r="D881" s="369">
        <v>0</v>
      </c>
      <c r="E881">
        <f>VLOOKUP(A881,Ucto_HK_summ!$A$2:$K$965,8,FALSE)</f>
        <v>0</v>
      </c>
    </row>
    <row r="882" spans="1:5">
      <c r="A882" s="577" t="s">
        <v>2641</v>
      </c>
      <c r="C882" s="369">
        <v>0</v>
      </c>
      <c r="D882" s="369">
        <v>0</v>
      </c>
      <c r="E882">
        <f>VLOOKUP(A882,Ucto_HK_summ!$A$2:$K$965,8,FALSE)</f>
        <v>0</v>
      </c>
    </row>
    <row r="884" spans="1:5">
      <c r="A884" s="577" t="s">
        <v>1158</v>
      </c>
      <c r="C884" s="369">
        <v>0</v>
      </c>
      <c r="D884" s="369">
        <v>0</v>
      </c>
      <c r="E884">
        <f>VLOOKUP(A884,Ucto_HK_summ!$A$2:$K$965,8,FALSE)</f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CF7BB-4F48-45CC-96F8-C16225B57717}">
  <sheetPr>
    <tabColor theme="0"/>
  </sheetPr>
  <dimension ref="A1:E929"/>
  <sheetViews>
    <sheetView workbookViewId="0"/>
  </sheetViews>
  <sheetFormatPr baseColWidth="10" defaultColWidth="8.83203125" defaultRowHeight="15"/>
  <cols>
    <col min="1" max="1" width="20.6640625" bestFit="1" customWidth="1"/>
    <col min="2" max="2" width="31.5" bestFit="1" customWidth="1"/>
    <col min="3" max="3" width="20.5" bestFit="1" customWidth="1"/>
    <col min="4" max="4" width="22.33203125" bestFit="1" customWidth="1"/>
    <col min="5" max="5" width="21.5" customWidth="1"/>
  </cols>
  <sheetData>
    <row r="1" spans="1:5">
      <c r="A1" s="577" t="s">
        <v>1206</v>
      </c>
      <c r="B1" s="577" t="s">
        <v>1207</v>
      </c>
      <c r="C1" s="577" t="s">
        <v>1208</v>
      </c>
      <c r="D1" s="577" t="s">
        <v>1209</v>
      </c>
    </row>
    <row r="2" spans="1:5">
      <c r="A2" s="578" t="s">
        <v>1210</v>
      </c>
      <c r="B2" s="578" t="s">
        <v>1211</v>
      </c>
      <c r="C2" s="513">
        <v>953403.85</v>
      </c>
      <c r="D2" s="513">
        <v>961685.62</v>
      </c>
      <c r="E2">
        <f>VLOOKUP(A2,Ucto_HK_summ!$A$2:H$966,7,FALSE)</f>
        <v>953403.85</v>
      </c>
    </row>
    <row r="3" spans="1:5">
      <c r="A3" s="578" t="s">
        <v>1212</v>
      </c>
      <c r="C3" s="513">
        <v>953403.85</v>
      </c>
      <c r="D3" s="513">
        <v>961685.62</v>
      </c>
      <c r="E3">
        <f>VLOOKUP(A3,Ucto_HK_summ!$A$2:H$966,7,FALSE)</f>
        <v>953403.85</v>
      </c>
    </row>
    <row r="4" spans="1:5">
      <c r="A4" s="577" t="s">
        <v>1213</v>
      </c>
      <c r="C4" s="579">
        <v>953403.85</v>
      </c>
      <c r="D4" s="579">
        <v>961685.62</v>
      </c>
      <c r="E4">
        <f>VLOOKUP(A4,Ucto_HK_summ!$A$2:H$966,7,FALSE)</f>
        <v>953403.85</v>
      </c>
    </row>
    <row r="6" spans="1:5">
      <c r="A6" s="578" t="s">
        <v>1214</v>
      </c>
      <c r="B6" s="578" t="s">
        <v>1215</v>
      </c>
      <c r="C6" s="513">
        <v>33023206.77</v>
      </c>
      <c r="D6" s="513">
        <v>33206694.27</v>
      </c>
      <c r="E6">
        <f>VLOOKUP(A6,Ucto_HK_summ!$A$2:H$966,7,FALSE)</f>
        <v>33023206.77</v>
      </c>
    </row>
    <row r="7" spans="1:5">
      <c r="A7" s="578" t="s">
        <v>1216</v>
      </c>
      <c r="B7" s="578" t="s">
        <v>1217</v>
      </c>
      <c r="C7" s="513">
        <v>33779823.770000003</v>
      </c>
      <c r="D7" s="513">
        <v>34574733.130000003</v>
      </c>
      <c r="E7">
        <f>VLOOKUP(A7,Ucto_HK_summ!$A$2:H$966,7,FALSE)</f>
        <v>33779823.770000003</v>
      </c>
    </row>
    <row r="8" spans="1:5">
      <c r="A8" s="578" t="s">
        <v>1218</v>
      </c>
      <c r="C8" s="513">
        <v>66803030.539999999</v>
      </c>
      <c r="D8" s="513">
        <v>67781427.400000006</v>
      </c>
      <c r="E8">
        <f>VLOOKUP(A8,Ucto_HK_summ!$A$2:H$966,7,FALSE)</f>
        <v>66803030.539999999</v>
      </c>
    </row>
    <row r="9" spans="1:5">
      <c r="A9" s="578" t="s">
        <v>1219</v>
      </c>
      <c r="B9" s="578" t="s">
        <v>1220</v>
      </c>
      <c r="C9" s="513">
        <v>76283712.549999997</v>
      </c>
      <c r="D9" s="513">
        <v>79337986.730000004</v>
      </c>
      <c r="E9">
        <f>VLOOKUP(A9,Ucto_HK_summ!$A$2:H$966,7,FALSE)</f>
        <v>76283712.549999997</v>
      </c>
    </row>
    <row r="10" spans="1:5">
      <c r="A10" s="578" t="s">
        <v>1221</v>
      </c>
      <c r="C10" s="513">
        <v>76283712.549999997</v>
      </c>
      <c r="D10" s="513">
        <v>79337986.730000004</v>
      </c>
      <c r="E10">
        <f>VLOOKUP(A10,Ucto_HK_summ!$A$2:H$966,7,FALSE)</f>
        <v>76283712.549999997</v>
      </c>
    </row>
    <row r="11" spans="1:5">
      <c r="A11" s="578" t="s">
        <v>1222</v>
      </c>
      <c r="B11" s="578" t="s">
        <v>1223</v>
      </c>
      <c r="C11" s="513">
        <v>552522.13</v>
      </c>
      <c r="D11" s="513">
        <v>601287.93000000005</v>
      </c>
      <c r="E11">
        <f>VLOOKUP(A11,Ucto_HK_summ!$A$2:H$966,7,FALSE)</f>
        <v>552522.13</v>
      </c>
    </row>
    <row r="12" spans="1:5">
      <c r="A12" s="578" t="s">
        <v>1224</v>
      </c>
      <c r="C12" s="513">
        <v>552522.13</v>
      </c>
      <c r="D12" s="513">
        <v>601287.93000000005</v>
      </c>
      <c r="E12">
        <f>VLOOKUP(A12,Ucto_HK_summ!$A$2:H$966,7,FALSE)</f>
        <v>552522.13</v>
      </c>
    </row>
    <row r="13" spans="1:5">
      <c r="A13" s="578" t="s">
        <v>1225</v>
      </c>
      <c r="B13" s="578" t="s">
        <v>1226</v>
      </c>
      <c r="C13" s="513">
        <v>288686.67</v>
      </c>
      <c r="D13" s="513">
        <v>285599.8</v>
      </c>
      <c r="E13">
        <f>VLOOKUP(A13,Ucto_HK_summ!$A$2:H$966,7,FALSE)</f>
        <v>288686.67</v>
      </c>
    </row>
    <row r="14" spans="1:5">
      <c r="A14" s="578" t="s">
        <v>1227</v>
      </c>
      <c r="B14" s="578" t="s">
        <v>1228</v>
      </c>
      <c r="C14" s="513">
        <v>8800347.3000000007</v>
      </c>
      <c r="D14" s="513">
        <v>8800347.3000000007</v>
      </c>
      <c r="E14">
        <f>VLOOKUP(A14,Ucto_HK_summ!$A$2:H$966,7,FALSE)</f>
        <v>8800347.3000000007</v>
      </c>
    </row>
    <row r="15" spans="1:5">
      <c r="A15" s="578" t="s">
        <v>1229</v>
      </c>
      <c r="B15" s="578" t="s">
        <v>1230</v>
      </c>
      <c r="C15" s="513">
        <v>469000.92</v>
      </c>
      <c r="D15" s="513">
        <v>577762.07999999996</v>
      </c>
      <c r="E15">
        <f>VLOOKUP(A15,Ucto_HK_summ!$A$2:H$966,7,FALSE)</f>
        <v>469000.92</v>
      </c>
    </row>
    <row r="16" spans="1:5">
      <c r="A16" s="578" t="s">
        <v>1231</v>
      </c>
      <c r="C16" s="513">
        <v>9558034.8900000006</v>
      </c>
      <c r="D16" s="513">
        <v>9663709.1799999997</v>
      </c>
      <c r="E16">
        <f>VLOOKUP(A16,Ucto_HK_summ!$A$2:H$966,7,FALSE)</f>
        <v>9558034.8900000006</v>
      </c>
    </row>
    <row r="17" spans="1:5">
      <c r="A17" s="577" t="s">
        <v>1232</v>
      </c>
      <c r="C17" s="579">
        <v>153197300.11000001</v>
      </c>
      <c r="D17" s="579">
        <v>157384411.24000001</v>
      </c>
      <c r="E17">
        <f>VLOOKUP(A17,Ucto_HK_summ!$A$2:H$966,7,FALSE)</f>
        <v>153197300.11000001</v>
      </c>
    </row>
    <row r="19" spans="1:5">
      <c r="A19" s="578" t="s">
        <v>1233</v>
      </c>
      <c r="B19" s="578" t="s">
        <v>1234</v>
      </c>
      <c r="C19" s="513">
        <v>7945421.4400000004</v>
      </c>
      <c r="D19" s="513">
        <v>7945421.4400000004</v>
      </c>
      <c r="E19">
        <f>VLOOKUP(A19,Ucto_HK_summ!$A$2:H$966,7,FALSE)</f>
        <v>7945421.4400000004</v>
      </c>
    </row>
    <row r="20" spans="1:5">
      <c r="A20" s="578" t="s">
        <v>1235</v>
      </c>
      <c r="B20" s="578" t="s">
        <v>1236</v>
      </c>
      <c r="C20" s="513">
        <v>3587652.16</v>
      </c>
      <c r="D20" s="513">
        <v>3587652.16</v>
      </c>
      <c r="E20">
        <f>VLOOKUP(A20,Ucto_HK_summ!$A$2:H$966,7,FALSE)</f>
        <v>3587652.16</v>
      </c>
    </row>
    <row r="21" spans="1:5">
      <c r="A21" s="578" t="s">
        <v>1237</v>
      </c>
      <c r="C21" s="513">
        <v>11533073.6</v>
      </c>
      <c r="D21" s="513">
        <v>11533073.6</v>
      </c>
      <c r="E21">
        <f>VLOOKUP(A21,Ucto_HK_summ!$A$2:H$966,7,FALSE)</f>
        <v>11533073.6</v>
      </c>
    </row>
    <row r="22" spans="1:5">
      <c r="A22" s="578" t="s">
        <v>1238</v>
      </c>
      <c r="B22" s="578" t="s">
        <v>1239</v>
      </c>
      <c r="C22" s="513">
        <v>43644.53</v>
      </c>
      <c r="D22" s="513">
        <v>43644.53</v>
      </c>
      <c r="E22">
        <f>VLOOKUP(A22,Ucto_HK_summ!$A$2:H$966,7,FALSE)</f>
        <v>43644.53</v>
      </c>
    </row>
    <row r="23" spans="1:5">
      <c r="A23" s="578" t="s">
        <v>1240</v>
      </c>
      <c r="C23" s="513">
        <v>43644.53</v>
      </c>
      <c r="D23" s="513">
        <v>43644.53</v>
      </c>
      <c r="E23">
        <f>VLOOKUP(A23,Ucto_HK_summ!$A$2:H$966,7,FALSE)</f>
        <v>43644.53</v>
      </c>
    </row>
    <row r="24" spans="1:5">
      <c r="A24" s="577" t="s">
        <v>1241</v>
      </c>
      <c r="C24" s="579">
        <v>11576718.130000001</v>
      </c>
      <c r="D24" s="579">
        <v>11576718.130000001</v>
      </c>
      <c r="E24">
        <f>VLOOKUP(A24,Ucto_HK_summ!$A$2:H$966,7,FALSE)</f>
        <v>11576718.130000001</v>
      </c>
    </row>
    <row r="26" spans="1:5">
      <c r="A26" s="578" t="s">
        <v>1242</v>
      </c>
      <c r="B26" s="578" t="s">
        <v>1243</v>
      </c>
      <c r="C26">
        <v>0</v>
      </c>
      <c r="D26" s="513">
        <v>126804.89</v>
      </c>
      <c r="E26">
        <f>VLOOKUP(A26,Ucto_HK_summ!$A$2:H$966,7,FALSE)</f>
        <v>0</v>
      </c>
    </row>
    <row r="27" spans="1:5">
      <c r="A27" s="578" t="s">
        <v>1244</v>
      </c>
      <c r="C27">
        <v>0</v>
      </c>
      <c r="D27" s="513">
        <v>126804.89</v>
      </c>
      <c r="E27">
        <f>VLOOKUP(A27,Ucto_HK_summ!$A$2:H$966,7,FALSE)</f>
        <v>0</v>
      </c>
    </row>
    <row r="28" spans="1:5">
      <c r="A28" s="578" t="s">
        <v>1245</v>
      </c>
      <c r="B28" s="578" t="s">
        <v>1246</v>
      </c>
      <c r="C28" s="550">
        <v>126840</v>
      </c>
      <c r="D28" s="513">
        <v>246930.37</v>
      </c>
      <c r="E28">
        <f>VLOOKUP(A28,Ucto_HK_summ!$A$2:H$966,7,FALSE)</f>
        <v>126840</v>
      </c>
    </row>
    <row r="29" spans="1:5">
      <c r="A29" s="578" t="s">
        <v>1247</v>
      </c>
      <c r="B29" s="578" t="s">
        <v>1248</v>
      </c>
      <c r="C29" s="513">
        <v>4459797.7300000004</v>
      </c>
      <c r="D29" s="513">
        <v>1211411.1499999999</v>
      </c>
      <c r="E29">
        <f>VLOOKUP(A29,Ucto_HK_summ!$A$2:H$966,7,FALSE)</f>
        <v>4459797.7300000004</v>
      </c>
    </row>
    <row r="30" spans="1:5">
      <c r="A30" s="578" t="s">
        <v>1249</v>
      </c>
      <c r="B30" s="578" t="s">
        <v>1250</v>
      </c>
      <c r="C30" s="513">
        <v>436414.71999999997</v>
      </c>
      <c r="D30" s="513">
        <v>482146.72</v>
      </c>
      <c r="E30">
        <f>VLOOKUP(A30,Ucto_HK_summ!$A$2:H$966,7,FALSE)</f>
        <v>436414.71999999997</v>
      </c>
    </row>
    <row r="31" spans="1:5">
      <c r="A31" s="578" t="s">
        <v>2642</v>
      </c>
      <c r="B31" s="578" t="s">
        <v>2643</v>
      </c>
      <c r="C31">
        <v>0</v>
      </c>
      <c r="D31" s="513">
        <v>61336.91</v>
      </c>
      <c r="E31">
        <f>VLOOKUP(A31,Ucto_HK_summ!$A$2:H$966,7,FALSE)</f>
        <v>0</v>
      </c>
    </row>
    <row r="32" spans="1:5">
      <c r="A32" s="578" t="s">
        <v>1251</v>
      </c>
      <c r="C32" s="513">
        <v>5023052.45</v>
      </c>
      <c r="D32" s="513">
        <v>2001825.15</v>
      </c>
      <c r="E32">
        <f>VLOOKUP(A32,Ucto_HK_summ!$A$2:H$966,7,FALSE)</f>
        <v>5023052.45</v>
      </c>
    </row>
    <row r="33" spans="1:5">
      <c r="A33" s="577" t="s">
        <v>1252</v>
      </c>
      <c r="C33" s="579">
        <v>5023052.45</v>
      </c>
      <c r="D33" s="579">
        <v>2128630.04</v>
      </c>
      <c r="E33">
        <f>VLOOKUP(A33,Ucto_HK_summ!$A$2:H$966,7,FALSE)</f>
        <v>5023052.45</v>
      </c>
    </row>
    <row r="35" spans="1:5">
      <c r="A35" s="578" t="s">
        <v>1253</v>
      </c>
      <c r="B35" s="578" t="s">
        <v>1254</v>
      </c>
      <c r="C35">
        <v>0</v>
      </c>
      <c r="D35">
        <v>0</v>
      </c>
      <c r="E35">
        <f>VLOOKUP(A35,Ucto_HK_summ!$A$2:H$966,7,FALSE)</f>
        <v>0</v>
      </c>
    </row>
    <row r="36" spans="1:5">
      <c r="A36" s="578" t="s">
        <v>1255</v>
      </c>
      <c r="C36">
        <v>0</v>
      </c>
      <c r="D36">
        <v>0</v>
      </c>
      <c r="E36">
        <f>VLOOKUP(A36,Ucto_HK_summ!$A$2:H$966,7,FALSE)</f>
        <v>0</v>
      </c>
    </row>
    <row r="37" spans="1:5">
      <c r="A37" s="577" t="s">
        <v>1256</v>
      </c>
      <c r="C37" s="369">
        <v>0</v>
      </c>
      <c r="D37" s="369">
        <v>0</v>
      </c>
      <c r="E37">
        <f>VLOOKUP(A37,Ucto_HK_summ!$A$2:H$966,7,FALSE)</f>
        <v>0</v>
      </c>
    </row>
    <row r="39" spans="1:5">
      <c r="A39" s="578" t="s">
        <v>1257</v>
      </c>
      <c r="B39" s="578" t="s">
        <v>1258</v>
      </c>
      <c r="C39" s="513">
        <v>-928446.37</v>
      </c>
      <c r="D39" s="513">
        <v>-936267.19</v>
      </c>
      <c r="E39">
        <f>VLOOKUP(A39,Ucto_HK_summ!$A$2:H$966,7,FALSE)</f>
        <v>-928446.37</v>
      </c>
    </row>
    <row r="40" spans="1:5">
      <c r="A40" s="578" t="s">
        <v>1259</v>
      </c>
      <c r="C40" s="513">
        <v>-928446.37</v>
      </c>
      <c r="D40" s="513">
        <v>-936267.19</v>
      </c>
      <c r="E40">
        <f>VLOOKUP(A40,Ucto_HK_summ!$A$2:H$966,7,FALSE)</f>
        <v>-928446.37</v>
      </c>
    </row>
    <row r="41" spans="1:5">
      <c r="A41" s="577" t="s">
        <v>1260</v>
      </c>
      <c r="C41" s="579">
        <v>-928446.37</v>
      </c>
      <c r="D41" s="579">
        <v>-936267.19</v>
      </c>
      <c r="E41">
        <f>VLOOKUP(A41,Ucto_HK_summ!$A$2:H$966,7,FALSE)</f>
        <v>-928446.37</v>
      </c>
    </row>
    <row r="43" spans="1:5">
      <c r="A43" s="578" t="s">
        <v>1261</v>
      </c>
      <c r="B43" s="578" t="s">
        <v>1262</v>
      </c>
      <c r="C43" s="513">
        <v>-40585111.850000001</v>
      </c>
      <c r="D43" s="513">
        <v>-42000787.619999997</v>
      </c>
      <c r="E43">
        <f>VLOOKUP(A43,Ucto_HK_summ!$A$2:H$966,7,FALSE)</f>
        <v>-40585111.850000001</v>
      </c>
    </row>
    <row r="44" spans="1:5">
      <c r="A44" s="578" t="s">
        <v>1263</v>
      </c>
      <c r="C44" s="513">
        <v>-40585111.850000001</v>
      </c>
      <c r="D44" s="513">
        <v>-42000787.619999997</v>
      </c>
      <c r="E44">
        <f>VLOOKUP(A44,Ucto_HK_summ!$A$2:H$966,7,FALSE)</f>
        <v>-40585111.850000001</v>
      </c>
    </row>
    <row r="45" spans="1:5">
      <c r="A45" s="578" t="s">
        <v>1264</v>
      </c>
      <c r="B45" s="578" t="s">
        <v>1265</v>
      </c>
      <c r="C45" s="513">
        <v>-57373471.280000001</v>
      </c>
      <c r="D45" s="513">
        <v>-58248489.960000001</v>
      </c>
      <c r="E45">
        <f>VLOOKUP(A45,Ucto_HK_summ!$A$2:H$966,7,FALSE)</f>
        <v>-57373471.280000001</v>
      </c>
    </row>
    <row r="46" spans="1:5">
      <c r="A46" s="578" t="s">
        <v>1266</v>
      </c>
      <c r="C46" s="513">
        <v>-57373471.280000001</v>
      </c>
      <c r="D46" s="513">
        <v>-58248489.960000001</v>
      </c>
      <c r="E46">
        <f>VLOOKUP(A46,Ucto_HK_summ!$A$2:H$966,7,FALSE)</f>
        <v>-57373471.280000001</v>
      </c>
    </row>
    <row r="47" spans="1:5">
      <c r="A47" s="578" t="s">
        <v>1267</v>
      </c>
      <c r="B47" s="578" t="s">
        <v>1268</v>
      </c>
      <c r="C47" s="513">
        <v>-493083.81</v>
      </c>
      <c r="D47" s="513">
        <v>-466927.94</v>
      </c>
      <c r="E47">
        <f>VLOOKUP(A47,Ucto_HK_summ!$A$2:H$966,7,FALSE)</f>
        <v>-493083.81</v>
      </c>
    </row>
    <row r="48" spans="1:5">
      <c r="A48" s="578" t="s">
        <v>1269</v>
      </c>
      <c r="C48" s="513">
        <v>-493083.81</v>
      </c>
      <c r="D48" s="513">
        <v>-466927.94</v>
      </c>
      <c r="E48">
        <f>VLOOKUP(A48,Ucto_HK_summ!$A$2:H$966,7,FALSE)</f>
        <v>-493083.81</v>
      </c>
    </row>
    <row r="49" spans="1:5">
      <c r="A49" s="578" t="s">
        <v>1270</v>
      </c>
      <c r="B49" s="578" t="s">
        <v>1271</v>
      </c>
      <c r="C49" s="513">
        <v>-2359914.0099999998</v>
      </c>
      <c r="D49" s="513">
        <v>-2364734.88</v>
      </c>
      <c r="E49">
        <f>VLOOKUP(A49,Ucto_HK_summ!$A$2:H$966,7,FALSE)</f>
        <v>-2359914.0099999998</v>
      </c>
    </row>
    <row r="50" spans="1:5">
      <c r="A50" s="578" t="s">
        <v>1272</v>
      </c>
      <c r="B50" s="578" t="s">
        <v>1273</v>
      </c>
      <c r="C50" s="513">
        <v>-5302192.8899999997</v>
      </c>
      <c r="D50" s="513">
        <v>-5427556.8899999997</v>
      </c>
      <c r="E50">
        <f>VLOOKUP(A50,Ucto_HK_summ!$A$2:H$966,7,FALSE)</f>
        <v>-5302192.8899999997</v>
      </c>
    </row>
    <row r="51" spans="1:5">
      <c r="A51" s="578" t="s">
        <v>1274</v>
      </c>
      <c r="B51" s="578" t="s">
        <v>1275</v>
      </c>
      <c r="C51" s="550">
        <v>-24729</v>
      </c>
      <c r="D51" s="513">
        <v>-36902.39</v>
      </c>
      <c r="E51">
        <f>VLOOKUP(A51,Ucto_HK_summ!$A$2:H$966,7,FALSE)</f>
        <v>-24729</v>
      </c>
    </row>
    <row r="52" spans="1:5">
      <c r="A52" s="578" t="s">
        <v>1276</v>
      </c>
      <c r="C52" s="513">
        <v>-7686835.9000000004</v>
      </c>
      <c r="D52" s="513">
        <v>-7829194.1600000001</v>
      </c>
      <c r="E52">
        <f>VLOOKUP(A52,Ucto_HK_summ!$A$2:H$966,7,FALSE)</f>
        <v>-7686835.9000000004</v>
      </c>
    </row>
    <row r="53" spans="1:5">
      <c r="A53" s="577" t="s">
        <v>1277</v>
      </c>
      <c r="C53" s="579">
        <v>-106138502.84</v>
      </c>
      <c r="D53" s="579">
        <v>-108545399.68000001</v>
      </c>
      <c r="E53">
        <f>VLOOKUP(A53,Ucto_HK_summ!$A$2:H$966,7,FALSE)</f>
        <v>-106138502.84</v>
      </c>
    </row>
    <row r="55" spans="1:5">
      <c r="A55" s="578" t="s">
        <v>2846</v>
      </c>
      <c r="B55" s="578" t="s">
        <v>2847</v>
      </c>
      <c r="C55">
        <v>0</v>
      </c>
      <c r="D55" s="550">
        <v>-13560</v>
      </c>
      <c r="E55">
        <f>VLOOKUP(A55,Ucto_HK_summ!$A$2:H$966,7,FALSE)</f>
        <v>0</v>
      </c>
    </row>
    <row r="56" spans="1:5">
      <c r="A56" s="578" t="s">
        <v>2848</v>
      </c>
      <c r="C56">
        <v>0</v>
      </c>
      <c r="D56" s="550">
        <v>-13560</v>
      </c>
      <c r="E56">
        <f>VLOOKUP(A56,Ucto_HK_summ!$A$2:H$966,7,FALSE)</f>
        <v>0</v>
      </c>
    </row>
    <row r="57" spans="1:5">
      <c r="A57" s="577" t="s">
        <v>2849</v>
      </c>
      <c r="C57" s="369">
        <v>0</v>
      </c>
      <c r="D57" s="580">
        <v>-13560</v>
      </c>
      <c r="E57">
        <f>VLOOKUP(A57,Ucto_HK_summ!$A$2:H$966,7,FALSE)</f>
        <v>0</v>
      </c>
    </row>
    <row r="59" spans="1:5">
      <c r="A59" s="577" t="s">
        <v>1278</v>
      </c>
      <c r="C59" s="579">
        <v>63683525.329999998</v>
      </c>
      <c r="D59" s="579">
        <v>62556218.159999996</v>
      </c>
      <c r="E59">
        <f>VLOOKUP(A59,Ucto_HK_summ!$A$2:H$966,7,FALSE)</f>
        <v>63683525.329999998</v>
      </c>
    </row>
    <row r="62" spans="1:5">
      <c r="A62" s="578" t="s">
        <v>1279</v>
      </c>
      <c r="B62" s="578" t="s">
        <v>1280</v>
      </c>
      <c r="C62">
        <v>0</v>
      </c>
      <c r="D62">
        <v>0</v>
      </c>
      <c r="E62">
        <f>VLOOKUP(A62,Ucto_HK_summ!$A$2:H$966,7,FALSE)</f>
        <v>0</v>
      </c>
    </row>
    <row r="63" spans="1:5">
      <c r="A63" s="578" t="s">
        <v>1281</v>
      </c>
      <c r="B63" s="578" t="s">
        <v>1282</v>
      </c>
      <c r="C63">
        <v>0</v>
      </c>
      <c r="D63">
        <v>0</v>
      </c>
      <c r="E63">
        <f>VLOOKUP(A63,Ucto_HK_summ!$A$2:H$966,7,FALSE)</f>
        <v>0</v>
      </c>
    </row>
    <row r="64" spans="1:5">
      <c r="A64" s="578" t="s">
        <v>1283</v>
      </c>
      <c r="B64" s="578" t="s">
        <v>1284</v>
      </c>
      <c r="C64">
        <v>0</v>
      </c>
      <c r="D64">
        <v>0</v>
      </c>
      <c r="E64">
        <f>VLOOKUP(A64,Ucto_HK_summ!$A$2:H$966,7,FALSE)</f>
        <v>0</v>
      </c>
    </row>
    <row r="65" spans="1:5">
      <c r="A65" s="578" t="s">
        <v>1285</v>
      </c>
      <c r="B65" s="578" t="s">
        <v>1286</v>
      </c>
      <c r="C65">
        <v>0</v>
      </c>
      <c r="D65">
        <v>0</v>
      </c>
      <c r="E65">
        <f>VLOOKUP(A65,Ucto_HK_summ!$A$2:H$966,7,FALSE)</f>
        <v>0</v>
      </c>
    </row>
    <row r="66" spans="1:5">
      <c r="A66" s="578" t="s">
        <v>2850</v>
      </c>
      <c r="B66" s="578" t="s">
        <v>2851</v>
      </c>
      <c r="C66">
        <v>0</v>
      </c>
      <c r="D66">
        <v>0</v>
      </c>
      <c r="E66" t="e">
        <f>VLOOKUP(A66,Ucto_HK_summ!$A$2:H$966,7,FALSE)</f>
        <v>#N/A</v>
      </c>
    </row>
    <row r="67" spans="1:5">
      <c r="A67" s="578" t="s">
        <v>793</v>
      </c>
      <c r="C67">
        <v>0</v>
      </c>
      <c r="D67">
        <v>0</v>
      </c>
      <c r="E67">
        <f>VLOOKUP(A67,Ucto_HK_summ!$A$2:H$966,7,FALSE)</f>
        <v>0</v>
      </c>
    </row>
    <row r="68" spans="1:5">
      <c r="A68" s="578" t="s">
        <v>1291</v>
      </c>
      <c r="B68" s="578" t="s">
        <v>1292</v>
      </c>
      <c r="C68" s="513">
        <v>68367.320000000007</v>
      </c>
      <c r="D68" s="513">
        <v>51519.360000000001</v>
      </c>
      <c r="E68">
        <f>VLOOKUP(A68,Ucto_HK_summ!$A$2:H$966,7,FALSE)</f>
        <v>68367.320000000007</v>
      </c>
    </row>
    <row r="69" spans="1:5">
      <c r="A69" s="578" t="s">
        <v>1293</v>
      </c>
      <c r="B69" s="578" t="s">
        <v>1294</v>
      </c>
      <c r="C69">
        <v>122.04</v>
      </c>
      <c r="D69">
        <v>122.04</v>
      </c>
      <c r="E69">
        <f>VLOOKUP(A69,Ucto_HK_summ!$A$2:H$966,7,FALSE)</f>
        <v>122.04</v>
      </c>
    </row>
    <row r="70" spans="1:5">
      <c r="A70" s="578" t="s">
        <v>1295</v>
      </c>
      <c r="B70" s="578" t="s">
        <v>1296</v>
      </c>
      <c r="C70">
        <v>651.04</v>
      </c>
      <c r="D70">
        <v>651.04</v>
      </c>
      <c r="E70">
        <f>VLOOKUP(A70,Ucto_HK_summ!$A$2:H$966,7,FALSE)</f>
        <v>651.04</v>
      </c>
    </row>
    <row r="71" spans="1:5">
      <c r="A71" s="578" t="s">
        <v>1297</v>
      </c>
      <c r="B71" s="578" t="s">
        <v>1298</v>
      </c>
      <c r="C71">
        <v>661.93</v>
      </c>
      <c r="D71">
        <v>661.93</v>
      </c>
      <c r="E71">
        <f>VLOOKUP(A71,Ucto_HK_summ!$A$2:H$966,7,FALSE)</f>
        <v>661.93</v>
      </c>
    </row>
    <row r="72" spans="1:5">
      <c r="A72" s="578" t="s">
        <v>1299</v>
      </c>
      <c r="B72" s="578" t="s">
        <v>1300</v>
      </c>
      <c r="C72" s="513">
        <v>27669.14</v>
      </c>
      <c r="D72" s="513">
        <v>31707.43</v>
      </c>
      <c r="E72">
        <f>VLOOKUP(A72,Ucto_HK_summ!$A$2:H$966,7,FALSE)</f>
        <v>27669.14</v>
      </c>
    </row>
    <row r="73" spans="1:5">
      <c r="A73" s="578" t="s">
        <v>1301</v>
      </c>
      <c r="B73" s="578" t="s">
        <v>1302</v>
      </c>
      <c r="C73" s="513">
        <v>1636.9</v>
      </c>
      <c r="D73" s="513">
        <v>1910.6</v>
      </c>
      <c r="E73">
        <f>VLOOKUP(A73,Ucto_HK_summ!$A$2:H$966,7,FALSE)</f>
        <v>1636.9</v>
      </c>
    </row>
    <row r="74" spans="1:5">
      <c r="A74" s="578" t="s">
        <v>1303</v>
      </c>
      <c r="B74" s="578" t="s">
        <v>1304</v>
      </c>
      <c r="C74">
        <v>0</v>
      </c>
      <c r="D74">
        <v>0</v>
      </c>
      <c r="E74">
        <f>VLOOKUP(A74,Ucto_HK_summ!$A$2:H$966,7,FALSE)</f>
        <v>0</v>
      </c>
    </row>
    <row r="75" spans="1:5">
      <c r="A75" s="578" t="s">
        <v>1305</v>
      </c>
      <c r="B75" s="578" t="s">
        <v>1306</v>
      </c>
      <c r="C75">
        <v>0</v>
      </c>
      <c r="D75">
        <v>0</v>
      </c>
      <c r="E75">
        <f>VLOOKUP(A75,Ucto_HK_summ!$A$2:H$966,7,FALSE)</f>
        <v>0</v>
      </c>
    </row>
    <row r="76" spans="1:5">
      <c r="A76" s="578" t="s">
        <v>1307</v>
      </c>
      <c r="B76" s="578" t="s">
        <v>1308</v>
      </c>
      <c r="C76">
        <v>0</v>
      </c>
      <c r="D76">
        <v>0</v>
      </c>
      <c r="E76">
        <f>VLOOKUP(A76,Ucto_HK_summ!$A$2:H$966,7,FALSE)</f>
        <v>0</v>
      </c>
    </row>
    <row r="77" spans="1:5">
      <c r="A77" s="578" t="s">
        <v>1309</v>
      </c>
      <c r="B77" s="578" t="s">
        <v>1310</v>
      </c>
      <c r="C77" s="513">
        <v>24805.200000000001</v>
      </c>
      <c r="D77" s="513">
        <v>29887.78</v>
      </c>
      <c r="E77">
        <f>VLOOKUP(A77,Ucto_HK_summ!$A$2:H$966,7,FALSE)</f>
        <v>24805.200000000001</v>
      </c>
    </row>
    <row r="78" spans="1:5">
      <c r="A78" s="578" t="s">
        <v>1311</v>
      </c>
      <c r="B78" s="578" t="s">
        <v>1312</v>
      </c>
      <c r="C78" s="513">
        <v>1585.4</v>
      </c>
      <c r="D78" s="513">
        <v>1206.1300000000001</v>
      </c>
      <c r="E78">
        <f>VLOOKUP(A78,Ucto_HK_summ!$A$2:H$966,7,FALSE)</f>
        <v>1585.4</v>
      </c>
    </row>
    <row r="79" spans="1:5">
      <c r="A79" s="578" t="s">
        <v>1313</v>
      </c>
      <c r="B79" s="578" t="s">
        <v>1314</v>
      </c>
      <c r="C79" s="513">
        <v>19871.439999999999</v>
      </c>
      <c r="D79" s="513">
        <v>21826.18</v>
      </c>
      <c r="E79">
        <f>VLOOKUP(A79,Ucto_HK_summ!$A$2:H$966,7,FALSE)</f>
        <v>19871.439999999999</v>
      </c>
    </row>
    <row r="80" spans="1:5">
      <c r="A80" s="578" t="s">
        <v>1315</v>
      </c>
      <c r="B80" s="578" t="s">
        <v>1316</v>
      </c>
      <c r="C80" s="513">
        <v>95856.28</v>
      </c>
      <c r="D80" s="513">
        <v>114277.34</v>
      </c>
      <c r="E80">
        <f>VLOOKUP(A80,Ucto_HK_summ!$A$2:H$966,7,FALSE)</f>
        <v>95856.28</v>
      </c>
    </row>
    <row r="81" spans="1:5">
      <c r="A81" s="578" t="s">
        <v>1317</v>
      </c>
      <c r="B81" s="578" t="s">
        <v>1318</v>
      </c>
      <c r="C81" s="513">
        <v>10060.14</v>
      </c>
      <c r="D81" s="513">
        <v>11297.85</v>
      </c>
      <c r="E81">
        <f>VLOOKUP(A81,Ucto_HK_summ!$A$2:H$966,7,FALSE)</f>
        <v>10060.14</v>
      </c>
    </row>
    <row r="82" spans="1:5">
      <c r="A82" s="578" t="s">
        <v>1319</v>
      </c>
      <c r="B82" s="578" t="s">
        <v>1320</v>
      </c>
      <c r="C82" s="513">
        <v>9577.2199999999993</v>
      </c>
      <c r="D82" s="513">
        <v>43410.09</v>
      </c>
      <c r="E82">
        <f>VLOOKUP(A82,Ucto_HK_summ!$A$2:H$966,7,FALSE)</f>
        <v>9577.2199999999993</v>
      </c>
    </row>
    <row r="83" spans="1:5">
      <c r="A83" s="578" t="s">
        <v>1321</v>
      </c>
      <c r="B83" s="578" t="s">
        <v>1322</v>
      </c>
      <c r="C83" s="513">
        <v>13050.15</v>
      </c>
      <c r="D83" s="513">
        <v>14421.44</v>
      </c>
      <c r="E83">
        <f>VLOOKUP(A83,Ucto_HK_summ!$A$2:H$966,7,FALSE)</f>
        <v>13050.15</v>
      </c>
    </row>
    <row r="84" spans="1:5">
      <c r="A84" s="578" t="s">
        <v>1323</v>
      </c>
      <c r="B84" s="578" t="s">
        <v>1324</v>
      </c>
      <c r="C84" s="513">
        <v>6012.15</v>
      </c>
      <c r="D84" s="513">
        <v>7976.45</v>
      </c>
      <c r="E84">
        <f>VLOOKUP(A84,Ucto_HK_summ!$A$2:H$966,7,FALSE)</f>
        <v>6012.15</v>
      </c>
    </row>
    <row r="85" spans="1:5">
      <c r="A85" s="578" t="s">
        <v>1325</v>
      </c>
      <c r="B85" s="578" t="s">
        <v>1326</v>
      </c>
      <c r="C85" s="513">
        <v>65705.14</v>
      </c>
      <c r="D85" s="513">
        <v>110831.22</v>
      </c>
      <c r="E85">
        <f>VLOOKUP(A85,Ucto_HK_summ!$A$2:H$966,7,FALSE)</f>
        <v>65705.14</v>
      </c>
    </row>
    <row r="86" spans="1:5">
      <c r="A86" s="578" t="s">
        <v>1327</v>
      </c>
      <c r="B86" s="578" t="s">
        <v>1328</v>
      </c>
      <c r="C86" s="513">
        <v>39644.050000000003</v>
      </c>
      <c r="D86" s="513">
        <v>20549.41</v>
      </c>
      <c r="E86">
        <f>VLOOKUP(A86,Ucto_HK_summ!$A$2:H$966,7,FALSE)</f>
        <v>39644.050000000003</v>
      </c>
    </row>
    <row r="87" spans="1:5">
      <c r="A87" s="578" t="s">
        <v>1329</v>
      </c>
      <c r="B87" s="578" t="s">
        <v>1330</v>
      </c>
      <c r="C87">
        <v>26.55</v>
      </c>
      <c r="D87">
        <v>219.7</v>
      </c>
      <c r="E87">
        <f>VLOOKUP(A87,Ucto_HK_summ!$A$2:H$966,7,FALSE)</f>
        <v>26.55</v>
      </c>
    </row>
    <row r="88" spans="1:5">
      <c r="A88" s="578" t="s">
        <v>1331</v>
      </c>
      <c r="B88" s="578" t="s">
        <v>1332</v>
      </c>
      <c r="C88" s="513">
        <v>3248.25</v>
      </c>
      <c r="D88" s="513">
        <v>5273.59</v>
      </c>
      <c r="E88">
        <f>VLOOKUP(A88,Ucto_HK_summ!$A$2:H$966,7,FALSE)</f>
        <v>3248.25</v>
      </c>
    </row>
    <row r="89" spans="1:5">
      <c r="A89" s="578" t="s">
        <v>1333</v>
      </c>
      <c r="B89" s="578" t="s">
        <v>1334</v>
      </c>
      <c r="C89" s="513">
        <v>78401.64</v>
      </c>
      <c r="D89" s="513">
        <v>84142.46</v>
      </c>
      <c r="E89">
        <f>VLOOKUP(A89,Ucto_HK_summ!$A$2:H$966,7,FALSE)</f>
        <v>78401.64</v>
      </c>
    </row>
    <row r="90" spans="1:5">
      <c r="A90" s="578" t="s">
        <v>1335</v>
      </c>
      <c r="B90" s="578" t="s">
        <v>1336</v>
      </c>
      <c r="C90" s="513">
        <v>2119.52</v>
      </c>
      <c r="D90" s="513">
        <v>2537.75</v>
      </c>
      <c r="E90">
        <f>VLOOKUP(A90,Ucto_HK_summ!$A$2:H$966,7,FALSE)</f>
        <v>2119.52</v>
      </c>
    </row>
    <row r="91" spans="1:5">
      <c r="A91" s="578" t="s">
        <v>1337</v>
      </c>
      <c r="B91" s="578" t="s">
        <v>1338</v>
      </c>
      <c r="C91" s="513">
        <v>23183.37</v>
      </c>
      <c r="D91" s="513">
        <v>42108.13</v>
      </c>
      <c r="E91">
        <f>VLOOKUP(A91,Ucto_HK_summ!$A$2:H$966,7,FALSE)</f>
        <v>23183.37</v>
      </c>
    </row>
    <row r="92" spans="1:5">
      <c r="A92" s="578" t="s">
        <v>1339</v>
      </c>
      <c r="B92" s="578" t="s">
        <v>1340</v>
      </c>
      <c r="C92">
        <v>908.62</v>
      </c>
      <c r="D92">
        <v>848.18</v>
      </c>
      <c r="E92">
        <f>VLOOKUP(A92,Ucto_HK_summ!$A$2:H$966,7,FALSE)</f>
        <v>908.62</v>
      </c>
    </row>
    <row r="93" spans="1:5">
      <c r="A93" s="578" t="s">
        <v>1341</v>
      </c>
      <c r="B93" s="578" t="s">
        <v>1342</v>
      </c>
      <c r="C93" s="513">
        <v>2815.42</v>
      </c>
      <c r="D93" s="513">
        <v>3480.62</v>
      </c>
      <c r="E93">
        <f>VLOOKUP(A93,Ucto_HK_summ!$A$2:H$966,7,FALSE)</f>
        <v>2815.42</v>
      </c>
    </row>
    <row r="94" spans="1:5">
      <c r="A94" s="578" t="s">
        <v>1343</v>
      </c>
      <c r="B94" s="578" t="s">
        <v>1344</v>
      </c>
      <c r="C94" s="513">
        <v>307409.46000000002</v>
      </c>
      <c r="D94" s="513">
        <v>786468.86</v>
      </c>
      <c r="E94">
        <f>VLOOKUP(A94,Ucto_HK_summ!$A$2:H$966,7,FALSE)</f>
        <v>307409.46000000002</v>
      </c>
    </row>
    <row r="95" spans="1:5">
      <c r="A95" s="578" t="s">
        <v>1345</v>
      </c>
      <c r="B95" s="578" t="s">
        <v>1346</v>
      </c>
      <c r="C95" s="513">
        <v>828934.65</v>
      </c>
      <c r="D95" s="513">
        <v>364281.24</v>
      </c>
      <c r="E95">
        <f>VLOOKUP(A95,Ucto_HK_summ!$A$2:H$966,7,FALSE)</f>
        <v>828934.65</v>
      </c>
    </row>
    <row r="96" spans="1:5">
      <c r="A96" s="578" t="s">
        <v>1347</v>
      </c>
      <c r="B96" s="578" t="s">
        <v>1348</v>
      </c>
      <c r="C96">
        <v>0</v>
      </c>
      <c r="D96">
        <v>0</v>
      </c>
      <c r="E96">
        <f>VLOOKUP(A96,Ucto_HK_summ!$A$2:H$966,7,FALSE)</f>
        <v>0</v>
      </c>
    </row>
    <row r="97" spans="1:5">
      <c r="A97" s="578" t="s">
        <v>2852</v>
      </c>
      <c r="B97" s="578" t="s">
        <v>2853</v>
      </c>
      <c r="C97">
        <v>0</v>
      </c>
      <c r="D97" s="513">
        <v>155804.4</v>
      </c>
      <c r="E97">
        <f>VLOOKUP(A97,Ucto_HK_summ!$A$2:H$966,7,FALSE)</f>
        <v>0</v>
      </c>
    </row>
    <row r="98" spans="1:5">
      <c r="A98" s="578" t="s">
        <v>2854</v>
      </c>
      <c r="B98" s="578" t="s">
        <v>2855</v>
      </c>
      <c r="C98">
        <v>0</v>
      </c>
      <c r="D98" s="513">
        <v>320608.2</v>
      </c>
      <c r="E98">
        <f>VLOOKUP(A98,Ucto_HK_summ!$A$2:H$966,7,FALSE)</f>
        <v>0</v>
      </c>
    </row>
    <row r="99" spans="1:5">
      <c r="A99" s="578" t="s">
        <v>1349</v>
      </c>
      <c r="B99" s="578" t="s">
        <v>1350</v>
      </c>
      <c r="C99" s="513">
        <v>325101.44</v>
      </c>
      <c r="D99" s="513">
        <v>506786.98</v>
      </c>
      <c r="E99">
        <f>VLOOKUP(A99,Ucto_HK_summ!$A$2:H$966,7,FALSE)</f>
        <v>325101.44</v>
      </c>
    </row>
    <row r="100" spans="1:5">
      <c r="A100" s="578" t="s">
        <v>2856</v>
      </c>
      <c r="B100" s="578" t="s">
        <v>2857</v>
      </c>
      <c r="C100">
        <v>0</v>
      </c>
      <c r="D100" s="513">
        <v>1216987.18</v>
      </c>
      <c r="E100">
        <f>VLOOKUP(A100,Ucto_HK_summ!$A$2:H$966,7,FALSE)</f>
        <v>0</v>
      </c>
    </row>
    <row r="101" spans="1:5">
      <c r="A101" s="578" t="s">
        <v>1351</v>
      </c>
      <c r="B101" s="578" t="s">
        <v>1352</v>
      </c>
      <c r="C101" s="513">
        <v>1919567.68</v>
      </c>
      <c r="D101" s="513">
        <v>1462927.7</v>
      </c>
      <c r="E101">
        <f>VLOOKUP(A101,Ucto_HK_summ!$A$2:H$966,7,FALSE)</f>
        <v>1919567.68</v>
      </c>
    </row>
    <row r="102" spans="1:5">
      <c r="A102" s="578" t="s">
        <v>2858</v>
      </c>
      <c r="B102" s="578" t="s">
        <v>2859</v>
      </c>
      <c r="C102">
        <v>0</v>
      </c>
      <c r="D102" s="513">
        <v>713311.6</v>
      </c>
      <c r="E102">
        <f>VLOOKUP(A102,Ucto_HK_summ!$A$2:H$966,7,FALSE)</f>
        <v>0</v>
      </c>
    </row>
    <row r="103" spans="1:5">
      <c r="A103" s="578" t="s">
        <v>795</v>
      </c>
      <c r="C103" s="513">
        <v>3876992.14</v>
      </c>
      <c r="D103" s="513">
        <v>6128042.8799999999</v>
      </c>
      <c r="E103">
        <f>VLOOKUP(A103,Ucto_HK_summ!$A$2:H$966,7,FALSE)</f>
        <v>3876992.14</v>
      </c>
    </row>
    <row r="104" spans="1:5">
      <c r="A104" s="578" t="s">
        <v>1353</v>
      </c>
      <c r="B104" s="578" t="s">
        <v>1354</v>
      </c>
      <c r="C104" s="513">
        <v>14005.44</v>
      </c>
      <c r="D104" s="513">
        <v>76351.039999999994</v>
      </c>
      <c r="E104">
        <f>VLOOKUP(A104,Ucto_HK_summ!$A$2:H$966,7,FALSE)</f>
        <v>14005.44</v>
      </c>
    </row>
    <row r="105" spans="1:5">
      <c r="A105" s="578" t="s">
        <v>1355</v>
      </c>
      <c r="B105" s="578" t="s">
        <v>1356</v>
      </c>
      <c r="C105">
        <v>0</v>
      </c>
      <c r="D105">
        <v>163.9</v>
      </c>
      <c r="E105">
        <f>VLOOKUP(A105,Ucto_HK_summ!$A$2:H$966,7,FALSE)</f>
        <v>0</v>
      </c>
    </row>
    <row r="106" spans="1:5">
      <c r="A106" s="578" t="s">
        <v>446</v>
      </c>
      <c r="C106" s="513">
        <v>14005.44</v>
      </c>
      <c r="D106" s="513">
        <v>76514.94</v>
      </c>
      <c r="E106">
        <f>VLOOKUP(A106,Ucto_HK_summ!$A$2:H$966,7,FALSE)</f>
        <v>14005.44</v>
      </c>
    </row>
    <row r="107" spans="1:5">
      <c r="A107" s="577" t="s">
        <v>1359</v>
      </c>
      <c r="C107" s="579">
        <v>3890997.58</v>
      </c>
      <c r="D107" s="579">
        <v>6204557.8200000003</v>
      </c>
      <c r="E107">
        <f>VLOOKUP(A107,Ucto_HK_summ!$A$2:H$966,7,FALSE)</f>
        <v>3890997.58</v>
      </c>
    </row>
    <row r="109" spans="1:5">
      <c r="A109" s="578" t="s">
        <v>1360</v>
      </c>
      <c r="B109" s="578" t="s">
        <v>1361</v>
      </c>
      <c r="C109" s="513">
        <v>111463.11</v>
      </c>
      <c r="D109" s="513">
        <v>127319.31</v>
      </c>
      <c r="E109">
        <f>VLOOKUP(A109,Ucto_HK_summ!$A$2:H$966,7,FALSE)</f>
        <v>111463.11</v>
      </c>
    </row>
    <row r="110" spans="1:5">
      <c r="A110" s="578" t="s">
        <v>2860</v>
      </c>
      <c r="B110" s="578" t="s">
        <v>2861</v>
      </c>
      <c r="C110">
        <v>0</v>
      </c>
      <c r="D110" s="513">
        <v>10640.55</v>
      </c>
      <c r="E110">
        <f>VLOOKUP(A110,Ucto_HK_summ!$A$2:H$966,7,FALSE)</f>
        <v>0</v>
      </c>
    </row>
    <row r="111" spans="1:5">
      <c r="A111" s="578" t="s">
        <v>480</v>
      </c>
      <c r="C111" s="513">
        <v>111463.11</v>
      </c>
      <c r="D111" s="513">
        <v>137959.85999999999</v>
      </c>
      <c r="E111">
        <f>VLOOKUP(A111,Ucto_HK_summ!$A$2:H$966,7,FALSE)</f>
        <v>111463.11</v>
      </c>
    </row>
    <row r="112" spans="1:5">
      <c r="A112" s="577" t="s">
        <v>1362</v>
      </c>
      <c r="C112" s="579">
        <v>111463.11</v>
      </c>
      <c r="D112" s="579">
        <v>137959.85999999999</v>
      </c>
      <c r="E112">
        <f>VLOOKUP(A112,Ucto_HK_summ!$A$2:H$966,7,FALSE)</f>
        <v>111463.11</v>
      </c>
    </row>
    <row r="114" spans="1:5">
      <c r="A114" s="577" t="s">
        <v>1363</v>
      </c>
      <c r="C114" s="579">
        <v>4002460.69</v>
      </c>
      <c r="D114" s="579">
        <v>6342517.6799999997</v>
      </c>
      <c r="E114">
        <f>VLOOKUP(A114,Ucto_HK_summ!$A$2:H$966,7,FALSE)</f>
        <v>4002460.69</v>
      </c>
    </row>
    <row r="117" spans="1:5">
      <c r="A117" s="578" t="s">
        <v>1364</v>
      </c>
      <c r="B117" s="578" t="s">
        <v>1365</v>
      </c>
      <c r="C117">
        <v>0</v>
      </c>
      <c r="D117">
        <v>0</v>
      </c>
      <c r="E117">
        <f>VLOOKUP(A117,Ucto_HK_summ!$A$2:H$966,7,FALSE)</f>
        <v>0</v>
      </c>
    </row>
    <row r="118" spans="1:5">
      <c r="A118" s="578" t="s">
        <v>1366</v>
      </c>
      <c r="B118" s="578" t="s">
        <v>1367</v>
      </c>
      <c r="C118">
        <v>0</v>
      </c>
      <c r="D118">
        <v>0</v>
      </c>
      <c r="E118">
        <f>VLOOKUP(A118,Ucto_HK_summ!$A$2:H$966,7,FALSE)</f>
        <v>0</v>
      </c>
    </row>
    <row r="119" spans="1:5">
      <c r="A119" s="578" t="s">
        <v>1368</v>
      </c>
      <c r="B119" s="578" t="s">
        <v>1369</v>
      </c>
      <c r="C119">
        <v>0</v>
      </c>
      <c r="D119">
        <v>0</v>
      </c>
      <c r="E119">
        <f>VLOOKUP(A119,Ucto_HK_summ!$A$2:H$966,7,FALSE)</f>
        <v>0</v>
      </c>
    </row>
    <row r="120" spans="1:5">
      <c r="A120" s="578" t="s">
        <v>1370</v>
      </c>
      <c r="B120" s="578" t="s">
        <v>1371</v>
      </c>
      <c r="C120">
        <v>174.5</v>
      </c>
      <c r="D120">
        <v>307.8</v>
      </c>
      <c r="E120">
        <f>VLOOKUP(A120,Ucto_HK_summ!$A$2:H$966,7,FALSE)</f>
        <v>174.5</v>
      </c>
    </row>
    <row r="121" spans="1:5">
      <c r="A121" s="578" t="s">
        <v>1372</v>
      </c>
      <c r="B121" s="578" t="s">
        <v>1373</v>
      </c>
      <c r="C121">
        <v>0</v>
      </c>
      <c r="D121">
        <v>0</v>
      </c>
      <c r="E121">
        <f>VLOOKUP(A121,Ucto_HK_summ!$A$2:H$966,7,FALSE)</f>
        <v>0</v>
      </c>
    </row>
    <row r="122" spans="1:5">
      <c r="A122" s="578" t="s">
        <v>2768</v>
      </c>
      <c r="B122" s="578" t="s">
        <v>2769</v>
      </c>
      <c r="C122">
        <v>0</v>
      </c>
      <c r="D122">
        <v>0</v>
      </c>
      <c r="E122">
        <f>VLOOKUP(A122,Ucto_HK_summ!$A$2:H$966,7,FALSE)</f>
        <v>0</v>
      </c>
    </row>
    <row r="123" spans="1:5">
      <c r="A123" s="578" t="s">
        <v>2770</v>
      </c>
      <c r="B123" s="578" t="s">
        <v>2771</v>
      </c>
      <c r="C123">
        <v>0</v>
      </c>
      <c r="D123">
        <v>0</v>
      </c>
      <c r="E123">
        <f>VLOOKUP(A123,Ucto_HK_summ!$A$2:H$966,7,FALSE)</f>
        <v>0</v>
      </c>
    </row>
    <row r="124" spans="1:5">
      <c r="A124" s="578" t="s">
        <v>1374</v>
      </c>
      <c r="B124" s="578" t="s">
        <v>1375</v>
      </c>
      <c r="C124">
        <v>150</v>
      </c>
      <c r="D124">
        <v>150</v>
      </c>
      <c r="E124">
        <f>VLOOKUP(A124,Ucto_HK_summ!$A$2:H$966,7,FALSE)</f>
        <v>150</v>
      </c>
    </row>
    <row r="125" spans="1:5">
      <c r="A125" s="578" t="s">
        <v>1376</v>
      </c>
      <c r="B125" s="578" t="s">
        <v>1377</v>
      </c>
      <c r="C125">
        <v>150</v>
      </c>
      <c r="D125">
        <v>150</v>
      </c>
      <c r="E125">
        <f>VLOOKUP(A125,Ucto_HK_summ!$A$2:H$966,7,FALSE)</f>
        <v>150</v>
      </c>
    </row>
    <row r="126" spans="1:5">
      <c r="A126" s="578" t="s">
        <v>1378</v>
      </c>
      <c r="B126" s="578" t="s">
        <v>1379</v>
      </c>
      <c r="C126">
        <v>150</v>
      </c>
      <c r="D126">
        <v>150</v>
      </c>
      <c r="E126">
        <f>VLOOKUP(A126,Ucto_HK_summ!$A$2:H$966,7,FALSE)</f>
        <v>150</v>
      </c>
    </row>
    <row r="127" spans="1:5">
      <c r="A127" s="578" t="s">
        <v>1380</v>
      </c>
      <c r="B127" s="578" t="s">
        <v>1381</v>
      </c>
      <c r="C127" s="513">
        <v>2395.21</v>
      </c>
      <c r="D127" s="513">
        <v>2418.13</v>
      </c>
      <c r="E127">
        <f>VLOOKUP(A127,Ucto_HK_summ!$A$2:H$966,7,FALSE)</f>
        <v>2395.21</v>
      </c>
    </row>
    <row r="128" spans="1:5">
      <c r="A128" s="578" t="s">
        <v>1382</v>
      </c>
      <c r="C128" s="513">
        <v>3019.71</v>
      </c>
      <c r="D128" s="513">
        <v>3175.93</v>
      </c>
      <c r="E128">
        <f>VLOOKUP(A128,Ucto_HK_summ!$A$2:H$966,7,FALSE)</f>
        <v>3019.71</v>
      </c>
    </row>
    <row r="129" spans="1:5">
      <c r="A129" s="578" t="s">
        <v>1383</v>
      </c>
      <c r="B129" s="578" t="s">
        <v>1384</v>
      </c>
      <c r="C129">
        <v>0</v>
      </c>
      <c r="D129">
        <v>0</v>
      </c>
      <c r="E129">
        <f>VLOOKUP(A129,Ucto_HK_summ!$A$2:H$966,7,FALSE)</f>
        <v>0</v>
      </c>
    </row>
    <row r="130" spans="1:5">
      <c r="A130" s="578" t="s">
        <v>1385</v>
      </c>
      <c r="C130">
        <v>0</v>
      </c>
      <c r="D130">
        <v>0</v>
      </c>
      <c r="E130">
        <f>VLOOKUP(A130,Ucto_HK_summ!$A$2:H$966,7,FALSE)</f>
        <v>0</v>
      </c>
    </row>
    <row r="131" spans="1:5">
      <c r="A131" s="577" t="s">
        <v>1386</v>
      </c>
      <c r="C131" s="579">
        <v>3019.71</v>
      </c>
      <c r="D131" s="579">
        <v>3175.93</v>
      </c>
      <c r="E131">
        <f>VLOOKUP(A131,Ucto_HK_summ!$A$2:H$966,7,FALSE)</f>
        <v>3019.71</v>
      </c>
    </row>
    <row r="133" spans="1:5">
      <c r="A133" s="578" t="s">
        <v>1387</v>
      </c>
      <c r="B133" s="578" t="s">
        <v>1388</v>
      </c>
      <c r="C133" s="513">
        <v>3696016.65</v>
      </c>
      <c r="D133" s="513">
        <v>14599593.17</v>
      </c>
      <c r="E133">
        <f>VLOOKUP(A133,Ucto_HK_summ!$A$2:H$966,7,FALSE)</f>
        <v>3696016.65</v>
      </c>
    </row>
    <row r="134" spans="1:5">
      <c r="A134" s="578" t="s">
        <v>1389</v>
      </c>
      <c r="B134" s="578" t="s">
        <v>1390</v>
      </c>
      <c r="C134">
        <v>0</v>
      </c>
      <c r="D134">
        <v>0</v>
      </c>
      <c r="E134">
        <f>VLOOKUP(A134,Ucto_HK_summ!$A$2:H$966,7,FALSE)</f>
        <v>0</v>
      </c>
    </row>
    <row r="135" spans="1:5">
      <c r="A135" s="578" t="s">
        <v>1391</v>
      </c>
      <c r="B135" s="578" t="s">
        <v>1392</v>
      </c>
      <c r="C135" s="513">
        <v>2739423.53</v>
      </c>
      <c r="D135" s="513">
        <v>4001355.12</v>
      </c>
      <c r="E135">
        <f>VLOOKUP(A135,Ucto_HK_summ!$A$2:H$966,7,FALSE)</f>
        <v>2739423.53</v>
      </c>
    </row>
    <row r="136" spans="1:5">
      <c r="A136" s="578" t="s">
        <v>1393</v>
      </c>
      <c r="B136" s="578" t="s">
        <v>1394</v>
      </c>
      <c r="C136" s="513">
        <v>132407.47</v>
      </c>
      <c r="D136" s="513">
        <v>221258.69</v>
      </c>
      <c r="E136">
        <f>VLOOKUP(A136,Ucto_HK_summ!$A$2:H$966,7,FALSE)</f>
        <v>132407.47</v>
      </c>
    </row>
    <row r="137" spans="1:5">
      <c r="A137" s="578" t="s">
        <v>1395</v>
      </c>
      <c r="B137" s="578" t="s">
        <v>1396</v>
      </c>
      <c r="C137">
        <v>0</v>
      </c>
      <c r="D137">
        <v>0</v>
      </c>
      <c r="E137">
        <f>VLOOKUP(A137,Ucto_HK_summ!$A$2:H$966,7,FALSE)</f>
        <v>0</v>
      </c>
    </row>
    <row r="138" spans="1:5">
      <c r="A138" s="578" t="s">
        <v>1397</v>
      </c>
      <c r="B138" s="578" t="s">
        <v>1398</v>
      </c>
      <c r="C138" s="513">
        <v>4427544.8899999997</v>
      </c>
      <c r="D138" s="513">
        <v>9608135.9399999995</v>
      </c>
      <c r="E138">
        <f>VLOOKUP(A138,Ucto_HK_summ!$A$2:H$966,7,FALSE)</f>
        <v>4427544.8899999997</v>
      </c>
    </row>
    <row r="139" spans="1:5">
      <c r="A139" s="578" t="s">
        <v>1399</v>
      </c>
      <c r="B139" s="578" t="s">
        <v>1400</v>
      </c>
      <c r="C139" s="513">
        <v>11270.86</v>
      </c>
      <c r="D139" s="513">
        <v>12084.69</v>
      </c>
      <c r="E139">
        <f>VLOOKUP(A139,Ucto_HK_summ!$A$2:H$966,7,FALSE)</f>
        <v>11270.86</v>
      </c>
    </row>
    <row r="140" spans="1:5">
      <c r="A140" s="578" t="s">
        <v>1401</v>
      </c>
      <c r="B140" s="578" t="s">
        <v>1402</v>
      </c>
      <c r="C140" s="513">
        <v>1815.65</v>
      </c>
      <c r="D140">
        <v>0</v>
      </c>
      <c r="E140">
        <f>VLOOKUP(A140,Ucto_HK_summ!$A$2:H$966,7,FALSE)</f>
        <v>1815.65</v>
      </c>
    </row>
    <row r="141" spans="1:5">
      <c r="A141" s="578" t="s">
        <v>2772</v>
      </c>
      <c r="B141" s="578" t="s">
        <v>2773</v>
      </c>
      <c r="C141">
        <v>0</v>
      </c>
      <c r="D141" s="513">
        <v>13505.12</v>
      </c>
      <c r="E141">
        <f>VLOOKUP(A141,Ucto_HK_summ!$A$2:H$966,7,FALSE)</f>
        <v>0</v>
      </c>
    </row>
    <row r="142" spans="1:5">
      <c r="A142" s="578" t="s">
        <v>1403</v>
      </c>
      <c r="C142" s="513">
        <v>11008479.050000001</v>
      </c>
      <c r="D142" s="513">
        <v>28455932.73</v>
      </c>
      <c r="E142">
        <f>VLOOKUP(A142,Ucto_HK_summ!$A$2:H$966,7,FALSE)</f>
        <v>11008479.050000001</v>
      </c>
    </row>
    <row r="143" spans="1:5">
      <c r="A143" s="577" t="s">
        <v>1404</v>
      </c>
      <c r="C143" s="579">
        <v>11008479.050000001</v>
      </c>
      <c r="D143" s="579">
        <v>28455932.73</v>
      </c>
      <c r="E143">
        <f>VLOOKUP(A143,Ucto_HK_summ!$A$2:H$966,7,FALSE)</f>
        <v>11008479.050000001</v>
      </c>
    </row>
    <row r="145" spans="1:5">
      <c r="A145" s="578" t="s">
        <v>1405</v>
      </c>
      <c r="B145" s="578" t="s">
        <v>1406</v>
      </c>
      <c r="C145" s="513">
        <v>6287.35</v>
      </c>
      <c r="D145">
        <v>128.38</v>
      </c>
      <c r="E145">
        <f>VLOOKUP(A145,Ucto_HK_summ!$A$2:H$966,7,FALSE)</f>
        <v>6287.35</v>
      </c>
    </row>
    <row r="146" spans="1:5">
      <c r="A146" s="578" t="s">
        <v>1407</v>
      </c>
      <c r="B146" s="578" t="s">
        <v>1408</v>
      </c>
      <c r="C146">
        <v>-233.73</v>
      </c>
      <c r="D146">
        <v>-874.93</v>
      </c>
      <c r="E146">
        <f>VLOOKUP(A146,Ucto_HK_summ!$A$2:H$966,7,FALSE)</f>
        <v>-233.73</v>
      </c>
    </row>
    <row r="147" spans="1:5">
      <c r="A147" s="578" t="s">
        <v>1409</v>
      </c>
      <c r="B147" s="578" t="s">
        <v>1410</v>
      </c>
      <c r="C147">
        <v>0</v>
      </c>
      <c r="D147">
        <v>0</v>
      </c>
      <c r="E147">
        <f>VLOOKUP(A147,Ucto_HK_summ!$A$2:H$966,7,FALSE)</f>
        <v>0</v>
      </c>
    </row>
    <row r="148" spans="1:5">
      <c r="A148" s="578" t="s">
        <v>1411</v>
      </c>
      <c r="B148" s="578" t="s">
        <v>1412</v>
      </c>
      <c r="C148">
        <v>0</v>
      </c>
      <c r="D148">
        <v>0</v>
      </c>
      <c r="E148">
        <f>VLOOKUP(A148,Ucto_HK_summ!$A$2:H$966,7,FALSE)</f>
        <v>0</v>
      </c>
    </row>
    <row r="149" spans="1:5">
      <c r="A149" s="578" t="s">
        <v>2774</v>
      </c>
      <c r="B149" s="578" t="s">
        <v>2775</v>
      </c>
      <c r="C149">
        <v>0</v>
      </c>
      <c r="D149" s="550">
        <v>1600</v>
      </c>
      <c r="E149">
        <f>VLOOKUP(A149,Ucto_HK_summ!$A$2:H$966,7,FALSE)</f>
        <v>0</v>
      </c>
    </row>
    <row r="150" spans="1:5">
      <c r="A150" s="578" t="s">
        <v>1413</v>
      </c>
      <c r="B150" s="578" t="s">
        <v>1414</v>
      </c>
      <c r="C150">
        <v>0</v>
      </c>
      <c r="D150">
        <v>0</v>
      </c>
      <c r="E150">
        <f>VLOOKUP(A150,Ucto_HK_summ!$A$2:H$966,7,FALSE)</f>
        <v>0</v>
      </c>
    </row>
    <row r="151" spans="1:5">
      <c r="A151" s="578" t="s">
        <v>1415</v>
      </c>
      <c r="B151" s="578" t="s">
        <v>1416</v>
      </c>
      <c r="C151">
        <v>0</v>
      </c>
      <c r="D151">
        <v>0</v>
      </c>
      <c r="E151">
        <f>VLOOKUP(A151,Ucto_HK_summ!$A$2:H$966,7,FALSE)</f>
        <v>0</v>
      </c>
    </row>
    <row r="152" spans="1:5">
      <c r="A152" s="578" t="s">
        <v>1417</v>
      </c>
      <c r="B152" s="578" t="s">
        <v>1418</v>
      </c>
      <c r="C152">
        <v>0</v>
      </c>
      <c r="D152">
        <v>0</v>
      </c>
      <c r="E152">
        <f>VLOOKUP(A152,Ucto_HK_summ!$A$2:H$966,7,FALSE)</f>
        <v>0</v>
      </c>
    </row>
    <row r="153" spans="1:5">
      <c r="A153" s="578" t="s">
        <v>2776</v>
      </c>
      <c r="B153" s="578" t="s">
        <v>2777</v>
      </c>
      <c r="C153">
        <v>0</v>
      </c>
      <c r="D153">
        <v>0</v>
      </c>
      <c r="E153">
        <f>VLOOKUP(A153,Ucto_HK_summ!$A$2:H$966,7,FALSE)</f>
        <v>0</v>
      </c>
    </row>
    <row r="154" spans="1:5">
      <c r="A154" s="578" t="s">
        <v>1419</v>
      </c>
      <c r="C154" s="513">
        <v>6053.62</v>
      </c>
      <c r="D154">
        <v>853.45</v>
      </c>
      <c r="E154">
        <f>VLOOKUP(A154,Ucto_HK_summ!$A$2:H$966,7,FALSE)</f>
        <v>6053.62</v>
      </c>
    </row>
    <row r="155" spans="1:5">
      <c r="A155" s="577" t="s">
        <v>1420</v>
      </c>
      <c r="C155" s="579">
        <v>6053.62</v>
      </c>
      <c r="D155" s="369">
        <v>853.45</v>
      </c>
      <c r="E155">
        <f>VLOOKUP(A155,Ucto_HK_summ!$A$2:H$966,7,FALSE)</f>
        <v>6053.62</v>
      </c>
    </row>
    <row r="157" spans="1:5">
      <c r="A157" s="578" t="s">
        <v>1421</v>
      </c>
      <c r="B157" s="578" t="s">
        <v>1422</v>
      </c>
      <c r="C157" s="513">
        <v>-608873.73</v>
      </c>
      <c r="D157" s="513">
        <v>-608873.73</v>
      </c>
      <c r="E157">
        <f>VLOOKUP(A157,Ucto_HK_summ!$A$2:H$966,7,FALSE)</f>
        <v>-608873.73</v>
      </c>
    </row>
    <row r="158" spans="1:5">
      <c r="A158" s="578" t="s">
        <v>1423</v>
      </c>
      <c r="C158" s="513">
        <v>-608873.73</v>
      </c>
      <c r="D158" s="513">
        <v>-608873.73</v>
      </c>
      <c r="E158">
        <f>VLOOKUP(A158,Ucto_HK_summ!$A$2:H$966,7,FALSE)</f>
        <v>-608873.73</v>
      </c>
    </row>
    <row r="159" spans="1:5">
      <c r="A159" s="577" t="s">
        <v>1424</v>
      </c>
      <c r="C159" s="579">
        <v>-608873.73</v>
      </c>
      <c r="D159" s="579">
        <v>-608873.73</v>
      </c>
      <c r="E159">
        <f>VLOOKUP(A159,Ucto_HK_summ!$A$2:H$966,7,FALSE)</f>
        <v>-608873.73</v>
      </c>
    </row>
    <row r="161" spans="1:5">
      <c r="A161" s="577" t="s">
        <v>1425</v>
      </c>
      <c r="C161" s="579">
        <v>10408678.65</v>
      </c>
      <c r="D161" s="579">
        <v>27851088.379999999</v>
      </c>
      <c r="E161">
        <f>VLOOKUP(A161,Ucto_HK_summ!$A$2:H$966,7,FALSE)</f>
        <v>10408678.65</v>
      </c>
    </row>
    <row r="164" spans="1:5">
      <c r="A164" s="578" t="s">
        <v>1426</v>
      </c>
      <c r="B164" s="578" t="s">
        <v>1427</v>
      </c>
      <c r="C164" s="513">
        <v>9468539.1600000001</v>
      </c>
      <c r="D164" s="513">
        <v>12230996.51</v>
      </c>
      <c r="E164">
        <f>VLOOKUP(A164,Ucto_HK_summ!$A$2:H$966,7,FALSE)</f>
        <v>9468539.1600000001</v>
      </c>
    </row>
    <row r="165" spans="1:5">
      <c r="A165" s="578" t="s">
        <v>1428</v>
      </c>
      <c r="B165" s="578" t="s">
        <v>1429</v>
      </c>
      <c r="C165" s="513">
        <v>2381353.2400000002</v>
      </c>
      <c r="D165" s="513">
        <v>6588049.2800000003</v>
      </c>
      <c r="E165">
        <f>VLOOKUP(A165,Ucto_HK_summ!$A$2:H$966,7,FALSE)</f>
        <v>2381353.2400000002</v>
      </c>
    </row>
    <row r="166" spans="1:5">
      <c r="A166" s="578" t="s">
        <v>1430</v>
      </c>
      <c r="B166" s="578" t="s">
        <v>1431</v>
      </c>
      <c r="C166" s="513">
        <v>1660391.37</v>
      </c>
      <c r="D166" s="513">
        <v>2433979.7400000002</v>
      </c>
      <c r="E166">
        <f>VLOOKUP(A166,Ucto_HK_summ!$A$2:H$966,7,FALSE)</f>
        <v>1660391.37</v>
      </c>
    </row>
    <row r="167" spans="1:5">
      <c r="A167" s="578" t="s">
        <v>1432</v>
      </c>
      <c r="B167" s="578" t="s">
        <v>1433</v>
      </c>
      <c r="C167">
        <v>457.54</v>
      </c>
      <c r="D167">
        <v>259.44</v>
      </c>
      <c r="E167">
        <f>VLOOKUP(A167,Ucto_HK_summ!$A$2:H$966,7,FALSE)</f>
        <v>457.54</v>
      </c>
    </row>
    <row r="168" spans="1:5">
      <c r="A168" s="578" t="s">
        <v>1434</v>
      </c>
      <c r="B168" s="578" t="s">
        <v>1435</v>
      </c>
      <c r="C168" s="513">
        <v>17761.2</v>
      </c>
      <c r="D168" s="513">
        <v>34323.300000000003</v>
      </c>
      <c r="E168">
        <f>VLOOKUP(A168,Ucto_HK_summ!$A$2:H$966,7,FALSE)</f>
        <v>17761.2</v>
      </c>
    </row>
    <row r="169" spans="1:5">
      <c r="A169" s="578" t="s">
        <v>1436</v>
      </c>
      <c r="B169" s="578" t="s">
        <v>1437</v>
      </c>
      <c r="C169" s="513">
        <v>271800.33</v>
      </c>
      <c r="D169" s="513">
        <v>420677.03</v>
      </c>
      <c r="E169">
        <f>VLOOKUP(A169,Ucto_HK_summ!$A$2:H$966,7,FALSE)</f>
        <v>271800.33</v>
      </c>
    </row>
    <row r="170" spans="1:5">
      <c r="A170" s="578" t="s">
        <v>1438</v>
      </c>
      <c r="B170" s="578" t="s">
        <v>1439</v>
      </c>
      <c r="C170" s="513">
        <v>1375.05</v>
      </c>
      <c r="D170" s="513">
        <v>2475.09</v>
      </c>
      <c r="E170">
        <f>VLOOKUP(A170,Ucto_HK_summ!$A$2:H$966,7,FALSE)</f>
        <v>1375.05</v>
      </c>
    </row>
    <row r="171" spans="1:5">
      <c r="A171" s="578" t="s">
        <v>1440</v>
      </c>
      <c r="B171" s="578" t="s">
        <v>1441</v>
      </c>
      <c r="C171" s="513">
        <v>1414569.05</v>
      </c>
      <c r="D171" s="513">
        <v>1031772.03</v>
      </c>
      <c r="E171">
        <f>VLOOKUP(A171,Ucto_HK_summ!$A$2:H$966,7,FALSE)</f>
        <v>1414569.05</v>
      </c>
    </row>
    <row r="172" spans="1:5">
      <c r="A172" s="578" t="s">
        <v>1442</v>
      </c>
      <c r="B172" s="578" t="s">
        <v>1443</v>
      </c>
      <c r="C172" s="513">
        <v>71321.61</v>
      </c>
      <c r="D172" s="513">
        <v>72885.89</v>
      </c>
      <c r="E172">
        <f>VLOOKUP(A172,Ucto_HK_summ!$A$2:H$966,7,FALSE)</f>
        <v>71321.61</v>
      </c>
    </row>
    <row r="173" spans="1:5">
      <c r="A173" s="578" t="s">
        <v>1444</v>
      </c>
      <c r="B173" s="578" t="s">
        <v>1445</v>
      </c>
      <c r="C173" s="550">
        <v>4600</v>
      </c>
      <c r="D173" s="550">
        <v>10185</v>
      </c>
      <c r="E173">
        <f>VLOOKUP(A173,Ucto_HK_summ!$A$2:H$966,7,FALSE)</f>
        <v>4600</v>
      </c>
    </row>
    <row r="174" spans="1:5">
      <c r="A174" s="578" t="s">
        <v>1446</v>
      </c>
      <c r="B174" s="578" t="s">
        <v>1447</v>
      </c>
      <c r="C174" s="513">
        <v>39242.85</v>
      </c>
      <c r="D174" s="513">
        <v>44302.86</v>
      </c>
      <c r="E174">
        <f>VLOOKUP(A174,Ucto_HK_summ!$A$2:H$966,7,FALSE)</f>
        <v>39242.85</v>
      </c>
    </row>
    <row r="175" spans="1:5">
      <c r="A175" s="578" t="s">
        <v>1448</v>
      </c>
      <c r="B175" s="578" t="s">
        <v>1449</v>
      </c>
      <c r="C175" s="513">
        <v>96983.62</v>
      </c>
      <c r="D175" s="513">
        <v>161212.29</v>
      </c>
      <c r="E175">
        <f>VLOOKUP(A175,Ucto_HK_summ!$A$2:H$966,7,FALSE)</f>
        <v>96983.62</v>
      </c>
    </row>
    <row r="176" spans="1:5">
      <c r="A176" s="578" t="s">
        <v>1450</v>
      </c>
      <c r="B176" s="578" t="s">
        <v>1451</v>
      </c>
      <c r="C176" s="513">
        <v>29564.93</v>
      </c>
      <c r="D176" s="513">
        <v>96830.01</v>
      </c>
      <c r="E176">
        <f>VLOOKUP(A176,Ucto_HK_summ!$A$2:H$966,7,FALSE)</f>
        <v>29564.93</v>
      </c>
    </row>
    <row r="177" spans="1:5">
      <c r="A177" s="578" t="s">
        <v>1452</v>
      </c>
      <c r="B177" s="578" t="s">
        <v>1453</v>
      </c>
      <c r="C177" s="513">
        <v>8160.94</v>
      </c>
      <c r="D177" s="513">
        <v>36505.68</v>
      </c>
      <c r="E177">
        <f>VLOOKUP(A177,Ucto_HK_summ!$A$2:H$966,7,FALSE)</f>
        <v>8160.94</v>
      </c>
    </row>
    <row r="178" spans="1:5">
      <c r="A178" s="578" t="s">
        <v>1454</v>
      </c>
      <c r="C178" s="513">
        <v>15466120.890000001</v>
      </c>
      <c r="D178" s="513">
        <v>23164454.149999999</v>
      </c>
      <c r="E178">
        <f>VLOOKUP(A178,Ucto_HK_summ!$A$2:H$966,7,FALSE)</f>
        <v>15466120.890000001</v>
      </c>
    </row>
    <row r="179" spans="1:5">
      <c r="A179" s="578" t="s">
        <v>1455</v>
      </c>
      <c r="B179" s="578" t="s">
        <v>1456</v>
      </c>
      <c r="C179" s="513">
        <v>7970.68</v>
      </c>
      <c r="D179" s="513">
        <v>5293.05</v>
      </c>
      <c r="E179">
        <f>VLOOKUP(A179,Ucto_HK_summ!$A$2:H$966,7,FALSE)</f>
        <v>7970.68</v>
      </c>
    </row>
    <row r="180" spans="1:5">
      <c r="A180" s="578" t="s">
        <v>1457</v>
      </c>
      <c r="C180" s="513">
        <v>7970.68</v>
      </c>
      <c r="D180" s="513">
        <v>5293.05</v>
      </c>
      <c r="E180">
        <f>VLOOKUP(A180,Ucto_HK_summ!$A$2:H$966,7,FALSE)</f>
        <v>7970.68</v>
      </c>
    </row>
    <row r="181" spans="1:5">
      <c r="A181" s="578" t="s">
        <v>2778</v>
      </c>
      <c r="B181" s="578" t="s">
        <v>2779</v>
      </c>
      <c r="C181">
        <v>0</v>
      </c>
      <c r="D181">
        <v>605</v>
      </c>
      <c r="E181">
        <f>VLOOKUP(A181,Ucto_HK_summ!$A$2:H$966,7,FALSE)</f>
        <v>0</v>
      </c>
    </row>
    <row r="182" spans="1:5">
      <c r="A182" s="578" t="s">
        <v>1458</v>
      </c>
      <c r="B182" s="578" t="s">
        <v>222</v>
      </c>
      <c r="C182" s="513">
        <v>137258.39000000001</v>
      </c>
      <c r="D182" s="513">
        <v>156163.47</v>
      </c>
      <c r="E182">
        <f>VLOOKUP(A182,Ucto_HK_summ!$A$2:H$966,7,FALSE)</f>
        <v>137258.39000000001</v>
      </c>
    </row>
    <row r="183" spans="1:5">
      <c r="A183" s="578" t="s">
        <v>1459</v>
      </c>
      <c r="B183" s="578" t="s">
        <v>1460</v>
      </c>
      <c r="C183">
        <v>401.48</v>
      </c>
      <c r="D183">
        <v>600.11</v>
      </c>
      <c r="E183">
        <f>VLOOKUP(A183,Ucto_HK_summ!$A$2:H$966,7,FALSE)</f>
        <v>401.48</v>
      </c>
    </row>
    <row r="184" spans="1:5">
      <c r="A184" s="578" t="s">
        <v>1461</v>
      </c>
      <c r="C184" s="513">
        <v>137659.87</v>
      </c>
      <c r="D184" s="513">
        <v>157368.57999999999</v>
      </c>
      <c r="E184">
        <f>VLOOKUP(A184,Ucto_HK_summ!$A$2:H$966,7,FALSE)</f>
        <v>137659.87</v>
      </c>
    </row>
    <row r="185" spans="1:5">
      <c r="A185" s="577" t="s">
        <v>1462</v>
      </c>
      <c r="C185" s="579">
        <v>15611751.439999999</v>
      </c>
      <c r="D185" s="579">
        <v>23327115.780000001</v>
      </c>
      <c r="E185">
        <f>VLOOKUP(A185,Ucto_HK_summ!$A$2:H$966,7,FALSE)</f>
        <v>15611751.439999999</v>
      </c>
    </row>
    <row r="187" spans="1:5">
      <c r="A187" s="578" t="s">
        <v>1463</v>
      </c>
      <c r="B187" s="578" t="s">
        <v>1464</v>
      </c>
      <c r="C187" s="513">
        <v>-8875838.3399999999</v>
      </c>
      <c r="D187" s="513">
        <v>-9869999.3100000005</v>
      </c>
      <c r="E187">
        <f>VLOOKUP(A187,Ucto_HK_summ!$A$2:H$966,7,FALSE)</f>
        <v>-8875838.3399999999</v>
      </c>
    </row>
    <row r="188" spans="1:5">
      <c r="A188" s="578" t="s">
        <v>1465</v>
      </c>
      <c r="B188" s="578" t="s">
        <v>1466</v>
      </c>
      <c r="C188" s="513">
        <v>-3827373.17</v>
      </c>
      <c r="D188" s="513">
        <v>-5324754.1900000004</v>
      </c>
      <c r="E188">
        <f>VLOOKUP(A188,Ucto_HK_summ!$A$2:H$966,7,FALSE)</f>
        <v>-3827373.17</v>
      </c>
    </row>
    <row r="189" spans="1:5">
      <c r="A189" s="578" t="s">
        <v>1467</v>
      </c>
      <c r="B189" s="578" t="s">
        <v>1468</v>
      </c>
      <c r="C189" s="513">
        <v>-28408864.100000001</v>
      </c>
      <c r="D189" s="513">
        <v>-29493388.739999998</v>
      </c>
      <c r="E189">
        <f>VLOOKUP(A189,Ucto_HK_summ!$A$2:H$966,7,FALSE)</f>
        <v>-28408864.100000001</v>
      </c>
    </row>
    <row r="190" spans="1:5">
      <c r="A190" s="578" t="s">
        <v>1469</v>
      </c>
      <c r="B190" s="578" t="s">
        <v>1470</v>
      </c>
      <c r="C190" s="513">
        <v>-4818466.1500000004</v>
      </c>
      <c r="D190" s="513">
        <v>-5128952.67</v>
      </c>
      <c r="E190">
        <f>VLOOKUP(A190,Ucto_HK_summ!$A$2:H$966,7,FALSE)</f>
        <v>-4818466.1500000004</v>
      </c>
    </row>
    <row r="191" spans="1:5">
      <c r="A191" s="578" t="s">
        <v>1471</v>
      </c>
      <c r="B191" s="578" t="s">
        <v>1472</v>
      </c>
      <c r="C191" s="513">
        <v>-202635.21</v>
      </c>
      <c r="D191" s="513">
        <v>-133827.21</v>
      </c>
      <c r="E191">
        <f>VLOOKUP(A191,Ucto_HK_summ!$A$2:H$966,7,FALSE)</f>
        <v>-202635.21</v>
      </c>
    </row>
    <row r="192" spans="1:5">
      <c r="A192" s="578" t="s">
        <v>1473</v>
      </c>
      <c r="B192" s="578" t="s">
        <v>1474</v>
      </c>
      <c r="C192" s="513">
        <v>-8868159.9499999993</v>
      </c>
      <c r="D192" s="513">
        <v>-7735474.6200000001</v>
      </c>
      <c r="E192">
        <f>VLOOKUP(A192,Ucto_HK_summ!$A$2:H$966,7,FALSE)</f>
        <v>-8868159.9499999993</v>
      </c>
    </row>
    <row r="193" spans="1:5">
      <c r="A193" s="578" t="s">
        <v>1475</v>
      </c>
      <c r="B193" s="578" t="s">
        <v>1476</v>
      </c>
      <c r="C193" s="513">
        <v>-2005100.41</v>
      </c>
      <c r="D193" s="513">
        <v>-2856478.99</v>
      </c>
      <c r="E193">
        <f>VLOOKUP(A193,Ucto_HK_summ!$A$2:H$966,7,FALSE)</f>
        <v>-2005100.41</v>
      </c>
    </row>
    <row r="194" spans="1:5">
      <c r="A194" s="578" t="s">
        <v>1477</v>
      </c>
      <c r="B194" s="578" t="s">
        <v>1478</v>
      </c>
      <c r="C194" s="513">
        <v>-4729229.2</v>
      </c>
      <c r="D194" s="513">
        <v>-3679333.95</v>
      </c>
      <c r="E194">
        <f>VLOOKUP(A194,Ucto_HK_summ!$A$2:H$966,7,FALSE)</f>
        <v>-4729229.2</v>
      </c>
    </row>
    <row r="195" spans="1:5">
      <c r="A195" s="578" t="s">
        <v>1479</v>
      </c>
      <c r="B195" s="578" t="s">
        <v>1480</v>
      </c>
      <c r="C195" s="513">
        <v>-199816.58</v>
      </c>
      <c r="D195" s="513">
        <v>-406475.7</v>
      </c>
      <c r="E195">
        <f>VLOOKUP(A195,Ucto_HK_summ!$A$2:H$966,7,FALSE)</f>
        <v>-199816.58</v>
      </c>
    </row>
    <row r="196" spans="1:5">
      <c r="A196" s="578" t="s">
        <v>1481</v>
      </c>
      <c r="B196" s="578" t="s">
        <v>1482</v>
      </c>
      <c r="C196">
        <v>0</v>
      </c>
      <c r="D196" s="550">
        <v>-1794</v>
      </c>
      <c r="E196">
        <f>VLOOKUP(A196,Ucto_HK_summ!$A$2:H$966,7,FALSE)</f>
        <v>0</v>
      </c>
    </row>
    <row r="197" spans="1:5">
      <c r="A197" s="578" t="s">
        <v>1483</v>
      </c>
      <c r="B197" s="578" t="s">
        <v>1484</v>
      </c>
      <c r="C197" s="513">
        <v>-365084.07</v>
      </c>
      <c r="D197" s="513">
        <v>-548655.88</v>
      </c>
      <c r="E197">
        <f>VLOOKUP(A197,Ucto_HK_summ!$A$2:H$966,7,FALSE)</f>
        <v>-365084.07</v>
      </c>
    </row>
    <row r="198" spans="1:5">
      <c r="A198" s="578" t="s">
        <v>2780</v>
      </c>
      <c r="B198" s="578" t="s">
        <v>2781</v>
      </c>
      <c r="C198">
        <v>0</v>
      </c>
      <c r="D198">
        <v>0</v>
      </c>
      <c r="E198">
        <f>VLOOKUP(A198,Ucto_HK_summ!$A$2:H$966,7,FALSE)</f>
        <v>0</v>
      </c>
    </row>
    <row r="199" spans="1:5">
      <c r="A199" s="578" t="s">
        <v>1485</v>
      </c>
      <c r="B199" s="578" t="s">
        <v>1486</v>
      </c>
      <c r="C199" s="513">
        <v>-96653.85</v>
      </c>
      <c r="D199" s="513">
        <v>-238188.83</v>
      </c>
      <c r="E199">
        <f>VLOOKUP(A199,Ucto_HK_summ!$A$2:H$966,7,FALSE)</f>
        <v>-96653.85</v>
      </c>
    </row>
    <row r="200" spans="1:5">
      <c r="A200" s="578" t="s">
        <v>1487</v>
      </c>
      <c r="B200" s="578" t="s">
        <v>1488</v>
      </c>
      <c r="C200" s="513">
        <v>-43277.42</v>
      </c>
      <c r="D200" s="513">
        <v>-138473.22</v>
      </c>
      <c r="E200">
        <f>VLOOKUP(A200,Ucto_HK_summ!$A$2:H$966,7,FALSE)</f>
        <v>-43277.42</v>
      </c>
    </row>
    <row r="201" spans="1:5">
      <c r="A201" s="578" t="s">
        <v>1489</v>
      </c>
      <c r="B201" s="578" t="s">
        <v>1490</v>
      </c>
      <c r="C201" s="513">
        <v>-72065.649999999994</v>
      </c>
      <c r="D201" s="513">
        <v>-59028.27</v>
      </c>
      <c r="E201">
        <f>VLOOKUP(A201,Ucto_HK_summ!$A$2:H$966,7,FALSE)</f>
        <v>-72065.649999999994</v>
      </c>
    </row>
    <row r="202" spans="1:5">
      <c r="A202" s="578" t="s">
        <v>1491</v>
      </c>
      <c r="C202" s="513">
        <v>-62512564.100000001</v>
      </c>
      <c r="D202" s="513">
        <v>-65614825.579999998</v>
      </c>
      <c r="E202">
        <f>VLOOKUP(A202,Ucto_HK_summ!$A$2:H$966,7,FALSE)</f>
        <v>-62512564.100000001</v>
      </c>
    </row>
    <row r="203" spans="1:5">
      <c r="A203" s="578" t="s">
        <v>1492</v>
      </c>
      <c r="B203" s="578" t="s">
        <v>1493</v>
      </c>
      <c r="C203" s="550">
        <v>-1232088</v>
      </c>
      <c r="D203" s="513">
        <v>-1155146.8</v>
      </c>
      <c r="E203">
        <f>VLOOKUP(A203,Ucto_HK_summ!$A$2:H$966,7,FALSE)</f>
        <v>-1232088</v>
      </c>
    </row>
    <row r="204" spans="1:5">
      <c r="A204" s="578" t="s">
        <v>1494</v>
      </c>
      <c r="B204" s="578" t="s">
        <v>1495</v>
      </c>
      <c r="C204" s="513">
        <v>-18228332.27</v>
      </c>
      <c r="D204" s="550">
        <v>-27861224</v>
      </c>
      <c r="E204">
        <f>VLOOKUP(A204,Ucto_HK_summ!$A$2:H$966,7,FALSE)</f>
        <v>-18228332.27</v>
      </c>
    </row>
    <row r="205" spans="1:5">
      <c r="A205" s="578" t="s">
        <v>1496</v>
      </c>
      <c r="B205" s="578" t="s">
        <v>1497</v>
      </c>
      <c r="C205" s="513">
        <v>-357491.97</v>
      </c>
      <c r="D205" s="550">
        <v>-173056</v>
      </c>
      <c r="E205">
        <f>VLOOKUP(A205,Ucto_HK_summ!$A$2:H$966,7,FALSE)</f>
        <v>-357491.97</v>
      </c>
    </row>
    <row r="206" spans="1:5">
      <c r="A206" s="578" t="s">
        <v>1498</v>
      </c>
      <c r="B206" s="578" t="s">
        <v>1499</v>
      </c>
      <c r="C206" s="513">
        <v>-213742.71</v>
      </c>
      <c r="D206" s="513">
        <v>-187245.59</v>
      </c>
      <c r="E206">
        <f>VLOOKUP(A206,Ucto_HK_summ!$A$2:H$966,7,FALSE)</f>
        <v>-213742.71</v>
      </c>
    </row>
    <row r="207" spans="1:5">
      <c r="A207" s="578" t="s">
        <v>1500</v>
      </c>
      <c r="B207" s="578" t="s">
        <v>1501</v>
      </c>
      <c r="C207" s="513">
        <v>-72966.62</v>
      </c>
      <c r="D207" s="513">
        <v>-64349.74</v>
      </c>
      <c r="E207">
        <f>VLOOKUP(A207,Ucto_HK_summ!$A$2:H$966,7,FALSE)</f>
        <v>-72966.62</v>
      </c>
    </row>
    <row r="208" spans="1:5">
      <c r="A208" s="578" t="s">
        <v>1502</v>
      </c>
      <c r="C208" s="513">
        <v>-20104621.57</v>
      </c>
      <c r="D208" s="513">
        <v>-29441022.129999999</v>
      </c>
      <c r="E208">
        <f>VLOOKUP(A208,Ucto_HK_summ!$A$2:H$966,7,FALSE)</f>
        <v>-20104621.57</v>
      </c>
    </row>
    <row r="209" spans="1:5">
      <c r="A209" s="578" t="s">
        <v>1503</v>
      </c>
      <c r="B209" s="578" t="s">
        <v>1504</v>
      </c>
      <c r="C209">
        <v>0</v>
      </c>
      <c r="D209">
        <v>0</v>
      </c>
      <c r="E209">
        <f>VLOOKUP(A209,Ucto_HK_summ!$A$2:H$966,7,FALSE)</f>
        <v>0</v>
      </c>
    </row>
    <row r="210" spans="1:5">
      <c r="A210" s="578" t="s">
        <v>1505</v>
      </c>
      <c r="C210">
        <v>0</v>
      </c>
      <c r="D210">
        <v>0</v>
      </c>
      <c r="E210">
        <f>VLOOKUP(A210,Ucto_HK_summ!$A$2:H$966,7,FALSE)</f>
        <v>0</v>
      </c>
    </row>
    <row r="211" spans="1:5">
      <c r="A211" s="578" t="s">
        <v>1506</v>
      </c>
      <c r="B211" s="578" t="s">
        <v>1507</v>
      </c>
      <c r="C211" s="513">
        <v>-1792.58</v>
      </c>
      <c r="D211">
        <v>-602.34</v>
      </c>
      <c r="E211">
        <f>VLOOKUP(A211,Ucto_HK_summ!$A$2:H$966,7,FALSE)</f>
        <v>-1792.58</v>
      </c>
    </row>
    <row r="212" spans="1:5">
      <c r="A212" s="578" t="s">
        <v>1508</v>
      </c>
      <c r="C212" s="513">
        <v>-1792.58</v>
      </c>
      <c r="D212">
        <v>-602.34</v>
      </c>
      <c r="E212">
        <f>VLOOKUP(A212,Ucto_HK_summ!$A$2:H$966,7,FALSE)</f>
        <v>-1792.58</v>
      </c>
    </row>
    <row r="213" spans="1:5">
      <c r="A213" s="577" t="s">
        <v>1511</v>
      </c>
      <c r="C213" s="579">
        <v>-82618978.25</v>
      </c>
      <c r="D213" s="579">
        <v>-95056450.049999997</v>
      </c>
      <c r="E213">
        <f>VLOOKUP(A213,Ucto_HK_summ!$A$2:H$966,7,FALSE)</f>
        <v>-82618978.25</v>
      </c>
    </row>
    <row r="215" spans="1:5">
      <c r="A215" s="578" t="s">
        <v>1512</v>
      </c>
      <c r="B215" s="578" t="s">
        <v>1513</v>
      </c>
      <c r="C215" s="513">
        <v>-4079522.71</v>
      </c>
      <c r="D215" s="513">
        <v>-5993577.2199999997</v>
      </c>
      <c r="E215">
        <f>VLOOKUP(A215,Ucto_HK_summ!$A$2:H$966,7,FALSE)</f>
        <v>-4079522.71</v>
      </c>
    </row>
    <row r="216" spans="1:5">
      <c r="A216" s="578" t="s">
        <v>1514</v>
      </c>
      <c r="C216" s="513">
        <v>-4079522.71</v>
      </c>
      <c r="D216" s="513">
        <v>-5993577.2199999997</v>
      </c>
      <c r="E216">
        <f>VLOOKUP(A216,Ucto_HK_summ!$A$2:H$966,7,FALSE)</f>
        <v>-4079522.71</v>
      </c>
    </row>
    <row r="217" spans="1:5">
      <c r="A217" s="578" t="s">
        <v>1515</v>
      </c>
      <c r="B217" s="578" t="s">
        <v>1516</v>
      </c>
      <c r="C217" s="513">
        <v>-11148.53</v>
      </c>
      <c r="D217" s="513">
        <v>-12084.69</v>
      </c>
      <c r="E217">
        <f>VLOOKUP(A217,Ucto_HK_summ!$A$2:H$966,7,FALSE)</f>
        <v>-11148.53</v>
      </c>
    </row>
    <row r="218" spans="1:5">
      <c r="A218" s="578" t="s">
        <v>1517</v>
      </c>
      <c r="B218" s="578" t="s">
        <v>1518</v>
      </c>
      <c r="C218">
        <v>-988.2</v>
      </c>
      <c r="D218">
        <v>-628.16</v>
      </c>
      <c r="E218">
        <f>VLOOKUP(A218,Ucto_HK_summ!$A$2:H$966,7,FALSE)</f>
        <v>-988.2</v>
      </c>
    </row>
    <row r="219" spans="1:5">
      <c r="A219" s="578" t="s">
        <v>1519</v>
      </c>
      <c r="B219" s="578" t="s">
        <v>1520</v>
      </c>
      <c r="C219" s="513">
        <v>-1209.08</v>
      </c>
      <c r="D219" s="550">
        <v>-2030</v>
      </c>
      <c r="E219">
        <f>VLOOKUP(A219,Ucto_HK_summ!$A$2:H$966,7,FALSE)</f>
        <v>-1209.08</v>
      </c>
    </row>
    <row r="220" spans="1:5">
      <c r="A220" s="578" t="s">
        <v>1521</v>
      </c>
      <c r="C220" s="513">
        <v>-13345.81</v>
      </c>
      <c r="D220" s="513">
        <v>-14742.85</v>
      </c>
      <c r="E220">
        <f>VLOOKUP(A220,Ucto_HK_summ!$A$2:H$966,7,FALSE)</f>
        <v>-13345.81</v>
      </c>
    </row>
    <row r="221" spans="1:5">
      <c r="A221" s="578" t="s">
        <v>1522</v>
      </c>
      <c r="B221" s="578" t="s">
        <v>1523</v>
      </c>
      <c r="C221">
        <v>0</v>
      </c>
      <c r="D221">
        <v>0</v>
      </c>
      <c r="E221">
        <f>VLOOKUP(A221,Ucto_HK_summ!$A$2:H$966,7,FALSE)</f>
        <v>0</v>
      </c>
    </row>
    <row r="222" spans="1:5">
      <c r="A222" s="578" t="s">
        <v>1524</v>
      </c>
      <c r="B222" s="578" t="s">
        <v>1525</v>
      </c>
      <c r="C222">
        <v>957.88</v>
      </c>
      <c r="D222" s="513">
        <v>1422.37</v>
      </c>
      <c r="E222">
        <f>VLOOKUP(A222,Ucto_HK_summ!$A$2:H$966,7,FALSE)</f>
        <v>957.88</v>
      </c>
    </row>
    <row r="223" spans="1:5">
      <c r="A223" s="578" t="s">
        <v>1526</v>
      </c>
      <c r="B223" s="578" t="s">
        <v>1527</v>
      </c>
      <c r="C223" s="513">
        <v>76903.22</v>
      </c>
      <c r="D223" s="513">
        <v>64687.87</v>
      </c>
      <c r="E223">
        <f>VLOOKUP(A223,Ucto_HK_summ!$A$2:H$966,7,FALSE)</f>
        <v>76903.22</v>
      </c>
    </row>
    <row r="224" spans="1:5">
      <c r="A224" s="578" t="s">
        <v>1528</v>
      </c>
      <c r="B224" s="578" t="s">
        <v>1529</v>
      </c>
      <c r="C224">
        <v>0</v>
      </c>
      <c r="D224">
        <v>0</v>
      </c>
      <c r="E224">
        <f>VLOOKUP(A224,Ucto_HK_summ!$A$2:H$966,7,FALSE)</f>
        <v>0</v>
      </c>
    </row>
    <row r="225" spans="1:5">
      <c r="A225" s="578" t="s">
        <v>1530</v>
      </c>
      <c r="C225" s="513">
        <v>77861.100000000006</v>
      </c>
      <c r="D225" s="513">
        <v>66110.240000000005</v>
      </c>
      <c r="E225">
        <f>VLOOKUP(A225,Ucto_HK_summ!$A$2:H$966,7,FALSE)</f>
        <v>77861.100000000006</v>
      </c>
    </row>
    <row r="226" spans="1:5">
      <c r="A226" s="578" t="s">
        <v>1531</v>
      </c>
      <c r="B226" s="578" t="s">
        <v>1532</v>
      </c>
      <c r="C226" s="513">
        <v>-362657.59</v>
      </c>
      <c r="D226" s="513">
        <v>-511547.62</v>
      </c>
      <c r="E226">
        <f>VLOOKUP(A226,Ucto_HK_summ!$A$2:H$966,7,FALSE)</f>
        <v>-362657.59</v>
      </c>
    </row>
    <row r="227" spans="1:5">
      <c r="A227" s="578" t="s">
        <v>1533</v>
      </c>
      <c r="B227" s="578" t="s">
        <v>1534</v>
      </c>
      <c r="C227" s="513">
        <v>-145041.19</v>
      </c>
      <c r="D227" s="513">
        <v>-204598.25</v>
      </c>
      <c r="E227">
        <f>VLOOKUP(A227,Ucto_HK_summ!$A$2:H$966,7,FALSE)</f>
        <v>-145041.19</v>
      </c>
    </row>
    <row r="228" spans="1:5">
      <c r="A228" s="578" t="s">
        <v>1535</v>
      </c>
      <c r="B228" s="578" t="s">
        <v>1536</v>
      </c>
      <c r="C228">
        <v>0</v>
      </c>
      <c r="D228">
        <v>-901.44</v>
      </c>
      <c r="E228">
        <f>VLOOKUP(A228,Ucto_HK_summ!$A$2:H$966,7,FALSE)</f>
        <v>0</v>
      </c>
    </row>
    <row r="229" spans="1:5">
      <c r="A229" s="578" t="s">
        <v>1537</v>
      </c>
      <c r="B229" s="578" t="s">
        <v>1538</v>
      </c>
      <c r="C229" s="513">
        <v>-122193.94</v>
      </c>
      <c r="D229" s="513">
        <v>-184040.61</v>
      </c>
      <c r="E229">
        <f>VLOOKUP(A229,Ucto_HK_summ!$A$2:H$966,7,FALSE)</f>
        <v>-122193.94</v>
      </c>
    </row>
    <row r="230" spans="1:5">
      <c r="A230" s="578" t="s">
        <v>1539</v>
      </c>
      <c r="B230" s="578" t="s">
        <v>1540</v>
      </c>
      <c r="C230" s="513">
        <v>-48867.92</v>
      </c>
      <c r="D230" s="513">
        <v>-73592.899999999994</v>
      </c>
      <c r="E230">
        <f>VLOOKUP(A230,Ucto_HK_summ!$A$2:H$966,7,FALSE)</f>
        <v>-48867.92</v>
      </c>
    </row>
    <row r="231" spans="1:5">
      <c r="A231" s="578" t="s">
        <v>1541</v>
      </c>
      <c r="B231" s="578" t="s">
        <v>1542</v>
      </c>
      <c r="C231">
        <v>788.34</v>
      </c>
      <c r="D231">
        <v>0</v>
      </c>
      <c r="E231">
        <f>VLOOKUP(A231,Ucto_HK_summ!$A$2:H$966,7,FALSE)</f>
        <v>788.34</v>
      </c>
    </row>
    <row r="232" spans="1:5">
      <c r="A232" s="578" t="s">
        <v>1543</v>
      </c>
      <c r="B232" s="578" t="s">
        <v>1544</v>
      </c>
      <c r="C232" s="513">
        <v>-63018.95</v>
      </c>
      <c r="D232" s="513">
        <v>-107403.06</v>
      </c>
      <c r="E232">
        <f>VLOOKUP(A232,Ucto_HK_summ!$A$2:H$966,7,FALSE)</f>
        <v>-63018.95</v>
      </c>
    </row>
    <row r="233" spans="1:5">
      <c r="A233" s="578" t="s">
        <v>1545</v>
      </c>
      <c r="B233" s="578" t="s">
        <v>1546</v>
      </c>
      <c r="C233" s="513">
        <v>-25206.48</v>
      </c>
      <c r="D233" s="513">
        <v>-42959.63</v>
      </c>
      <c r="E233">
        <f>VLOOKUP(A233,Ucto_HK_summ!$A$2:H$966,7,FALSE)</f>
        <v>-25206.48</v>
      </c>
    </row>
    <row r="234" spans="1:5">
      <c r="A234" s="578" t="s">
        <v>1547</v>
      </c>
      <c r="B234" s="578" t="s">
        <v>1548</v>
      </c>
      <c r="C234">
        <v>0</v>
      </c>
      <c r="D234">
        <v>42.67</v>
      </c>
      <c r="E234">
        <f>VLOOKUP(A234,Ucto_HK_summ!$A$2:H$966,7,FALSE)</f>
        <v>0</v>
      </c>
    </row>
    <row r="235" spans="1:5">
      <c r="A235" s="578" t="s">
        <v>1549</v>
      </c>
      <c r="B235" s="578" t="s">
        <v>1550</v>
      </c>
      <c r="C235" s="513">
        <v>-32521577.289999999</v>
      </c>
      <c r="D235" s="513">
        <v>-48517096.350000001</v>
      </c>
      <c r="E235">
        <f>VLOOKUP(A235,Ucto_HK_summ!$A$2:H$966,7,FALSE)</f>
        <v>-32521577.289999999</v>
      </c>
    </row>
    <row r="236" spans="1:5">
      <c r="A236" s="578" t="s">
        <v>1551</v>
      </c>
      <c r="B236" s="578" t="s">
        <v>1552</v>
      </c>
      <c r="C236" s="513">
        <v>-501811.29</v>
      </c>
      <c r="D236" s="513">
        <v>-744484.09</v>
      </c>
      <c r="E236">
        <f>VLOOKUP(A236,Ucto_HK_summ!$A$2:H$966,7,FALSE)</f>
        <v>-501811.29</v>
      </c>
    </row>
    <row r="237" spans="1:5">
      <c r="A237" s="578" t="s">
        <v>1553</v>
      </c>
      <c r="B237" s="578" t="s">
        <v>1554</v>
      </c>
      <c r="C237" s="513">
        <v>-1380.24</v>
      </c>
      <c r="D237">
        <v>-528.4</v>
      </c>
      <c r="E237">
        <f>VLOOKUP(A237,Ucto_HK_summ!$A$2:H$966,7,FALSE)</f>
        <v>-1380.24</v>
      </c>
    </row>
    <row r="238" spans="1:5">
      <c r="A238" s="578" t="s">
        <v>1555</v>
      </c>
      <c r="B238" s="578" t="s">
        <v>1556</v>
      </c>
      <c r="C238">
        <v>-485.26</v>
      </c>
      <c r="D238">
        <v>-188.18</v>
      </c>
      <c r="E238">
        <f>VLOOKUP(A238,Ucto_HK_summ!$A$2:H$966,7,FALSE)</f>
        <v>-485.26</v>
      </c>
    </row>
    <row r="239" spans="1:5">
      <c r="A239" s="578" t="s">
        <v>1557</v>
      </c>
      <c r="B239" s="578" t="s">
        <v>1558</v>
      </c>
      <c r="C239" s="513">
        <v>-12677.17</v>
      </c>
      <c r="D239" s="513">
        <v>-22063.42</v>
      </c>
      <c r="E239">
        <f>VLOOKUP(A239,Ucto_HK_summ!$A$2:H$966,7,FALSE)</f>
        <v>-12677.17</v>
      </c>
    </row>
    <row r="240" spans="1:5">
      <c r="A240" s="578" t="s">
        <v>1559</v>
      </c>
      <c r="B240" s="578" t="s">
        <v>1560</v>
      </c>
      <c r="C240" s="513">
        <v>-10778.08</v>
      </c>
      <c r="D240" s="513">
        <v>-18545.8</v>
      </c>
      <c r="E240">
        <f>VLOOKUP(A240,Ucto_HK_summ!$A$2:H$966,7,FALSE)</f>
        <v>-10778.08</v>
      </c>
    </row>
    <row r="241" spans="1:5">
      <c r="A241" s="578" t="s">
        <v>1561</v>
      </c>
      <c r="B241" s="578" t="s">
        <v>1562</v>
      </c>
      <c r="C241" s="513">
        <v>-13147.91</v>
      </c>
      <c r="D241" s="513">
        <v>-22824.15</v>
      </c>
      <c r="E241">
        <f>VLOOKUP(A241,Ucto_HK_summ!$A$2:H$966,7,FALSE)</f>
        <v>-13147.91</v>
      </c>
    </row>
    <row r="242" spans="1:5">
      <c r="A242" s="578" t="s">
        <v>1563</v>
      </c>
      <c r="B242" s="578" t="s">
        <v>1564</v>
      </c>
      <c r="C242" s="513">
        <v>-7464.83</v>
      </c>
      <c r="D242" s="513">
        <v>-13280.79</v>
      </c>
      <c r="E242">
        <f>VLOOKUP(A242,Ucto_HK_summ!$A$2:H$966,7,FALSE)</f>
        <v>-7464.83</v>
      </c>
    </row>
    <row r="243" spans="1:5">
      <c r="A243" s="578" t="s">
        <v>1565</v>
      </c>
      <c r="B243" s="578" t="s">
        <v>1558</v>
      </c>
      <c r="C243" s="513">
        <v>-7222.19</v>
      </c>
      <c r="D243" s="513">
        <v>-7916.96</v>
      </c>
      <c r="E243">
        <f>VLOOKUP(A243,Ucto_HK_summ!$A$2:H$966,7,FALSE)</f>
        <v>-7222.19</v>
      </c>
    </row>
    <row r="244" spans="1:5">
      <c r="A244" s="578" t="s">
        <v>1566</v>
      </c>
      <c r="B244" s="578" t="s">
        <v>1560</v>
      </c>
      <c r="C244" s="513">
        <v>-5969.52</v>
      </c>
      <c r="D244" s="513">
        <v>-6288.43</v>
      </c>
      <c r="E244">
        <f>VLOOKUP(A244,Ucto_HK_summ!$A$2:H$966,7,FALSE)</f>
        <v>-5969.52</v>
      </c>
    </row>
    <row r="245" spans="1:5">
      <c r="A245" s="578" t="s">
        <v>1567</v>
      </c>
      <c r="B245" s="578" t="s">
        <v>1562</v>
      </c>
      <c r="C245" s="513">
        <v>-8096.91</v>
      </c>
      <c r="D245" s="513">
        <v>-8890.14</v>
      </c>
      <c r="E245">
        <f>VLOOKUP(A245,Ucto_HK_summ!$A$2:H$966,7,FALSE)</f>
        <v>-8096.91</v>
      </c>
    </row>
    <row r="246" spans="1:5">
      <c r="A246" s="578" t="s">
        <v>1568</v>
      </c>
      <c r="B246" s="578" t="s">
        <v>1564</v>
      </c>
      <c r="C246" s="513">
        <v>-4141.5600000000004</v>
      </c>
      <c r="D246" s="513">
        <v>-4513.6499999999996</v>
      </c>
      <c r="E246">
        <f>VLOOKUP(A246,Ucto_HK_summ!$A$2:H$966,7,FALSE)</f>
        <v>-4141.5600000000004</v>
      </c>
    </row>
    <row r="247" spans="1:5">
      <c r="A247" s="578" t="s">
        <v>1569</v>
      </c>
      <c r="B247" s="578" t="s">
        <v>1570</v>
      </c>
      <c r="C247">
        <v>-86</v>
      </c>
      <c r="D247">
        <v>-86</v>
      </c>
      <c r="E247">
        <f>VLOOKUP(A247,Ucto_HK_summ!$A$2:H$966,7,FALSE)</f>
        <v>-86</v>
      </c>
    </row>
    <row r="248" spans="1:5">
      <c r="A248" s="578" t="s">
        <v>1571</v>
      </c>
      <c r="B248" s="578" t="s">
        <v>1572</v>
      </c>
      <c r="C248">
        <v>-15.75</v>
      </c>
      <c r="D248">
        <v>-32.200000000000003</v>
      </c>
      <c r="E248">
        <f>VLOOKUP(A248,Ucto_HK_summ!$A$2:H$966,7,FALSE)</f>
        <v>-15.75</v>
      </c>
    </row>
    <row r="249" spans="1:5">
      <c r="A249" s="578" t="s">
        <v>1575</v>
      </c>
      <c r="C249" s="513">
        <v>-33861051.729999997</v>
      </c>
      <c r="D249" s="513">
        <v>-50491739.399999999</v>
      </c>
      <c r="E249">
        <f>VLOOKUP(A249,Ucto_HK_summ!$A$2:H$966,7,FALSE)</f>
        <v>-33861051.729999997</v>
      </c>
    </row>
    <row r="250" spans="1:5">
      <c r="A250" s="577" t="s">
        <v>1576</v>
      </c>
      <c r="C250" s="579">
        <v>-37876059.149999999</v>
      </c>
      <c r="D250" s="579">
        <v>-56433949.229999997</v>
      </c>
      <c r="E250">
        <f>VLOOKUP(A250,Ucto_HK_summ!$A$2:H$966,7,FALSE)</f>
        <v>-37876059.149999999</v>
      </c>
    </row>
    <row r="252" spans="1:5">
      <c r="A252" s="578" t="s">
        <v>1577</v>
      </c>
      <c r="B252" s="578" t="s">
        <v>224</v>
      </c>
      <c r="C252">
        <v>0</v>
      </c>
      <c r="D252" s="513">
        <v>-40091.99</v>
      </c>
      <c r="E252">
        <f>VLOOKUP(A252,Ucto_HK_summ!$A$2:H$966,7,FALSE)</f>
        <v>0</v>
      </c>
    </row>
    <row r="253" spans="1:5">
      <c r="A253" s="578" t="s">
        <v>1578</v>
      </c>
      <c r="B253" s="578" t="s">
        <v>1579</v>
      </c>
      <c r="C253" s="513">
        <v>86737.81</v>
      </c>
      <c r="D253" s="513">
        <v>22580.73</v>
      </c>
      <c r="E253">
        <f>VLOOKUP(A253,Ucto_HK_summ!$A$2:H$966,7,FALSE)</f>
        <v>86737.81</v>
      </c>
    </row>
    <row r="254" spans="1:5">
      <c r="A254" s="578" t="s">
        <v>1582</v>
      </c>
      <c r="C254" s="513">
        <v>86737.81</v>
      </c>
      <c r="D254" s="513">
        <v>-17511.259999999998</v>
      </c>
      <c r="E254">
        <f>VLOOKUP(A254,Ucto_HK_summ!$A$2:H$966,7,FALSE)</f>
        <v>86737.81</v>
      </c>
    </row>
    <row r="255" spans="1:5">
      <c r="A255" s="578" t="s">
        <v>1583</v>
      </c>
      <c r="B255" s="578" t="s">
        <v>1584</v>
      </c>
      <c r="C255" s="513">
        <v>-722178.84</v>
      </c>
      <c r="D255" s="513">
        <v>-1133753.8899999999</v>
      </c>
      <c r="E255">
        <f>VLOOKUP(A255,Ucto_HK_summ!$A$2:H$966,7,FALSE)</f>
        <v>-722178.84</v>
      </c>
    </row>
    <row r="256" spans="1:5">
      <c r="A256" s="578" t="s">
        <v>1585</v>
      </c>
      <c r="C256" s="513">
        <v>-722178.84</v>
      </c>
      <c r="D256" s="513">
        <v>-1133753.8899999999</v>
      </c>
      <c r="E256">
        <f>VLOOKUP(A256,Ucto_HK_summ!$A$2:H$966,7,FALSE)</f>
        <v>-722178.84</v>
      </c>
    </row>
    <row r="257" spans="1:5">
      <c r="A257" s="578" t="s">
        <v>1586</v>
      </c>
      <c r="B257" s="578" t="s">
        <v>1587</v>
      </c>
      <c r="C257">
        <v>0</v>
      </c>
      <c r="D257">
        <v>0</v>
      </c>
      <c r="E257">
        <f>VLOOKUP(A257,Ucto_HK_summ!$A$2:H$966,7,FALSE)</f>
        <v>0</v>
      </c>
    </row>
    <row r="258" spans="1:5">
      <c r="A258" s="578" t="s">
        <v>1588</v>
      </c>
      <c r="B258" s="578" t="s">
        <v>1589</v>
      </c>
      <c r="C258">
        <v>0</v>
      </c>
      <c r="D258">
        <v>0</v>
      </c>
      <c r="E258">
        <f>VLOOKUP(A258,Ucto_HK_summ!$A$2:H$966,7,FALSE)</f>
        <v>0</v>
      </c>
    </row>
    <row r="259" spans="1:5">
      <c r="A259" s="578" t="s">
        <v>1590</v>
      </c>
      <c r="B259" s="578" t="s">
        <v>1591</v>
      </c>
      <c r="C259">
        <v>0</v>
      </c>
      <c r="D259">
        <v>0</v>
      </c>
      <c r="E259">
        <f>VLOOKUP(A259,Ucto_HK_summ!$A$2:H$966,7,FALSE)</f>
        <v>0</v>
      </c>
    </row>
    <row r="260" spans="1:5">
      <c r="A260" s="578" t="s">
        <v>1592</v>
      </c>
      <c r="B260" s="578" t="s">
        <v>1593</v>
      </c>
      <c r="C260">
        <v>0</v>
      </c>
      <c r="D260">
        <v>0</v>
      </c>
      <c r="E260">
        <f>VLOOKUP(A260,Ucto_HK_summ!$A$2:H$966,7,FALSE)</f>
        <v>0</v>
      </c>
    </row>
    <row r="261" spans="1:5">
      <c r="A261" s="578" t="s">
        <v>2782</v>
      </c>
      <c r="B261" s="578" t="s">
        <v>2783</v>
      </c>
      <c r="C261">
        <v>0</v>
      </c>
      <c r="D261">
        <v>0</v>
      </c>
      <c r="E261">
        <f>VLOOKUP(A261,Ucto_HK_summ!$A$2:H$966,7,FALSE)</f>
        <v>0</v>
      </c>
    </row>
    <row r="262" spans="1:5">
      <c r="A262" s="578" t="s">
        <v>1594</v>
      </c>
      <c r="B262" s="578" t="s">
        <v>1595</v>
      </c>
      <c r="C262">
        <v>0</v>
      </c>
      <c r="D262">
        <v>0</v>
      </c>
      <c r="E262">
        <f>VLOOKUP(A262,Ucto_HK_summ!$A$2:H$966,7,FALSE)</f>
        <v>0</v>
      </c>
    </row>
    <row r="263" spans="1:5">
      <c r="A263" s="578" t="s">
        <v>1596</v>
      </c>
      <c r="B263" s="578" t="s">
        <v>1597</v>
      </c>
      <c r="C263">
        <v>0</v>
      </c>
      <c r="D263">
        <v>0</v>
      </c>
      <c r="E263">
        <f>VLOOKUP(A263,Ucto_HK_summ!$A$2:H$966,7,FALSE)</f>
        <v>0</v>
      </c>
    </row>
    <row r="264" spans="1:5">
      <c r="A264" s="578" t="s">
        <v>1598</v>
      </c>
      <c r="B264" s="578" t="s">
        <v>1599</v>
      </c>
      <c r="C264">
        <v>0</v>
      </c>
      <c r="D264">
        <v>0</v>
      </c>
      <c r="E264">
        <f>VLOOKUP(A264,Ucto_HK_summ!$A$2:H$966,7,FALSE)</f>
        <v>0</v>
      </c>
    </row>
    <row r="265" spans="1:5">
      <c r="A265" s="578" t="s">
        <v>1600</v>
      </c>
      <c r="B265" s="578" t="s">
        <v>1601</v>
      </c>
      <c r="C265">
        <v>0</v>
      </c>
      <c r="D265">
        <v>0</v>
      </c>
      <c r="E265">
        <f>VLOOKUP(A265,Ucto_HK_summ!$A$2:H$966,7,FALSE)</f>
        <v>0</v>
      </c>
    </row>
    <row r="266" spans="1:5">
      <c r="A266" s="578" t="s">
        <v>1602</v>
      </c>
      <c r="B266" s="578" t="s">
        <v>1603</v>
      </c>
      <c r="C266">
        <v>0</v>
      </c>
      <c r="D266">
        <v>0</v>
      </c>
      <c r="E266">
        <f>VLOOKUP(A266,Ucto_HK_summ!$A$2:H$966,7,FALSE)</f>
        <v>0</v>
      </c>
    </row>
    <row r="267" spans="1:5">
      <c r="A267" s="578" t="s">
        <v>1604</v>
      </c>
      <c r="B267" s="578" t="s">
        <v>1605</v>
      </c>
      <c r="C267">
        <v>0</v>
      </c>
      <c r="D267">
        <v>0</v>
      </c>
      <c r="E267">
        <f>VLOOKUP(A267,Ucto_HK_summ!$A$2:H$966,7,FALSE)</f>
        <v>0</v>
      </c>
    </row>
    <row r="268" spans="1:5">
      <c r="A268" s="578" t="s">
        <v>1606</v>
      </c>
      <c r="B268" s="578" t="s">
        <v>1607</v>
      </c>
      <c r="C268">
        <v>0</v>
      </c>
      <c r="D268">
        <v>0</v>
      </c>
      <c r="E268">
        <f>VLOOKUP(A268,Ucto_HK_summ!$A$2:H$966,7,FALSE)</f>
        <v>0</v>
      </c>
    </row>
    <row r="269" spans="1:5">
      <c r="A269" s="578" t="s">
        <v>1608</v>
      </c>
      <c r="B269" s="578" t="s">
        <v>1609</v>
      </c>
      <c r="C269" s="513">
        <v>-19408.169999999998</v>
      </c>
      <c r="D269" s="513">
        <v>-75078.559999999998</v>
      </c>
      <c r="E269">
        <f>VLOOKUP(A269,Ucto_HK_summ!$A$2:H$966,7,FALSE)</f>
        <v>-19408.169999999998</v>
      </c>
    </row>
    <row r="270" spans="1:5">
      <c r="A270" s="578" t="s">
        <v>1610</v>
      </c>
      <c r="C270" s="513">
        <v>-19408.169999999998</v>
      </c>
      <c r="D270" s="513">
        <v>-75078.559999999998</v>
      </c>
      <c r="E270">
        <f>VLOOKUP(A270,Ucto_HK_summ!$A$2:H$966,7,FALSE)</f>
        <v>-19408.169999999998</v>
      </c>
    </row>
    <row r="271" spans="1:5">
      <c r="A271" s="578" t="s">
        <v>1611</v>
      </c>
      <c r="B271" s="578" t="s">
        <v>1612</v>
      </c>
      <c r="C271">
        <v>0</v>
      </c>
      <c r="D271">
        <v>0</v>
      </c>
      <c r="E271">
        <f>VLOOKUP(A271,Ucto_HK_summ!$A$2:H$966,7,FALSE)</f>
        <v>0</v>
      </c>
    </row>
    <row r="272" spans="1:5">
      <c r="A272" s="578" t="s">
        <v>1613</v>
      </c>
      <c r="B272" s="578" t="s">
        <v>2862</v>
      </c>
      <c r="C272">
        <v>0</v>
      </c>
      <c r="D272" s="513">
        <v>1516.86</v>
      </c>
      <c r="E272">
        <f>VLOOKUP(A272,Ucto_HK_summ!$A$2:H$966,7,FALSE)</f>
        <v>0</v>
      </c>
    </row>
    <row r="273" spans="1:5">
      <c r="A273" s="578" t="s">
        <v>1614</v>
      </c>
      <c r="B273" s="578" t="s">
        <v>1615</v>
      </c>
      <c r="C273">
        <v>0</v>
      </c>
      <c r="D273">
        <v>0</v>
      </c>
      <c r="E273">
        <f>VLOOKUP(A273,Ucto_HK_summ!$A$2:H$966,7,FALSE)</f>
        <v>0</v>
      </c>
    </row>
    <row r="274" spans="1:5">
      <c r="A274" s="578" t="s">
        <v>1616</v>
      </c>
      <c r="C274">
        <v>0</v>
      </c>
      <c r="D274" s="513">
        <v>1516.86</v>
      </c>
      <c r="E274">
        <f>VLOOKUP(A274,Ucto_HK_summ!$A$2:H$966,7,FALSE)</f>
        <v>0</v>
      </c>
    </row>
    <row r="275" spans="1:5">
      <c r="A275" s="577" t="s">
        <v>1617</v>
      </c>
      <c r="C275" s="579">
        <v>-654849.19999999995</v>
      </c>
      <c r="D275" s="579">
        <v>-1224826.8500000001</v>
      </c>
      <c r="E275">
        <f>VLOOKUP(A275,Ucto_HK_summ!$A$2:H$966,7,FALSE)</f>
        <v>-654849.19999999995</v>
      </c>
    </row>
    <row r="277" spans="1:5">
      <c r="A277" s="578" t="s">
        <v>1618</v>
      </c>
      <c r="B277" s="578" t="s">
        <v>1619</v>
      </c>
      <c r="C277">
        <v>0</v>
      </c>
      <c r="D277">
        <v>0</v>
      </c>
      <c r="E277">
        <f>VLOOKUP(A277,Ucto_HK_summ!$A$2:H$966,7,FALSE)</f>
        <v>0</v>
      </c>
    </row>
    <row r="278" spans="1:5">
      <c r="A278" s="578" t="s">
        <v>1620</v>
      </c>
      <c r="B278" s="578" t="s">
        <v>1621</v>
      </c>
      <c r="C278">
        <v>0</v>
      </c>
      <c r="D278">
        <v>0</v>
      </c>
      <c r="E278">
        <f>VLOOKUP(A278,Ucto_HK_summ!$A$2:H$966,7,FALSE)</f>
        <v>0</v>
      </c>
    </row>
    <row r="279" spans="1:5">
      <c r="A279" s="578" t="s">
        <v>1622</v>
      </c>
      <c r="C279">
        <v>0</v>
      </c>
      <c r="D279">
        <v>0</v>
      </c>
      <c r="E279">
        <f>VLOOKUP(A279,Ucto_HK_summ!$A$2:H$966,7,FALSE)</f>
        <v>0</v>
      </c>
    </row>
    <row r="280" spans="1:5">
      <c r="A280" s="578" t="s">
        <v>1623</v>
      </c>
      <c r="B280" s="578" t="s">
        <v>1624</v>
      </c>
      <c r="C280" s="513">
        <v>-18861018.140000001</v>
      </c>
      <c r="D280" s="513">
        <v>-19301774.16</v>
      </c>
      <c r="E280">
        <f>VLOOKUP(A280,Ucto_HK_summ!$A$2:H$966,7,FALSE)</f>
        <v>-18861018.140000001</v>
      </c>
    </row>
    <row r="281" spans="1:5">
      <c r="A281" s="578" t="s">
        <v>1625</v>
      </c>
      <c r="B281" s="578" t="s">
        <v>1626</v>
      </c>
      <c r="C281" s="550">
        <v>-778850</v>
      </c>
      <c r="D281" s="513">
        <v>-732187.46</v>
      </c>
      <c r="E281">
        <f>VLOOKUP(A281,Ucto_HK_summ!$A$2:H$966,7,FALSE)</f>
        <v>-778850</v>
      </c>
    </row>
    <row r="282" spans="1:5">
      <c r="A282" s="578" t="s">
        <v>1627</v>
      </c>
      <c r="B282" s="578" t="s">
        <v>1628</v>
      </c>
      <c r="C282" s="513">
        <v>-18339803.059999999</v>
      </c>
      <c r="D282" s="513">
        <v>-17453298.98</v>
      </c>
      <c r="E282">
        <f>VLOOKUP(A282,Ucto_HK_summ!$A$2:H$966,7,FALSE)</f>
        <v>-18339803.059999999</v>
      </c>
    </row>
    <row r="283" spans="1:5">
      <c r="A283" s="578" t="s">
        <v>1629</v>
      </c>
      <c r="B283" s="578" t="s">
        <v>1630</v>
      </c>
      <c r="C283" s="513">
        <v>-4427544.8899999997</v>
      </c>
      <c r="D283" s="513">
        <v>-9608135.9399999995</v>
      </c>
      <c r="E283">
        <f>VLOOKUP(A283,Ucto_HK_summ!$A$2:H$966,7,FALSE)</f>
        <v>-4427544.8899999997</v>
      </c>
    </row>
    <row r="284" spans="1:5">
      <c r="A284" s="578" t="s">
        <v>1631</v>
      </c>
      <c r="B284" s="578" t="s">
        <v>1632</v>
      </c>
      <c r="C284" s="513">
        <v>-490203.98</v>
      </c>
      <c r="D284" s="513">
        <v>-2960751.44</v>
      </c>
      <c r="E284">
        <f>VLOOKUP(A284,Ucto_HK_summ!$A$2:H$966,7,FALSE)</f>
        <v>-490203.98</v>
      </c>
    </row>
    <row r="285" spans="1:5">
      <c r="A285" s="578" t="s">
        <v>1633</v>
      </c>
      <c r="C285" s="513">
        <v>-42897420.07</v>
      </c>
      <c r="D285" s="513">
        <v>-50056147.979999997</v>
      </c>
      <c r="E285">
        <f>VLOOKUP(A285,Ucto_HK_summ!$A$2:H$966,7,FALSE)</f>
        <v>-42897420.07</v>
      </c>
    </row>
    <row r="286" spans="1:5">
      <c r="A286" s="578" t="s">
        <v>1634</v>
      </c>
      <c r="B286" s="578" t="s">
        <v>1635</v>
      </c>
      <c r="C286">
        <v>0</v>
      </c>
      <c r="D286">
        <v>0</v>
      </c>
      <c r="E286">
        <f>VLOOKUP(A286,Ucto_HK_summ!$A$2:H$966,7,FALSE)</f>
        <v>0</v>
      </c>
    </row>
    <row r="287" spans="1:5">
      <c r="A287" s="578" t="s">
        <v>1636</v>
      </c>
      <c r="C287">
        <v>0</v>
      </c>
      <c r="D287">
        <v>0</v>
      </c>
      <c r="E287">
        <f>VLOOKUP(A287,Ucto_HK_summ!$A$2:H$966,7,FALSE)</f>
        <v>0</v>
      </c>
    </row>
    <row r="288" spans="1:5">
      <c r="A288" s="577" t="s">
        <v>1637</v>
      </c>
      <c r="C288" s="579">
        <v>-42897420.07</v>
      </c>
      <c r="D288" s="579">
        <v>-50056147.979999997</v>
      </c>
      <c r="E288">
        <f>VLOOKUP(A288,Ucto_HK_summ!$A$2:H$966,7,FALSE)</f>
        <v>-42897420.07</v>
      </c>
    </row>
    <row r="290" spans="1:5">
      <c r="A290" s="578" t="s">
        <v>1638</v>
      </c>
      <c r="B290" s="578" t="s">
        <v>1639</v>
      </c>
      <c r="C290" s="513">
        <v>-22960.799999999999</v>
      </c>
      <c r="D290" s="513">
        <v>-22960.799999999999</v>
      </c>
      <c r="E290">
        <f>VLOOKUP(A290,Ucto_HK_summ!$A$2:H$966,7,FALSE)</f>
        <v>-22960.799999999999</v>
      </c>
    </row>
    <row r="291" spans="1:5">
      <c r="A291" s="578" t="s">
        <v>1640</v>
      </c>
      <c r="B291" s="578" t="s">
        <v>1641</v>
      </c>
      <c r="C291" s="513">
        <v>-185625.89</v>
      </c>
      <c r="D291" s="513">
        <v>-273254.49</v>
      </c>
      <c r="E291">
        <f>VLOOKUP(A291,Ucto_HK_summ!$A$2:H$966,7,FALSE)</f>
        <v>-185625.89</v>
      </c>
    </row>
    <row r="292" spans="1:5">
      <c r="A292" s="578" t="s">
        <v>1642</v>
      </c>
      <c r="C292" s="513">
        <v>-208586.69</v>
      </c>
      <c r="D292" s="513">
        <v>-296215.28999999998</v>
      </c>
      <c r="E292">
        <f>VLOOKUP(A292,Ucto_HK_summ!$A$2:H$966,7,FALSE)</f>
        <v>-208586.69</v>
      </c>
    </row>
    <row r="293" spans="1:5">
      <c r="A293" s="578" t="s">
        <v>1643</v>
      </c>
      <c r="B293" s="578" t="s">
        <v>1644</v>
      </c>
      <c r="C293" s="513">
        <v>11742.35</v>
      </c>
      <c r="D293" s="513">
        <v>11742.35</v>
      </c>
      <c r="E293">
        <f>VLOOKUP(A293,Ucto_HK_summ!$A$2:H$966,7,FALSE)</f>
        <v>11742.35</v>
      </c>
    </row>
    <row r="294" spans="1:5">
      <c r="A294" s="578" t="s">
        <v>1645</v>
      </c>
      <c r="B294" s="578" t="s">
        <v>1646</v>
      </c>
      <c r="C294">
        <v>100</v>
      </c>
      <c r="D294">
        <v>100</v>
      </c>
      <c r="E294">
        <f>VLOOKUP(A294,Ucto_HK_summ!$A$2:H$966,7,FALSE)</f>
        <v>100</v>
      </c>
    </row>
    <row r="295" spans="1:5">
      <c r="A295" s="578" t="s">
        <v>1647</v>
      </c>
      <c r="B295" s="578" t="s">
        <v>1648</v>
      </c>
      <c r="C295">
        <v>0</v>
      </c>
      <c r="D295">
        <v>0</v>
      </c>
      <c r="E295">
        <f>VLOOKUP(A295,Ucto_HK_summ!$A$2:H$966,7,FALSE)</f>
        <v>0</v>
      </c>
    </row>
    <row r="296" spans="1:5">
      <c r="A296" s="578" t="s">
        <v>1649</v>
      </c>
      <c r="B296" s="578" t="s">
        <v>1650</v>
      </c>
      <c r="C296" s="513">
        <v>74925.919999999998</v>
      </c>
      <c r="D296">
        <v>0</v>
      </c>
      <c r="E296">
        <f>VLOOKUP(A296,Ucto_HK_summ!$A$2:H$966,7,FALSE)</f>
        <v>74925.919999999998</v>
      </c>
    </row>
    <row r="297" spans="1:5">
      <c r="A297" s="578" t="s">
        <v>1651</v>
      </c>
      <c r="B297" s="578" t="s">
        <v>1652</v>
      </c>
      <c r="C297" s="550">
        <v>1935</v>
      </c>
      <c r="D297" s="550">
        <v>1550</v>
      </c>
      <c r="E297">
        <f>VLOOKUP(A297,Ucto_HK_summ!$A$2:H$966,7,FALSE)</f>
        <v>1935</v>
      </c>
    </row>
    <row r="298" spans="1:5">
      <c r="A298" s="578" t="s">
        <v>1653</v>
      </c>
      <c r="B298" s="578" t="s">
        <v>1654</v>
      </c>
      <c r="C298" s="513">
        <v>2086.09</v>
      </c>
      <c r="D298" s="513">
        <v>2340.25</v>
      </c>
      <c r="E298">
        <f>VLOOKUP(A298,Ucto_HK_summ!$A$2:H$966,7,FALSE)</f>
        <v>2086.09</v>
      </c>
    </row>
    <row r="299" spans="1:5">
      <c r="A299" s="578" t="s">
        <v>1655</v>
      </c>
      <c r="C299" s="513">
        <v>90789.36</v>
      </c>
      <c r="D299" s="513">
        <v>15732.6</v>
      </c>
      <c r="E299">
        <f>VLOOKUP(A299,Ucto_HK_summ!$A$2:H$966,7,FALSE)</f>
        <v>90789.36</v>
      </c>
    </row>
    <row r="300" spans="1:5">
      <c r="A300" s="578" t="s">
        <v>1656</v>
      </c>
      <c r="B300" s="578" t="s">
        <v>1657</v>
      </c>
      <c r="C300" s="550">
        <v>-1300</v>
      </c>
      <c r="D300" s="550">
        <v>-120000</v>
      </c>
      <c r="E300">
        <f>VLOOKUP(A300,Ucto_HK_summ!$A$2:H$966,7,FALSE)</f>
        <v>-1300</v>
      </c>
    </row>
    <row r="301" spans="1:5">
      <c r="A301" s="578" t="s">
        <v>1658</v>
      </c>
      <c r="B301" s="578" t="s">
        <v>1659</v>
      </c>
      <c r="C301" s="513">
        <v>-16231.46</v>
      </c>
      <c r="D301" s="513">
        <v>-16648.64</v>
      </c>
      <c r="E301">
        <f>VLOOKUP(A301,Ucto_HK_summ!$A$2:H$966,7,FALSE)</f>
        <v>-16231.46</v>
      </c>
    </row>
    <row r="302" spans="1:5">
      <c r="A302" s="578" t="s">
        <v>1660</v>
      </c>
      <c r="B302" s="578" t="s">
        <v>1661</v>
      </c>
      <c r="C302">
        <v>0</v>
      </c>
      <c r="D302">
        <v>0</v>
      </c>
      <c r="E302">
        <f>VLOOKUP(A302,Ucto_HK_summ!$A$2:H$966,7,FALSE)</f>
        <v>0</v>
      </c>
    </row>
    <row r="303" spans="1:5">
      <c r="A303" s="578" t="s">
        <v>1662</v>
      </c>
      <c r="B303" s="578" t="s">
        <v>1663</v>
      </c>
      <c r="C303" s="513">
        <v>-21190.18</v>
      </c>
      <c r="D303" s="513">
        <v>-34953.29</v>
      </c>
      <c r="E303">
        <f>VLOOKUP(A303,Ucto_HK_summ!$A$2:H$966,7,FALSE)</f>
        <v>-21190.18</v>
      </c>
    </row>
    <row r="304" spans="1:5">
      <c r="A304" s="578" t="s">
        <v>1664</v>
      </c>
      <c r="B304" s="578" t="s">
        <v>1665</v>
      </c>
      <c r="C304" s="513">
        <v>-22937.67</v>
      </c>
      <c r="D304" s="513">
        <v>-10868.83</v>
      </c>
      <c r="E304">
        <f>VLOOKUP(A304,Ucto_HK_summ!$A$2:H$966,7,FALSE)</f>
        <v>-22937.67</v>
      </c>
    </row>
    <row r="305" spans="1:5">
      <c r="A305" s="578" t="s">
        <v>1666</v>
      </c>
      <c r="B305" s="578" t="s">
        <v>1667</v>
      </c>
      <c r="C305">
        <v>-169.7</v>
      </c>
      <c r="D305" s="513">
        <v>-660239.24</v>
      </c>
      <c r="E305">
        <f>VLOOKUP(A305,Ucto_HK_summ!$A$2:H$966,7,FALSE)</f>
        <v>-169.7</v>
      </c>
    </row>
    <row r="306" spans="1:5">
      <c r="A306" s="578" t="s">
        <v>1668</v>
      </c>
      <c r="B306" s="578" t="s">
        <v>1669</v>
      </c>
      <c r="C306" s="513">
        <v>-22715701.079999998</v>
      </c>
      <c r="D306" s="513">
        <v>-22596678.440000001</v>
      </c>
      <c r="E306">
        <f>VLOOKUP(A306,Ucto_HK_summ!$A$2:H$966,7,FALSE)</f>
        <v>-22715701.079999998</v>
      </c>
    </row>
    <row r="307" spans="1:5">
      <c r="A307" s="578" t="s">
        <v>1670</v>
      </c>
      <c r="B307" s="578" t="s">
        <v>1671</v>
      </c>
      <c r="C307" s="513">
        <v>-521871.77</v>
      </c>
      <c r="D307" s="513">
        <v>-521879.95</v>
      </c>
      <c r="E307">
        <f>VLOOKUP(A307,Ucto_HK_summ!$A$2:H$966,7,FALSE)</f>
        <v>-521871.77</v>
      </c>
    </row>
    <row r="308" spans="1:5">
      <c r="A308" s="578" t="s">
        <v>1672</v>
      </c>
      <c r="B308" s="578" t="s">
        <v>1673</v>
      </c>
      <c r="C308" s="513">
        <v>-1852890.7</v>
      </c>
      <c r="D308" s="513">
        <v>-6902760.9699999997</v>
      </c>
      <c r="E308">
        <f>VLOOKUP(A308,Ucto_HK_summ!$A$2:H$966,7,FALSE)</f>
        <v>-1852890.7</v>
      </c>
    </row>
    <row r="309" spans="1:5">
      <c r="A309" s="578" t="s">
        <v>1674</v>
      </c>
      <c r="C309" s="513">
        <v>-25152292.559999999</v>
      </c>
      <c r="D309" s="513">
        <v>-30864029.359999999</v>
      </c>
      <c r="E309">
        <f>VLOOKUP(A309,Ucto_HK_summ!$A$2:H$966,7,FALSE)</f>
        <v>-25152292.559999999</v>
      </c>
    </row>
    <row r="310" spans="1:5">
      <c r="A310" s="577" t="s">
        <v>1675</v>
      </c>
      <c r="C310" s="579">
        <v>-25270089.890000001</v>
      </c>
      <c r="D310" s="579">
        <v>-31144512.050000001</v>
      </c>
      <c r="E310">
        <f>VLOOKUP(A310,Ucto_HK_summ!$A$2:H$966,7,FALSE)</f>
        <v>-25270089.890000001</v>
      </c>
    </row>
    <row r="312" spans="1:5">
      <c r="A312" s="578" t="s">
        <v>2784</v>
      </c>
      <c r="B312" s="578" t="s">
        <v>240</v>
      </c>
      <c r="C312">
        <v>0</v>
      </c>
      <c r="D312" s="513">
        <v>2047.03</v>
      </c>
    </row>
    <row r="313" spans="1:5">
      <c r="A313" s="578" t="s">
        <v>1676</v>
      </c>
      <c r="B313" s="578" t="s">
        <v>1677</v>
      </c>
      <c r="C313" s="513">
        <v>18963.919999999998</v>
      </c>
      <c r="D313" s="513">
        <v>26868.02</v>
      </c>
      <c r="E313">
        <f>VLOOKUP(A313,Ucto_HK_summ!$A$2:H$966,7,FALSE)</f>
        <v>18963.919999999998</v>
      </c>
    </row>
    <row r="314" spans="1:5">
      <c r="A314" s="578" t="s">
        <v>1678</v>
      </c>
      <c r="C314" s="513">
        <v>18963.919999999998</v>
      </c>
      <c r="D314" s="513">
        <v>28915.05</v>
      </c>
      <c r="E314">
        <f>VLOOKUP(A314,Ucto_HK_summ!$A$2:H$966,7,FALSE)</f>
        <v>18963.919999999998</v>
      </c>
    </row>
    <row r="315" spans="1:5">
      <c r="A315" s="578" t="s">
        <v>2654</v>
      </c>
      <c r="B315" s="578" t="s">
        <v>2655</v>
      </c>
      <c r="C315">
        <v>0</v>
      </c>
      <c r="D315">
        <v>-387.29</v>
      </c>
      <c r="E315">
        <f>VLOOKUP(A315,Ucto_HK_summ!$A$2:H$966,7,FALSE)</f>
        <v>0</v>
      </c>
    </row>
    <row r="316" spans="1:5">
      <c r="A316" s="578" t="s">
        <v>2656</v>
      </c>
      <c r="C316">
        <v>0</v>
      </c>
      <c r="D316">
        <v>-387.29</v>
      </c>
      <c r="E316">
        <f>VLOOKUP(A316,Ucto_HK_summ!$A$2:H$966,7,FALSE)</f>
        <v>0</v>
      </c>
    </row>
    <row r="317" spans="1:5">
      <c r="A317" s="578" t="s">
        <v>1679</v>
      </c>
      <c r="B317" s="578" t="s">
        <v>1680</v>
      </c>
      <c r="C317" s="513">
        <v>-384259.41</v>
      </c>
      <c r="D317" s="513">
        <v>-415804.42</v>
      </c>
      <c r="E317">
        <f>VLOOKUP(A317,Ucto_HK_summ!$A$2:H$966,7,FALSE)</f>
        <v>-384259.41</v>
      </c>
    </row>
    <row r="318" spans="1:5">
      <c r="A318" s="578" t="s">
        <v>1681</v>
      </c>
      <c r="B318" s="578" t="s">
        <v>1682</v>
      </c>
      <c r="C318" s="513">
        <v>-6142.01</v>
      </c>
      <c r="D318" s="513">
        <v>-91806.87</v>
      </c>
      <c r="E318">
        <f>VLOOKUP(A318,Ucto_HK_summ!$A$2:H$966,7,FALSE)</f>
        <v>-6142.01</v>
      </c>
    </row>
    <row r="319" spans="1:5">
      <c r="A319" s="578" t="s">
        <v>2785</v>
      </c>
      <c r="B319" s="578" t="s">
        <v>2786</v>
      </c>
      <c r="C319">
        <v>0</v>
      </c>
      <c r="D319" s="513">
        <v>-19919.13</v>
      </c>
      <c r="E319">
        <f>VLOOKUP(A319,Ucto_HK_summ!$A$2:H$966,7,FALSE)</f>
        <v>0</v>
      </c>
    </row>
    <row r="320" spans="1:5">
      <c r="A320" s="578" t="s">
        <v>2787</v>
      </c>
      <c r="B320" s="578" t="s">
        <v>2788</v>
      </c>
      <c r="C320">
        <v>0</v>
      </c>
      <c r="D320" s="513">
        <v>-640355.59</v>
      </c>
      <c r="E320">
        <f>VLOOKUP(A320,Ucto_HK_summ!$A$2:H$966,7,FALSE)</f>
        <v>0</v>
      </c>
    </row>
    <row r="321" spans="1:5">
      <c r="A321" s="578" t="s">
        <v>2863</v>
      </c>
      <c r="B321" s="578" t="s">
        <v>2864</v>
      </c>
      <c r="C321">
        <v>0</v>
      </c>
      <c r="D321" s="513">
        <v>-320608.2</v>
      </c>
      <c r="E321">
        <f>VLOOKUP(A321,Ucto_HK_summ!$A$2:H$966,7,FALSE)</f>
        <v>0</v>
      </c>
    </row>
    <row r="322" spans="1:5">
      <c r="A322" s="578" t="s">
        <v>1683</v>
      </c>
      <c r="C322" s="513">
        <v>-390401.42</v>
      </c>
      <c r="D322" s="513">
        <v>-1488494.21</v>
      </c>
      <c r="E322">
        <f>VLOOKUP(A322,Ucto_HK_summ!$A$2:H$966,7,FALSE)</f>
        <v>-390401.42</v>
      </c>
    </row>
    <row r="323" spans="1:5">
      <c r="A323" s="578" t="s">
        <v>1684</v>
      </c>
      <c r="B323" s="578" t="s">
        <v>1685</v>
      </c>
      <c r="C323" s="513">
        <v>1603166.25</v>
      </c>
      <c r="D323" s="513">
        <v>2059841.93</v>
      </c>
      <c r="E323">
        <f>VLOOKUP(A323,Ucto_HK_summ!$A$2:H$966,7,FALSE)</f>
        <v>1603166.25</v>
      </c>
    </row>
    <row r="324" spans="1:5">
      <c r="A324" s="578" t="s">
        <v>1686</v>
      </c>
      <c r="C324" s="513">
        <v>1603166.25</v>
      </c>
      <c r="D324" s="513">
        <v>2059841.93</v>
      </c>
      <c r="E324">
        <f>VLOOKUP(A324,Ucto_HK_summ!$A$2:H$966,7,FALSE)</f>
        <v>1603166.25</v>
      </c>
    </row>
    <row r="325" spans="1:5">
      <c r="A325" s="577" t="s">
        <v>1687</v>
      </c>
      <c r="C325" s="579">
        <v>1231728.75</v>
      </c>
      <c r="D325" s="579">
        <v>599875.48</v>
      </c>
      <c r="E325">
        <f>VLOOKUP(A325,Ucto_HK_summ!$A$2:H$966,7,FALSE)</f>
        <v>1231728.75</v>
      </c>
    </row>
    <row r="327" spans="1:5">
      <c r="A327" s="578" t="s">
        <v>1688</v>
      </c>
      <c r="B327" s="578" t="s">
        <v>1689</v>
      </c>
      <c r="C327">
        <v>0</v>
      </c>
      <c r="D327" s="513">
        <v>-624850.84</v>
      </c>
      <c r="E327">
        <f>VLOOKUP(A327,Ucto_HK_summ!$A$2:H$966,7,FALSE)</f>
        <v>0</v>
      </c>
    </row>
    <row r="328" spans="1:5">
      <c r="A328" s="578" t="s">
        <v>1690</v>
      </c>
      <c r="B328" s="578" t="s">
        <v>1691</v>
      </c>
      <c r="C328" s="513">
        <v>-281965.09000000003</v>
      </c>
      <c r="D328" s="513">
        <v>-453333.84</v>
      </c>
      <c r="E328">
        <f>VLOOKUP(A328,Ucto_HK_summ!$A$2:H$966,7,FALSE)</f>
        <v>-281965.09000000003</v>
      </c>
    </row>
    <row r="329" spans="1:5">
      <c r="A329" s="578" t="s">
        <v>1692</v>
      </c>
      <c r="B329" s="578" t="s">
        <v>1693</v>
      </c>
      <c r="C329" s="513">
        <v>-12320.92</v>
      </c>
      <c r="D329" s="513">
        <v>-119976.6</v>
      </c>
      <c r="E329">
        <f>VLOOKUP(A329,Ucto_HK_summ!$A$2:H$966,7,FALSE)</f>
        <v>-12320.92</v>
      </c>
    </row>
    <row r="330" spans="1:5">
      <c r="A330" s="578" t="s">
        <v>2865</v>
      </c>
      <c r="B330" s="578" t="s">
        <v>2866</v>
      </c>
      <c r="C330">
        <v>0</v>
      </c>
      <c r="D330" s="513">
        <v>-1986.09</v>
      </c>
      <c r="E330">
        <f>VLOOKUP(A330,Ucto_HK_summ!$A$2:H$966,7,FALSE)</f>
        <v>0</v>
      </c>
    </row>
    <row r="331" spans="1:5">
      <c r="A331" s="578" t="s">
        <v>1694</v>
      </c>
      <c r="C331" s="513">
        <v>-294286.01</v>
      </c>
      <c r="D331" s="513">
        <v>-1200147.3700000001</v>
      </c>
      <c r="E331">
        <f>VLOOKUP(A331,Ucto_HK_summ!$A$2:H$966,7,FALSE)</f>
        <v>-294286.01</v>
      </c>
    </row>
    <row r="332" spans="1:5">
      <c r="A332" s="578" t="s">
        <v>1695</v>
      </c>
      <c r="B332" s="578" t="s">
        <v>1696</v>
      </c>
      <c r="C332">
        <v>0</v>
      </c>
      <c r="D332">
        <v>0</v>
      </c>
      <c r="E332">
        <f>VLOOKUP(A332,Ucto_HK_summ!$A$2:H$966,7,FALSE)</f>
        <v>0</v>
      </c>
    </row>
    <row r="333" spans="1:5">
      <c r="A333" s="578" t="s">
        <v>1697</v>
      </c>
      <c r="B333" s="578" t="s">
        <v>1698</v>
      </c>
      <c r="C333">
        <v>0</v>
      </c>
      <c r="D333">
        <v>0</v>
      </c>
      <c r="E333">
        <f>VLOOKUP(A333,Ucto_HK_summ!$A$2:H$966,7,FALSE)</f>
        <v>0</v>
      </c>
    </row>
    <row r="334" spans="1:5">
      <c r="A334" s="578" t="s">
        <v>1699</v>
      </c>
      <c r="B334" s="578" t="s">
        <v>1700</v>
      </c>
      <c r="C334">
        <v>0</v>
      </c>
      <c r="D334">
        <v>0</v>
      </c>
      <c r="E334">
        <f>VLOOKUP(A334,Ucto_HK_summ!$A$2:H$966,7,FALSE)</f>
        <v>0</v>
      </c>
    </row>
    <row r="335" spans="1:5">
      <c r="A335" s="578" t="s">
        <v>2867</v>
      </c>
      <c r="B335" s="578" t="s">
        <v>2868</v>
      </c>
      <c r="C335">
        <v>0</v>
      </c>
      <c r="D335">
        <v>0</v>
      </c>
      <c r="E335" t="e">
        <f>VLOOKUP(A335,Ucto_HK_summ!$A$2:H$966,7,FALSE)</f>
        <v>#N/A</v>
      </c>
    </row>
    <row r="336" spans="1:5">
      <c r="A336" s="578" t="s">
        <v>1701</v>
      </c>
      <c r="B336" s="578" t="s">
        <v>1702</v>
      </c>
      <c r="C336">
        <v>0</v>
      </c>
      <c r="D336">
        <v>0</v>
      </c>
      <c r="E336">
        <f>VLOOKUP(A336,Ucto_HK_summ!$A$2:H$966,7,FALSE)</f>
        <v>0</v>
      </c>
    </row>
    <row r="337" spans="1:5">
      <c r="A337" s="578" t="s">
        <v>2869</v>
      </c>
      <c r="B337" s="578" t="s">
        <v>2870</v>
      </c>
      <c r="C337">
        <v>0</v>
      </c>
      <c r="D337">
        <v>0</v>
      </c>
      <c r="E337" t="e">
        <f>VLOOKUP(A337,Ucto_HK_summ!$A$2:H$966,7,FALSE)</f>
        <v>#N/A</v>
      </c>
    </row>
    <row r="338" spans="1:5">
      <c r="A338" s="578" t="s">
        <v>1705</v>
      </c>
      <c r="B338" s="578" t="s">
        <v>1706</v>
      </c>
      <c r="C338">
        <v>0</v>
      </c>
      <c r="D338">
        <v>0</v>
      </c>
      <c r="E338">
        <f>VLOOKUP(A338,Ucto_HK_summ!$A$2:H$966,7,FALSE)</f>
        <v>0</v>
      </c>
    </row>
    <row r="339" spans="1:5">
      <c r="A339" s="578" t="s">
        <v>1707</v>
      </c>
      <c r="C339">
        <v>0</v>
      </c>
      <c r="D339">
        <v>0</v>
      </c>
      <c r="E339">
        <f>VLOOKUP(A339,Ucto_HK_summ!$A$2:H$966,7,FALSE)</f>
        <v>0</v>
      </c>
    </row>
    <row r="340" spans="1:5">
      <c r="A340" s="577" t="s">
        <v>1708</v>
      </c>
      <c r="C340" s="579">
        <v>-294286.01</v>
      </c>
      <c r="D340" s="579">
        <v>-1200147.3700000001</v>
      </c>
      <c r="E340">
        <f>VLOOKUP(A340,Ucto_HK_summ!$A$2:H$966,7,FALSE)</f>
        <v>-294286.01</v>
      </c>
    </row>
    <row r="342" spans="1:5">
      <c r="A342" s="577" t="s">
        <v>1709</v>
      </c>
      <c r="C342" s="579">
        <v>-172768202.38</v>
      </c>
      <c r="D342" s="579">
        <v>-211189042.27000001</v>
      </c>
      <c r="E342">
        <f>VLOOKUP(A342,Ucto_HK_summ!$A$2:H$966,7,FALSE)</f>
        <v>-172768202.38</v>
      </c>
    </row>
    <row r="345" spans="1:5">
      <c r="A345" s="578" t="s">
        <v>1710</v>
      </c>
      <c r="B345" s="578" t="s">
        <v>1711</v>
      </c>
      <c r="C345" s="513">
        <v>69911174.849999994</v>
      </c>
      <c r="D345" s="513">
        <v>95395229.810000002</v>
      </c>
      <c r="E345">
        <f>VLOOKUP(A345,Ucto_HK_summ!$A$2:H$966,7,FALSE)</f>
        <v>69911174.849999994</v>
      </c>
    </row>
    <row r="346" spans="1:5">
      <c r="A346" s="578" t="s">
        <v>1712</v>
      </c>
      <c r="C346" s="513">
        <v>69911174.849999994</v>
      </c>
      <c r="D346" s="513">
        <v>95395229.810000002</v>
      </c>
      <c r="E346">
        <f>VLOOKUP(A346,Ucto_HK_summ!$A$2:H$966,7,FALSE)</f>
        <v>69911174.849999994</v>
      </c>
    </row>
    <row r="347" spans="1:5">
      <c r="A347" s="577" t="s">
        <v>1713</v>
      </c>
      <c r="C347" s="579">
        <v>69911174.849999994</v>
      </c>
      <c r="D347" s="579">
        <v>95395229.810000002</v>
      </c>
      <c r="E347">
        <f>VLOOKUP(A347,Ucto_HK_summ!$A$2:H$966,7,FALSE)</f>
        <v>69911174.849999994</v>
      </c>
    </row>
    <row r="349" spans="1:5">
      <c r="A349" s="578" t="s">
        <v>1714</v>
      </c>
      <c r="B349" s="578" t="s">
        <v>1715</v>
      </c>
      <c r="C349" s="513">
        <v>25080301.079999998</v>
      </c>
      <c r="D349">
        <v>0</v>
      </c>
      <c r="E349">
        <f>VLOOKUP(A349,Ucto_HK_summ!$A$2:H$966,7,FALSE)</f>
        <v>0</v>
      </c>
    </row>
    <row r="350" spans="1:5">
      <c r="A350" s="578" t="s">
        <v>1716</v>
      </c>
      <c r="C350" s="513">
        <v>25080301.079999998</v>
      </c>
      <c r="D350">
        <v>0</v>
      </c>
      <c r="E350">
        <f>VLOOKUP(A350,Ucto_HK_summ!$A$2:H$966,7,FALSE)</f>
        <v>0</v>
      </c>
    </row>
    <row r="351" spans="1:5">
      <c r="A351" s="577" t="s">
        <v>1717</v>
      </c>
      <c r="C351" s="579">
        <v>25080301.079999998</v>
      </c>
      <c r="D351" s="369">
        <v>0</v>
      </c>
      <c r="E351">
        <f>VLOOKUP(A351,Ucto_HK_summ!$A$2:H$966,7,FALSE)</f>
        <v>0</v>
      </c>
    </row>
    <row r="353" spans="1:5">
      <c r="A353" s="578" t="s">
        <v>1718</v>
      </c>
      <c r="B353" s="578" t="s">
        <v>1719</v>
      </c>
      <c r="C353" s="513">
        <v>-121526.14</v>
      </c>
      <c r="D353" s="513">
        <v>-121526.14</v>
      </c>
      <c r="E353">
        <f>VLOOKUP(A353,Ucto_HK_summ!$A$2:H$966,7,FALSE)</f>
        <v>-107654.27</v>
      </c>
    </row>
    <row r="354" spans="1:5">
      <c r="A354" s="578" t="s">
        <v>1720</v>
      </c>
      <c r="B354" s="578" t="s">
        <v>1721</v>
      </c>
      <c r="C354">
        <v>0</v>
      </c>
      <c r="D354" s="513">
        <v>-989598.25</v>
      </c>
      <c r="E354">
        <f>VLOOKUP(A354,Ucto_HK_summ!$A$2:H$966,7,FALSE)</f>
        <v>-763600.97</v>
      </c>
    </row>
    <row r="355" spans="1:5">
      <c r="A355" s="578" t="s">
        <v>1722</v>
      </c>
      <c r="B355" s="578" t="s">
        <v>1723</v>
      </c>
      <c r="C355">
        <v>0</v>
      </c>
      <c r="D355" s="550">
        <v>4660</v>
      </c>
      <c r="E355">
        <f>VLOOKUP(A355,Ucto_HK_summ!$A$2:H$966,7,FALSE)</f>
        <v>2500</v>
      </c>
    </row>
    <row r="356" spans="1:5">
      <c r="A356" s="578" t="s">
        <v>1724</v>
      </c>
      <c r="B356" s="578" t="s">
        <v>1725</v>
      </c>
      <c r="C356">
        <v>0</v>
      </c>
      <c r="D356" s="513">
        <v>49584.99</v>
      </c>
      <c r="E356">
        <f>VLOOKUP(A356,Ucto_HK_summ!$A$2:H$966,7,FALSE)</f>
        <v>44270</v>
      </c>
    </row>
    <row r="357" spans="1:5">
      <c r="A357" s="578" t="s">
        <v>1726</v>
      </c>
      <c r="B357" s="578" t="s">
        <v>1727</v>
      </c>
      <c r="C357">
        <v>0</v>
      </c>
      <c r="D357" s="513">
        <v>777236.02</v>
      </c>
      <c r="E357">
        <f>VLOOKUP(A357,Ucto_HK_summ!$A$2:H$966,7,FALSE)</f>
        <v>651938.30000000005</v>
      </c>
    </row>
    <row r="358" spans="1:5">
      <c r="A358" s="578" t="s">
        <v>1728</v>
      </c>
      <c r="B358" s="578" t="s">
        <v>1729</v>
      </c>
      <c r="C358">
        <v>0</v>
      </c>
      <c r="D358" s="513">
        <v>47970.8</v>
      </c>
      <c r="E358">
        <f>VLOOKUP(A358,Ucto_HK_summ!$A$2:H$966,7,FALSE)</f>
        <v>51020.800000000003</v>
      </c>
    </row>
    <row r="359" spans="1:5">
      <c r="A359" s="578" t="s">
        <v>1730</v>
      </c>
      <c r="C359" s="513">
        <v>-121526.14</v>
      </c>
      <c r="D359" s="513">
        <v>-231672.58</v>
      </c>
      <c r="E359">
        <f>VLOOKUP(A359,Ucto_HK_summ!$A$2:H$966,7,FALSE)</f>
        <v>-121526.14</v>
      </c>
    </row>
    <row r="360" spans="1:5">
      <c r="A360" s="578" t="s">
        <v>1731</v>
      </c>
      <c r="B360" s="578" t="s">
        <v>1732</v>
      </c>
      <c r="C360" s="513">
        <v>-196412.08</v>
      </c>
      <c r="D360" s="513">
        <v>-131807.44</v>
      </c>
      <c r="E360">
        <f>VLOOKUP(A360,Ucto_HK_summ!$A$2:H$966,7,FALSE)</f>
        <v>-196412.08</v>
      </c>
    </row>
    <row r="361" spans="1:5">
      <c r="A361" s="578" t="s">
        <v>1733</v>
      </c>
      <c r="C361" s="513">
        <v>-196412.08</v>
      </c>
      <c r="D361" s="513">
        <v>-131807.44</v>
      </c>
      <c r="E361">
        <f>VLOOKUP(A361,Ucto_HK_summ!$A$2:H$966,7,FALSE)</f>
        <v>-196412.08</v>
      </c>
    </row>
    <row r="362" spans="1:5">
      <c r="A362" s="577" t="s">
        <v>1734</v>
      </c>
      <c r="C362" s="579">
        <v>-317938.21999999997</v>
      </c>
      <c r="D362" s="579">
        <v>-363480.02</v>
      </c>
      <c r="E362">
        <f>VLOOKUP(A362,Ucto_HK_summ!$A$2:H$966,7,FALSE)</f>
        <v>-317938.21999999997</v>
      </c>
    </row>
    <row r="364" spans="1:5">
      <c r="A364" s="577" t="s">
        <v>1735</v>
      </c>
      <c r="C364" s="579">
        <v>94673537.709999993</v>
      </c>
      <c r="D364" s="579">
        <v>95031749.790000007</v>
      </c>
      <c r="E364">
        <f>VLOOKUP(A364,Ucto_HK_summ!$A$2:H$966,7,FALSE)</f>
        <v>69593236.629999995</v>
      </c>
    </row>
    <row r="367" spans="1:5">
      <c r="A367" s="578" t="s">
        <v>1736</v>
      </c>
      <c r="B367" s="578" t="s">
        <v>1737</v>
      </c>
      <c r="C367">
        <v>0</v>
      </c>
      <c r="D367" s="513">
        <v>846440.71</v>
      </c>
      <c r="E367">
        <f>VLOOKUP(A367,Ucto_HK_summ!$A$2:H$966,7,FALSE)</f>
        <v>381555.88</v>
      </c>
    </row>
    <row r="368" spans="1:5">
      <c r="A368" s="578" t="s">
        <v>1738</v>
      </c>
      <c r="B368" s="578" t="s">
        <v>1739</v>
      </c>
      <c r="C368">
        <v>0</v>
      </c>
      <c r="D368" s="513">
        <v>1685043.1</v>
      </c>
      <c r="E368">
        <f>VLOOKUP(A368,Ucto_HK_summ!$A$2:H$966,7,FALSE)</f>
        <v>1557902.81</v>
      </c>
    </row>
    <row r="369" spans="1:5">
      <c r="A369" s="578" t="s">
        <v>1740</v>
      </c>
      <c r="B369" s="578" t="s">
        <v>1741</v>
      </c>
      <c r="C369">
        <v>0</v>
      </c>
      <c r="D369" s="513">
        <v>133703.19</v>
      </c>
      <c r="E369">
        <f>VLOOKUP(A369,Ucto_HK_summ!$A$2:H$966,7,FALSE)</f>
        <v>145697.67000000001</v>
      </c>
    </row>
    <row r="370" spans="1:5">
      <c r="A370" s="578" t="s">
        <v>1742</v>
      </c>
      <c r="B370" s="578" t="s">
        <v>1743</v>
      </c>
      <c r="C370">
        <v>0</v>
      </c>
      <c r="D370" s="513">
        <v>15724.26</v>
      </c>
      <c r="E370">
        <f>VLOOKUP(A370,Ucto_HK_summ!$A$2:H$966,7,FALSE)</f>
        <v>14984.79</v>
      </c>
    </row>
    <row r="371" spans="1:5">
      <c r="A371" s="578" t="s">
        <v>1744</v>
      </c>
      <c r="B371" s="578" t="s">
        <v>1745</v>
      </c>
      <c r="C371">
        <v>0</v>
      </c>
      <c r="D371" s="513">
        <v>12095.76</v>
      </c>
      <c r="E371">
        <f>VLOOKUP(A371,Ucto_HK_summ!$A$2:H$966,7,FALSE)</f>
        <v>9610.0300000000007</v>
      </c>
    </row>
    <row r="372" spans="1:5">
      <c r="A372" s="578" t="s">
        <v>1746</v>
      </c>
      <c r="B372" s="578" t="s">
        <v>1747</v>
      </c>
      <c r="C372">
        <v>0</v>
      </c>
      <c r="D372" s="513">
        <v>159700.15</v>
      </c>
      <c r="E372">
        <f>VLOOKUP(A372,Ucto_HK_summ!$A$2:H$966,7,FALSE)</f>
        <v>186068.53</v>
      </c>
    </row>
    <row r="373" spans="1:5">
      <c r="A373" s="578" t="s">
        <v>1748</v>
      </c>
      <c r="B373" s="578" t="s">
        <v>1749</v>
      </c>
      <c r="C373">
        <v>0</v>
      </c>
      <c r="D373" s="513">
        <v>2325935.19</v>
      </c>
      <c r="E373">
        <f>VLOOKUP(A373,Ucto_HK_summ!$A$2:H$966,7,FALSE)</f>
        <v>2277529.0699999998</v>
      </c>
    </row>
    <row r="374" spans="1:5">
      <c r="A374" s="578" t="s">
        <v>1750</v>
      </c>
      <c r="B374" s="578" t="s">
        <v>1751</v>
      </c>
      <c r="C374">
        <v>0</v>
      </c>
      <c r="D374" s="513">
        <v>7585677.2999999998</v>
      </c>
      <c r="E374">
        <f>VLOOKUP(A374,Ucto_HK_summ!$A$2:H$966,7,FALSE)</f>
        <v>4311918.1399999997</v>
      </c>
    </row>
    <row r="375" spans="1:5">
      <c r="A375" s="578" t="s">
        <v>1752</v>
      </c>
      <c r="B375" s="578" t="s">
        <v>1753</v>
      </c>
      <c r="C375">
        <v>0</v>
      </c>
      <c r="D375" s="513">
        <v>165483.42000000001</v>
      </c>
      <c r="E375">
        <f>VLOOKUP(A375,Ucto_HK_summ!$A$2:H$966,7,FALSE)</f>
        <v>249988.88</v>
      </c>
    </row>
    <row r="376" spans="1:5">
      <c r="A376" s="578" t="s">
        <v>1754</v>
      </c>
      <c r="B376" s="578" t="s">
        <v>1755</v>
      </c>
      <c r="C376">
        <v>0</v>
      </c>
      <c r="D376" s="513">
        <v>421930.05</v>
      </c>
      <c r="E376">
        <f>VLOOKUP(A376,Ucto_HK_summ!$A$2:H$966,7,FALSE)</f>
        <v>496363.45</v>
      </c>
    </row>
    <row r="377" spans="1:5">
      <c r="A377" s="578" t="s">
        <v>1756</v>
      </c>
      <c r="B377" s="578" t="s">
        <v>1757</v>
      </c>
      <c r="C377">
        <v>0</v>
      </c>
      <c r="D377" s="513">
        <v>1773.39</v>
      </c>
      <c r="E377">
        <f>VLOOKUP(A377,Ucto_HK_summ!$A$2:H$966,7,FALSE)</f>
        <v>592.75</v>
      </c>
    </row>
    <row r="378" spans="1:5">
      <c r="A378" s="578" t="s">
        <v>1758</v>
      </c>
      <c r="B378" s="578" t="s">
        <v>1759</v>
      </c>
      <c r="C378">
        <v>0</v>
      </c>
      <c r="D378" s="513">
        <v>76783.44</v>
      </c>
      <c r="E378">
        <f>VLOOKUP(A378,Ucto_HK_summ!$A$2:H$966,7,FALSE)</f>
        <v>75528.47</v>
      </c>
    </row>
    <row r="379" spans="1:5">
      <c r="A379" s="578" t="s">
        <v>1760</v>
      </c>
      <c r="B379" s="578" t="s">
        <v>1761</v>
      </c>
      <c r="C379">
        <v>0</v>
      </c>
      <c r="D379" s="513">
        <v>567735.85</v>
      </c>
      <c r="E379">
        <f>VLOOKUP(A379,Ucto_HK_summ!$A$2:H$966,7,FALSE)</f>
        <v>929180.11</v>
      </c>
    </row>
    <row r="380" spans="1:5">
      <c r="A380" s="578" t="s">
        <v>1762</v>
      </c>
      <c r="B380" s="578" t="s">
        <v>1763</v>
      </c>
      <c r="C380">
        <v>0</v>
      </c>
      <c r="D380" s="513">
        <v>5834484.6299999999</v>
      </c>
      <c r="E380">
        <f>VLOOKUP(A380,Ucto_HK_summ!$A$2:H$966,7,FALSE)</f>
        <v>4423164.33</v>
      </c>
    </row>
    <row r="381" spans="1:5">
      <c r="A381" s="578" t="s">
        <v>1764</v>
      </c>
      <c r="B381" s="578" t="s">
        <v>1765</v>
      </c>
      <c r="C381">
        <v>0</v>
      </c>
      <c r="D381" s="513">
        <v>109711.09</v>
      </c>
      <c r="E381">
        <f>VLOOKUP(A381,Ucto_HK_summ!$A$2:H$966,7,FALSE)</f>
        <v>107540.96</v>
      </c>
    </row>
    <row r="382" spans="1:5">
      <c r="A382" s="578" t="s">
        <v>1766</v>
      </c>
      <c r="B382" s="578" t="s">
        <v>1767</v>
      </c>
      <c r="C382">
        <v>0</v>
      </c>
      <c r="D382" s="513">
        <v>193858.39</v>
      </c>
      <c r="E382">
        <f>VLOOKUP(A382,Ucto_HK_summ!$A$2:H$966,7,FALSE)</f>
        <v>234111.8</v>
      </c>
    </row>
    <row r="383" spans="1:5">
      <c r="A383" s="578" t="s">
        <v>1768</v>
      </c>
      <c r="B383" s="578" t="s">
        <v>1769</v>
      </c>
      <c r="C383">
        <v>0</v>
      </c>
      <c r="D383" s="513">
        <v>444697.77</v>
      </c>
      <c r="E383">
        <f>VLOOKUP(A383,Ucto_HK_summ!$A$2:H$966,7,FALSE)</f>
        <v>199841.62</v>
      </c>
    </row>
    <row r="384" spans="1:5">
      <c r="A384" s="578" t="s">
        <v>1770</v>
      </c>
      <c r="B384" s="578" t="s">
        <v>1771</v>
      </c>
      <c r="C384">
        <v>0</v>
      </c>
      <c r="D384">
        <v>520.71</v>
      </c>
      <c r="E384">
        <f>VLOOKUP(A384,Ucto_HK_summ!$A$2:H$966,7,FALSE)</f>
        <v>883.54</v>
      </c>
    </row>
    <row r="385" spans="1:5">
      <c r="A385" s="578" t="s">
        <v>1772</v>
      </c>
      <c r="B385" s="578" t="s">
        <v>1773</v>
      </c>
      <c r="C385">
        <v>0</v>
      </c>
      <c r="D385" s="513">
        <v>42344.07</v>
      </c>
      <c r="E385">
        <f>VLOOKUP(A385,Ucto_HK_summ!$A$2:H$966,7,FALSE)</f>
        <v>38013.53</v>
      </c>
    </row>
    <row r="386" spans="1:5">
      <c r="A386" s="578" t="s">
        <v>1774</v>
      </c>
      <c r="B386" s="578" t="s">
        <v>1775</v>
      </c>
      <c r="C386">
        <v>0</v>
      </c>
      <c r="D386" s="513">
        <v>19118.59</v>
      </c>
      <c r="E386">
        <f>VLOOKUP(A386,Ucto_HK_summ!$A$2:H$966,7,FALSE)</f>
        <v>86111.18</v>
      </c>
    </row>
    <row r="387" spans="1:5">
      <c r="A387" s="578" t="s">
        <v>1776</v>
      </c>
      <c r="B387" s="578" t="s">
        <v>1292</v>
      </c>
      <c r="C387">
        <v>0</v>
      </c>
      <c r="D387" s="513">
        <v>2001749.67</v>
      </c>
      <c r="E387">
        <f>VLOOKUP(A387,Ucto_HK_summ!$A$2:H$966,7,FALSE)</f>
        <v>1843687.9</v>
      </c>
    </row>
    <row r="388" spans="1:5">
      <c r="A388" s="578" t="s">
        <v>1777</v>
      </c>
      <c r="B388" s="578" t="s">
        <v>1778</v>
      </c>
      <c r="C388">
        <v>0</v>
      </c>
      <c r="D388" s="513">
        <v>4007271.44</v>
      </c>
      <c r="E388">
        <f>VLOOKUP(A388,Ucto_HK_summ!$A$2:H$966,7,FALSE)</f>
        <v>4106303.69</v>
      </c>
    </row>
    <row r="389" spans="1:5">
      <c r="A389" s="578" t="s">
        <v>1779</v>
      </c>
      <c r="B389" s="578" t="s">
        <v>1780</v>
      </c>
      <c r="C389">
        <v>0</v>
      </c>
      <c r="D389" s="513">
        <v>7708943.2300000004</v>
      </c>
      <c r="E389">
        <f>VLOOKUP(A389,Ucto_HK_summ!$A$2:H$966,7,FALSE)</f>
        <v>7683526.0800000001</v>
      </c>
    </row>
    <row r="390" spans="1:5">
      <c r="A390" s="578" t="s">
        <v>1781</v>
      </c>
      <c r="B390" s="578" t="s">
        <v>1782</v>
      </c>
      <c r="C390">
        <v>0</v>
      </c>
      <c r="D390">
        <v>413.2</v>
      </c>
      <c r="E390">
        <f>VLOOKUP(A390,Ucto_HK_summ!$A$2:H$966,7,FALSE)</f>
        <v>2442.6999999999998</v>
      </c>
    </row>
    <row r="391" spans="1:5">
      <c r="A391" s="578" t="s">
        <v>1783</v>
      </c>
      <c r="B391" s="578" t="s">
        <v>1784</v>
      </c>
      <c r="C391">
        <v>0</v>
      </c>
      <c r="D391" s="513">
        <v>112469.46</v>
      </c>
      <c r="E391">
        <f>VLOOKUP(A391,Ucto_HK_summ!$A$2:H$966,7,FALSE)</f>
        <v>188858.14</v>
      </c>
    </row>
    <row r="392" spans="1:5">
      <c r="A392" s="578" t="s">
        <v>2708</v>
      </c>
      <c r="B392" s="578" t="s">
        <v>1798</v>
      </c>
      <c r="C392">
        <v>0</v>
      </c>
      <c r="D392">
        <v>0</v>
      </c>
      <c r="E392">
        <f>VLOOKUP(A392,Ucto_HK_summ!$A$2:H$966,7,FALSE)</f>
        <v>0</v>
      </c>
    </row>
    <row r="393" spans="1:5">
      <c r="A393" s="578" t="s">
        <v>1785</v>
      </c>
      <c r="B393" s="578" t="s">
        <v>1786</v>
      </c>
      <c r="C393">
        <v>0</v>
      </c>
      <c r="D393" s="513">
        <v>1678376.03</v>
      </c>
      <c r="E393">
        <f>VLOOKUP(A393,Ucto_HK_summ!$A$2:H$966,7,FALSE)</f>
        <v>1673402.14</v>
      </c>
    </row>
    <row r="394" spans="1:5">
      <c r="A394" s="578" t="s">
        <v>1787</v>
      </c>
      <c r="B394" s="578" t="s">
        <v>1788</v>
      </c>
      <c r="C394">
        <v>0</v>
      </c>
      <c r="D394" s="513">
        <v>634568.16</v>
      </c>
      <c r="E394">
        <f>VLOOKUP(A394,Ucto_HK_summ!$A$2:H$966,7,FALSE)</f>
        <v>709901.74</v>
      </c>
    </row>
    <row r="395" spans="1:5">
      <c r="A395" s="578" t="s">
        <v>1789</v>
      </c>
      <c r="B395" s="578" t="s">
        <v>1790</v>
      </c>
      <c r="C395">
        <v>0</v>
      </c>
      <c r="D395" s="513">
        <v>364917.15</v>
      </c>
      <c r="E395">
        <f>VLOOKUP(A395,Ucto_HK_summ!$A$2:H$966,7,FALSE)</f>
        <v>330320.57</v>
      </c>
    </row>
    <row r="396" spans="1:5">
      <c r="A396" s="578" t="s">
        <v>1791</v>
      </c>
      <c r="B396" s="578" t="s">
        <v>1778</v>
      </c>
      <c r="C396">
        <v>0</v>
      </c>
      <c r="D396" s="513">
        <v>88989.16</v>
      </c>
      <c r="E396">
        <f>VLOOKUP(A396,Ucto_HK_summ!$A$2:H$966,7,FALSE)</f>
        <v>69302.59</v>
      </c>
    </row>
    <row r="397" spans="1:5">
      <c r="A397" s="578" t="s">
        <v>1792</v>
      </c>
      <c r="B397" s="578" t="s">
        <v>1780</v>
      </c>
      <c r="C397">
        <v>0</v>
      </c>
      <c r="D397" s="513">
        <v>315957.40999999997</v>
      </c>
      <c r="E397">
        <f>VLOOKUP(A397,Ucto_HK_summ!$A$2:H$966,7,FALSE)</f>
        <v>92221.7</v>
      </c>
    </row>
    <row r="398" spans="1:5">
      <c r="A398" s="578" t="s">
        <v>1793</v>
      </c>
      <c r="B398" s="578" t="s">
        <v>1794</v>
      </c>
      <c r="C398">
        <v>0</v>
      </c>
      <c r="D398" s="513">
        <v>136646.46</v>
      </c>
      <c r="E398">
        <f>VLOOKUP(A398,Ucto_HK_summ!$A$2:H$966,7,FALSE)</f>
        <v>169228.61</v>
      </c>
    </row>
    <row r="399" spans="1:5">
      <c r="A399" s="578" t="s">
        <v>1795</v>
      </c>
      <c r="B399" s="578" t="s">
        <v>1782</v>
      </c>
      <c r="C399">
        <v>0</v>
      </c>
      <c r="D399" s="513">
        <v>58081.84</v>
      </c>
      <c r="E399">
        <f>VLOOKUP(A399,Ucto_HK_summ!$A$2:H$966,7,FALSE)</f>
        <v>123821.11</v>
      </c>
    </row>
    <row r="400" spans="1:5">
      <c r="A400" s="578" t="s">
        <v>1796</v>
      </c>
      <c r="B400" s="578" t="s">
        <v>1784</v>
      </c>
      <c r="C400">
        <v>0</v>
      </c>
      <c r="D400">
        <v>477.6</v>
      </c>
      <c r="E400">
        <f>VLOOKUP(A400,Ucto_HK_summ!$A$2:H$966,7,FALSE)</f>
        <v>90420.62</v>
      </c>
    </row>
    <row r="401" spans="1:5">
      <c r="A401" s="578" t="s">
        <v>1797</v>
      </c>
      <c r="B401" s="578" t="s">
        <v>1798</v>
      </c>
      <c r="C401">
        <v>0</v>
      </c>
      <c r="D401" s="513">
        <v>21865.48</v>
      </c>
      <c r="E401">
        <f>VLOOKUP(A401,Ucto_HK_summ!$A$2:H$966,7,FALSE)</f>
        <v>8136.92</v>
      </c>
    </row>
    <row r="402" spans="1:5">
      <c r="A402" s="578" t="s">
        <v>1799</v>
      </c>
      <c r="B402" s="578" t="s">
        <v>1800</v>
      </c>
      <c r="C402">
        <v>0</v>
      </c>
      <c r="D402" s="513">
        <v>6944455.1799999997</v>
      </c>
      <c r="E402">
        <f>VLOOKUP(A402,Ucto_HK_summ!$A$2:H$966,7,FALSE)</f>
        <v>5243009.3600000003</v>
      </c>
    </row>
    <row r="403" spans="1:5">
      <c r="A403" s="578" t="s">
        <v>1801</v>
      </c>
      <c r="B403" s="578" t="s">
        <v>1802</v>
      </c>
      <c r="C403">
        <v>0</v>
      </c>
      <c r="D403" s="513">
        <v>1985250.52</v>
      </c>
      <c r="E403">
        <f>VLOOKUP(A403,Ucto_HK_summ!$A$2:H$966,7,FALSE)</f>
        <v>1321682.1100000001</v>
      </c>
    </row>
    <row r="404" spans="1:5">
      <c r="A404" s="578" t="s">
        <v>1803</v>
      </c>
      <c r="B404" s="578" t="s">
        <v>1804</v>
      </c>
      <c r="C404">
        <v>0</v>
      </c>
      <c r="D404" s="513">
        <v>3619.21</v>
      </c>
      <c r="E404">
        <f>VLOOKUP(A404,Ucto_HK_summ!$A$2:H$966,7,FALSE)</f>
        <v>4316.83</v>
      </c>
    </row>
    <row r="405" spans="1:5">
      <c r="A405" s="578" t="s">
        <v>1805</v>
      </c>
      <c r="B405" s="578" t="s">
        <v>1806</v>
      </c>
      <c r="C405">
        <v>0</v>
      </c>
      <c r="D405" s="513">
        <v>47390.44</v>
      </c>
      <c r="E405">
        <f>VLOOKUP(A405,Ucto_HK_summ!$A$2:H$966,7,FALSE)</f>
        <v>51290.39</v>
      </c>
    </row>
    <row r="406" spans="1:5">
      <c r="A406" s="578" t="s">
        <v>1807</v>
      </c>
      <c r="B406" s="578" t="s">
        <v>1808</v>
      </c>
      <c r="C406">
        <v>0</v>
      </c>
      <c r="D406" s="513">
        <v>399972.47</v>
      </c>
      <c r="E406">
        <f>VLOOKUP(A406,Ucto_HK_summ!$A$2:H$966,7,FALSE)</f>
        <v>203097.46</v>
      </c>
    </row>
    <row r="407" spans="1:5">
      <c r="A407" s="578" t="s">
        <v>1809</v>
      </c>
      <c r="B407" s="578" t="s">
        <v>1810</v>
      </c>
      <c r="C407">
        <v>0</v>
      </c>
      <c r="D407" s="513">
        <v>273974.86</v>
      </c>
      <c r="E407">
        <f>VLOOKUP(A407,Ucto_HK_summ!$A$2:H$966,7,FALSE)</f>
        <v>288960.03999999998</v>
      </c>
    </row>
    <row r="408" spans="1:5">
      <c r="A408" s="578" t="s">
        <v>1811</v>
      </c>
      <c r="B408" s="578" t="s">
        <v>1812</v>
      </c>
      <c r="C408">
        <v>0</v>
      </c>
      <c r="D408" s="513">
        <v>344306.76</v>
      </c>
      <c r="E408">
        <f>VLOOKUP(A408,Ucto_HK_summ!$A$2:H$966,7,FALSE)</f>
        <v>316377.75</v>
      </c>
    </row>
    <row r="409" spans="1:5">
      <c r="A409" s="578" t="s">
        <v>1813</v>
      </c>
      <c r="B409" s="578" t="s">
        <v>1814</v>
      </c>
      <c r="C409">
        <v>0</v>
      </c>
      <c r="D409" s="513">
        <v>114986.37</v>
      </c>
      <c r="E409">
        <f>VLOOKUP(A409,Ucto_HK_summ!$A$2:H$966,7,FALSE)</f>
        <v>79490.820000000007</v>
      </c>
    </row>
    <row r="410" spans="1:5">
      <c r="A410" s="578" t="s">
        <v>1815</v>
      </c>
      <c r="B410" s="578" t="s">
        <v>1816</v>
      </c>
      <c r="C410">
        <v>0</v>
      </c>
      <c r="D410" s="513">
        <v>132365.43</v>
      </c>
      <c r="E410">
        <f>VLOOKUP(A410,Ucto_HK_summ!$A$2:H$966,7,FALSE)</f>
        <v>95432.52</v>
      </c>
    </row>
    <row r="411" spans="1:5">
      <c r="A411" s="578" t="s">
        <v>1817</v>
      </c>
      <c r="B411" s="578" t="s">
        <v>1818</v>
      </c>
      <c r="C411">
        <v>0</v>
      </c>
      <c r="D411" s="513">
        <v>19385.599999999999</v>
      </c>
      <c r="E411">
        <f>VLOOKUP(A411,Ucto_HK_summ!$A$2:H$966,7,FALSE)</f>
        <v>281.52</v>
      </c>
    </row>
    <row r="412" spans="1:5">
      <c r="A412" s="578" t="s">
        <v>1819</v>
      </c>
      <c r="B412" s="578" t="s">
        <v>1820</v>
      </c>
      <c r="C412">
        <v>0</v>
      </c>
      <c r="D412" s="513">
        <v>7933.43</v>
      </c>
      <c r="E412">
        <f>VLOOKUP(A412,Ucto_HK_summ!$A$2:H$966,7,FALSE)</f>
        <v>681.73</v>
      </c>
    </row>
    <row r="413" spans="1:5">
      <c r="A413" s="578" t="s">
        <v>1821</v>
      </c>
      <c r="B413" s="578" t="s">
        <v>1822</v>
      </c>
      <c r="C413">
        <v>0</v>
      </c>
      <c r="D413">
        <v>42.93</v>
      </c>
      <c r="E413">
        <f>VLOOKUP(A413,Ucto_HK_summ!$A$2:H$966,7,FALSE)</f>
        <v>41.37</v>
      </c>
    </row>
    <row r="414" spans="1:5">
      <c r="A414" s="578" t="s">
        <v>1823</v>
      </c>
      <c r="B414" s="578" t="s">
        <v>1824</v>
      </c>
      <c r="C414">
        <v>0</v>
      </c>
      <c r="D414" s="513">
        <v>163748.28</v>
      </c>
      <c r="E414">
        <f>VLOOKUP(A414,Ucto_HK_summ!$A$2:H$966,7,FALSE)</f>
        <v>120516.59</v>
      </c>
    </row>
    <row r="415" spans="1:5">
      <c r="A415" s="578" t="s">
        <v>1825</v>
      </c>
      <c r="B415" s="578" t="s">
        <v>1826</v>
      </c>
      <c r="C415">
        <v>0</v>
      </c>
      <c r="D415" s="513">
        <v>440143.29</v>
      </c>
      <c r="E415">
        <f>VLOOKUP(A415,Ucto_HK_summ!$A$2:H$966,7,FALSE)</f>
        <v>444884.27</v>
      </c>
    </row>
    <row r="416" spans="1:5">
      <c r="A416" s="578" t="s">
        <v>1827</v>
      </c>
      <c r="B416" s="578" t="s">
        <v>226</v>
      </c>
      <c r="C416">
        <v>0</v>
      </c>
      <c r="D416" s="513">
        <v>87978.47</v>
      </c>
      <c r="E416">
        <f>VLOOKUP(A416,Ucto_HK_summ!$A$2:H$966,7,FALSE)</f>
        <v>82735.210000000006</v>
      </c>
    </row>
    <row r="417" spans="1:5">
      <c r="A417" s="578" t="s">
        <v>1828</v>
      </c>
      <c r="B417" s="578" t="s">
        <v>1829</v>
      </c>
      <c r="C417">
        <v>0</v>
      </c>
      <c r="D417" s="513">
        <v>48012.56</v>
      </c>
      <c r="E417">
        <f>VLOOKUP(A417,Ucto_HK_summ!$A$2:H$966,7,FALSE)</f>
        <v>60407.32</v>
      </c>
    </row>
    <row r="418" spans="1:5">
      <c r="A418" s="578" t="s">
        <v>1830</v>
      </c>
      <c r="B418" s="578" t="s">
        <v>1831</v>
      </c>
      <c r="C418">
        <v>0</v>
      </c>
      <c r="D418">
        <v>85</v>
      </c>
      <c r="E418">
        <f>VLOOKUP(A418,Ucto_HK_summ!$A$2:H$966,7,FALSE)</f>
        <v>23.5</v>
      </c>
    </row>
    <row r="419" spans="1:5">
      <c r="A419" s="578" t="s">
        <v>1832</v>
      </c>
      <c r="B419" s="578" t="s">
        <v>1833</v>
      </c>
      <c r="C419">
        <v>0</v>
      </c>
      <c r="D419">
        <v>852.94</v>
      </c>
      <c r="E419">
        <f>VLOOKUP(A419,Ucto_HK_summ!$A$2:H$966,7,FALSE)</f>
        <v>1010.35</v>
      </c>
    </row>
    <row r="420" spans="1:5">
      <c r="A420" s="578" t="s">
        <v>1834</v>
      </c>
      <c r="B420" s="578" t="s">
        <v>1835</v>
      </c>
      <c r="C420">
        <v>0</v>
      </c>
      <c r="D420" s="513">
        <v>2046.76</v>
      </c>
      <c r="E420">
        <f>VLOOKUP(A420,Ucto_HK_summ!$A$2:H$966,7,FALSE)</f>
        <v>368.3</v>
      </c>
    </row>
    <row r="421" spans="1:5">
      <c r="A421" s="578" t="s">
        <v>1836</v>
      </c>
      <c r="B421" s="578" t="s">
        <v>1837</v>
      </c>
      <c r="C421">
        <v>0</v>
      </c>
      <c r="D421" s="513">
        <v>19389.12</v>
      </c>
      <c r="E421">
        <f>VLOOKUP(A421,Ucto_HK_summ!$A$2:H$966,7,FALSE)</f>
        <v>31572.720000000001</v>
      </c>
    </row>
    <row r="422" spans="1:5">
      <c r="A422" s="578" t="s">
        <v>1838</v>
      </c>
      <c r="B422" s="578" t="s">
        <v>1839</v>
      </c>
      <c r="C422">
        <v>0</v>
      </c>
      <c r="D422" s="513">
        <v>12928.81</v>
      </c>
      <c r="E422">
        <f>VLOOKUP(A422,Ucto_HK_summ!$A$2:H$966,7,FALSE)</f>
        <v>11192.61</v>
      </c>
    </row>
    <row r="423" spans="1:5">
      <c r="A423" s="578" t="s">
        <v>1840</v>
      </c>
      <c r="B423" s="578" t="s">
        <v>1841</v>
      </c>
      <c r="C423">
        <v>0</v>
      </c>
      <c r="D423" s="513">
        <v>59626.23</v>
      </c>
      <c r="E423">
        <f>VLOOKUP(A423,Ucto_HK_summ!$A$2:H$966,7,FALSE)</f>
        <v>58294</v>
      </c>
    </row>
    <row r="424" spans="1:5">
      <c r="A424" s="578" t="s">
        <v>1842</v>
      </c>
      <c r="B424" s="578" t="s">
        <v>1843</v>
      </c>
      <c r="C424">
        <v>0</v>
      </c>
      <c r="D424" s="513">
        <v>1410710.52</v>
      </c>
      <c r="E424">
        <f>VLOOKUP(A424,Ucto_HK_summ!$A$2:H$966,7,FALSE)</f>
        <v>1281041.8999999999</v>
      </c>
    </row>
    <row r="425" spans="1:5">
      <c r="A425" s="578" t="s">
        <v>1844</v>
      </c>
      <c r="B425" s="578" t="s">
        <v>1845</v>
      </c>
      <c r="C425">
        <v>0</v>
      </c>
      <c r="D425" s="513">
        <v>79133.16</v>
      </c>
      <c r="E425">
        <f>VLOOKUP(A425,Ucto_HK_summ!$A$2:H$966,7,FALSE)</f>
        <v>49513.01</v>
      </c>
    </row>
    <row r="426" spans="1:5">
      <c r="A426" s="578" t="s">
        <v>1846</v>
      </c>
      <c r="B426" s="578" t="s">
        <v>1847</v>
      </c>
      <c r="C426">
        <v>0</v>
      </c>
      <c r="D426" s="513">
        <v>610442.29</v>
      </c>
      <c r="E426">
        <f>VLOOKUP(A426,Ucto_HK_summ!$A$2:H$966,7,FALSE)</f>
        <v>456925.93</v>
      </c>
    </row>
    <row r="427" spans="1:5">
      <c r="A427" s="578" t="s">
        <v>1848</v>
      </c>
      <c r="B427" s="578" t="s">
        <v>1849</v>
      </c>
      <c r="C427">
        <v>0</v>
      </c>
      <c r="D427" s="513">
        <v>113713.75</v>
      </c>
      <c r="E427">
        <f>VLOOKUP(A427,Ucto_HK_summ!$A$2:H$966,7,FALSE)</f>
        <v>347346.46</v>
      </c>
    </row>
    <row r="428" spans="1:5">
      <c r="A428" s="578" t="s">
        <v>1850</v>
      </c>
      <c r="B428" s="578" t="s">
        <v>1851</v>
      </c>
      <c r="C428">
        <v>0</v>
      </c>
      <c r="D428" s="513">
        <v>46999.29</v>
      </c>
      <c r="E428">
        <f>VLOOKUP(A428,Ucto_HK_summ!$A$2:H$966,7,FALSE)</f>
        <v>50495.87</v>
      </c>
    </row>
    <row r="429" spans="1:5">
      <c r="A429" s="578" t="s">
        <v>1852</v>
      </c>
      <c r="B429" s="578" t="s">
        <v>1853</v>
      </c>
      <c r="C429">
        <v>0</v>
      </c>
      <c r="D429" s="513">
        <v>418700.66</v>
      </c>
      <c r="E429">
        <f>VLOOKUP(A429,Ucto_HK_summ!$A$2:H$966,7,FALSE)</f>
        <v>189348.48000000001</v>
      </c>
    </row>
    <row r="430" spans="1:5">
      <c r="A430" s="578" t="s">
        <v>1854</v>
      </c>
      <c r="B430" s="578" t="s">
        <v>1855</v>
      </c>
      <c r="C430">
        <v>0</v>
      </c>
      <c r="D430" s="513">
        <v>99385.25</v>
      </c>
      <c r="E430">
        <f>VLOOKUP(A430,Ucto_HK_summ!$A$2:H$966,7,FALSE)</f>
        <v>122439.27</v>
      </c>
    </row>
    <row r="431" spans="1:5">
      <c r="A431" s="578" t="s">
        <v>1856</v>
      </c>
      <c r="B431" s="578" t="s">
        <v>1857</v>
      </c>
      <c r="C431">
        <v>0</v>
      </c>
      <c r="D431" s="513">
        <v>13934.79</v>
      </c>
      <c r="E431">
        <f>VLOOKUP(A431,Ucto_HK_summ!$A$2:H$966,7,FALSE)</f>
        <v>8511.83</v>
      </c>
    </row>
    <row r="432" spans="1:5">
      <c r="A432" s="578" t="s">
        <v>1858</v>
      </c>
      <c r="B432" s="578" t="s">
        <v>1859</v>
      </c>
      <c r="C432">
        <v>0</v>
      </c>
      <c r="D432" s="513">
        <v>4618.8900000000003</v>
      </c>
      <c r="E432">
        <f>VLOOKUP(A432,Ucto_HK_summ!$A$2:H$966,7,FALSE)</f>
        <v>7970.82</v>
      </c>
    </row>
    <row r="433" spans="1:5">
      <c r="A433" s="578" t="s">
        <v>1860</v>
      </c>
      <c r="B433" s="578" t="s">
        <v>1861</v>
      </c>
      <c r="C433">
        <v>0</v>
      </c>
      <c r="D433" s="513">
        <v>59842.59</v>
      </c>
      <c r="E433">
        <f>VLOOKUP(A433,Ucto_HK_summ!$A$2:H$966,7,FALSE)</f>
        <v>44080.86</v>
      </c>
    </row>
    <row r="434" spans="1:5">
      <c r="A434" s="578" t="s">
        <v>1862</v>
      </c>
      <c r="B434" s="578" t="s">
        <v>1863</v>
      </c>
      <c r="C434">
        <v>0</v>
      </c>
      <c r="D434" s="513">
        <v>2161.9299999999998</v>
      </c>
      <c r="E434">
        <f>VLOOKUP(A434,Ucto_HK_summ!$A$2:H$966,7,FALSE)</f>
        <v>1886.75</v>
      </c>
    </row>
    <row r="435" spans="1:5">
      <c r="A435" s="578" t="s">
        <v>1864</v>
      </c>
      <c r="B435" s="578" t="s">
        <v>1865</v>
      </c>
      <c r="C435">
        <v>0</v>
      </c>
      <c r="D435" s="513">
        <v>384861.92</v>
      </c>
      <c r="E435">
        <f>VLOOKUP(A435,Ucto_HK_summ!$A$2:H$966,7,FALSE)</f>
        <v>357255.79</v>
      </c>
    </row>
    <row r="436" spans="1:5">
      <c r="A436" s="578" t="s">
        <v>1868</v>
      </c>
      <c r="B436" s="578" t="s">
        <v>1869</v>
      </c>
      <c r="C436">
        <v>0</v>
      </c>
      <c r="D436" s="513">
        <v>10697.03</v>
      </c>
      <c r="E436">
        <f>VLOOKUP(A436,Ucto_HK_summ!$A$2:H$966,7,FALSE)</f>
        <v>8737.2999999999993</v>
      </c>
    </row>
    <row r="437" spans="1:5">
      <c r="A437" s="578" t="s">
        <v>1870</v>
      </c>
      <c r="B437" s="578" t="s">
        <v>1871</v>
      </c>
      <c r="C437">
        <v>0</v>
      </c>
      <c r="D437" s="513">
        <v>16526.39</v>
      </c>
      <c r="E437">
        <f>VLOOKUP(A437,Ucto_HK_summ!$A$2:H$966,7,FALSE)</f>
        <v>16025.81</v>
      </c>
    </row>
    <row r="438" spans="1:5">
      <c r="A438" s="578" t="s">
        <v>1872</v>
      </c>
      <c r="B438" s="578" t="s">
        <v>1873</v>
      </c>
      <c r="C438">
        <v>0</v>
      </c>
      <c r="D438" s="513">
        <v>1573.37</v>
      </c>
      <c r="E438">
        <f>VLOOKUP(A438,Ucto_HK_summ!$A$2:H$966,7,FALSE)</f>
        <v>1207.3399999999999</v>
      </c>
    </row>
    <row r="439" spans="1:5">
      <c r="A439" s="578" t="s">
        <v>1874</v>
      </c>
      <c r="B439" s="578" t="s">
        <v>1875</v>
      </c>
      <c r="C439">
        <v>0</v>
      </c>
      <c r="D439">
        <v>268.8</v>
      </c>
      <c r="E439">
        <f>VLOOKUP(A439,Ucto_HK_summ!$A$2:H$966,7,FALSE)</f>
        <v>50.13</v>
      </c>
    </row>
    <row r="440" spans="1:5">
      <c r="A440" s="578" t="s">
        <v>1876</v>
      </c>
      <c r="B440" s="578" t="s">
        <v>1877</v>
      </c>
      <c r="C440">
        <v>0</v>
      </c>
      <c r="D440" s="513">
        <v>13752.13</v>
      </c>
      <c r="E440">
        <f>VLOOKUP(A440,Ucto_HK_summ!$A$2:H$966,7,FALSE)</f>
        <v>8668.16</v>
      </c>
    </row>
    <row r="441" spans="1:5">
      <c r="A441" s="578" t="s">
        <v>1878</v>
      </c>
      <c r="B441" s="578" t="s">
        <v>1879</v>
      </c>
      <c r="C441">
        <v>0</v>
      </c>
      <c r="D441">
        <v>76.400000000000006</v>
      </c>
      <c r="E441">
        <f>VLOOKUP(A441,Ucto_HK_summ!$A$2:H$966,7,FALSE)</f>
        <v>1105.72</v>
      </c>
    </row>
    <row r="442" spans="1:5">
      <c r="A442" s="578" t="s">
        <v>1880</v>
      </c>
      <c r="B442" s="578" t="s">
        <v>1881</v>
      </c>
      <c r="C442">
        <v>0</v>
      </c>
      <c r="D442" s="513">
        <v>79960.42</v>
      </c>
      <c r="E442">
        <f>VLOOKUP(A442,Ucto_HK_summ!$A$2:H$966,7,FALSE)</f>
        <v>67086.320000000007</v>
      </c>
    </row>
    <row r="443" spans="1:5">
      <c r="A443" s="578" t="s">
        <v>1882</v>
      </c>
      <c r="B443" s="578" t="s">
        <v>1883</v>
      </c>
      <c r="C443">
        <v>0</v>
      </c>
      <c r="D443" s="513">
        <v>9395.74</v>
      </c>
      <c r="E443">
        <f>VLOOKUP(A443,Ucto_HK_summ!$A$2:H$966,7,FALSE)</f>
        <v>3141.34</v>
      </c>
    </row>
    <row r="444" spans="1:5">
      <c r="A444" s="578" t="s">
        <v>1884</v>
      </c>
      <c r="B444" s="578" t="s">
        <v>1885</v>
      </c>
      <c r="C444">
        <v>0</v>
      </c>
      <c r="D444" s="513">
        <v>1612.47</v>
      </c>
      <c r="E444">
        <f>VLOOKUP(A444,Ucto_HK_summ!$A$2:H$966,7,FALSE)</f>
        <v>2384.11</v>
      </c>
    </row>
    <row r="445" spans="1:5">
      <c r="A445" s="578" t="s">
        <v>1886</v>
      </c>
      <c r="B445" s="578" t="s">
        <v>1887</v>
      </c>
      <c r="C445">
        <v>0</v>
      </c>
      <c r="D445" s="513">
        <v>29064.23</v>
      </c>
      <c r="E445">
        <f>VLOOKUP(A445,Ucto_HK_summ!$A$2:H$966,7,FALSE)</f>
        <v>5870.77</v>
      </c>
    </row>
    <row r="446" spans="1:5">
      <c r="A446" s="578" t="s">
        <v>803</v>
      </c>
      <c r="C446">
        <v>0</v>
      </c>
      <c r="D446" s="513">
        <v>52289414.030000001</v>
      </c>
      <c r="E446">
        <f>VLOOKUP(A446,Ucto_HK_summ!$A$2:H$966,7,FALSE)</f>
        <v>44265220.420000002</v>
      </c>
    </row>
    <row r="447" spans="1:5">
      <c r="A447" s="578" t="s">
        <v>1888</v>
      </c>
      <c r="B447" s="578" t="s">
        <v>1889</v>
      </c>
      <c r="C447">
        <v>0</v>
      </c>
      <c r="D447" s="513">
        <v>1269574.6200000001</v>
      </c>
      <c r="E447">
        <f>VLOOKUP(A447,Ucto_HK_summ!$A$2:H$966,7,FALSE)</f>
        <v>2326585.79</v>
      </c>
    </row>
    <row r="448" spans="1:5">
      <c r="A448" s="578" t="s">
        <v>1890</v>
      </c>
      <c r="B448" s="578" t="s">
        <v>1891</v>
      </c>
      <c r="C448">
        <v>0</v>
      </c>
      <c r="D448" s="513">
        <v>740398.32</v>
      </c>
      <c r="E448">
        <f>VLOOKUP(A448,Ucto_HK_summ!$A$2:H$966,7,FALSE)</f>
        <v>1269677.05</v>
      </c>
    </row>
    <row r="449" spans="1:5">
      <c r="A449" s="578" t="s">
        <v>1892</v>
      </c>
      <c r="B449" s="578" t="s">
        <v>1893</v>
      </c>
      <c r="C449">
        <v>0</v>
      </c>
      <c r="D449" s="550">
        <v>338659</v>
      </c>
      <c r="E449">
        <f>VLOOKUP(A449,Ucto_HK_summ!$A$2:H$966,7,FALSE)</f>
        <v>332939.69</v>
      </c>
    </row>
    <row r="450" spans="1:5">
      <c r="A450" s="578" t="s">
        <v>1894</v>
      </c>
      <c r="B450" s="578" t="s">
        <v>1895</v>
      </c>
      <c r="C450">
        <v>0</v>
      </c>
      <c r="D450" s="513">
        <v>1696497.97</v>
      </c>
      <c r="E450">
        <f>VLOOKUP(A450,Ucto_HK_summ!$A$2:H$966,7,FALSE)</f>
        <v>1476260.38</v>
      </c>
    </row>
    <row r="451" spans="1:5">
      <c r="A451" s="578" t="s">
        <v>1896</v>
      </c>
      <c r="B451" s="578" t="s">
        <v>1897</v>
      </c>
      <c r="C451">
        <v>0</v>
      </c>
      <c r="D451" s="513">
        <v>3990.13</v>
      </c>
      <c r="E451">
        <f>VLOOKUP(A451,Ucto_HK_summ!$A$2:H$966,7,FALSE)</f>
        <v>3231.85</v>
      </c>
    </row>
    <row r="452" spans="1:5">
      <c r="A452" s="578" t="s">
        <v>1898</v>
      </c>
      <c r="B452" s="578" t="s">
        <v>1899</v>
      </c>
      <c r="C452">
        <v>0</v>
      </c>
      <c r="D452" s="550">
        <v>7158</v>
      </c>
      <c r="E452">
        <f>VLOOKUP(A452,Ucto_HK_summ!$A$2:H$966,7,FALSE)</f>
        <v>14261.11</v>
      </c>
    </row>
    <row r="453" spans="1:5">
      <c r="A453" s="578" t="s">
        <v>1900</v>
      </c>
      <c r="B453" s="578" t="s">
        <v>1901</v>
      </c>
      <c r="C453">
        <v>0</v>
      </c>
      <c r="D453" s="513">
        <v>12480.4</v>
      </c>
      <c r="E453">
        <f>VLOOKUP(A453,Ucto_HK_summ!$A$2:H$966,7,FALSE)</f>
        <v>11707.63</v>
      </c>
    </row>
    <row r="454" spans="1:5">
      <c r="A454" s="578" t="s">
        <v>1902</v>
      </c>
      <c r="B454" s="578" t="s">
        <v>1903</v>
      </c>
      <c r="C454">
        <v>0</v>
      </c>
      <c r="D454" s="513">
        <v>7439.66</v>
      </c>
      <c r="E454">
        <f>VLOOKUP(A454,Ucto_HK_summ!$A$2:H$966,7,FALSE)</f>
        <v>5410.9</v>
      </c>
    </row>
    <row r="455" spans="1:5">
      <c r="A455" s="578" t="s">
        <v>804</v>
      </c>
      <c r="C455">
        <v>0</v>
      </c>
      <c r="D455" s="513">
        <v>4076198.1</v>
      </c>
      <c r="E455">
        <f>VLOOKUP(A455,Ucto_HK_summ!$A$2:H$966,7,FALSE)</f>
        <v>5440074.4000000004</v>
      </c>
    </row>
    <row r="456" spans="1:5">
      <c r="A456" s="578" t="s">
        <v>1904</v>
      </c>
      <c r="B456" s="578" t="s">
        <v>1905</v>
      </c>
      <c r="C456">
        <v>0</v>
      </c>
      <c r="D456" s="513">
        <v>2709305.78</v>
      </c>
      <c r="E456">
        <f>VLOOKUP(A456,Ucto_HK_summ!$A$2:H$966,7,FALSE)</f>
        <v>2006296.58</v>
      </c>
    </row>
    <row r="457" spans="1:5">
      <c r="A457" s="578" t="s">
        <v>1906</v>
      </c>
      <c r="B457" s="578" t="s">
        <v>1907</v>
      </c>
      <c r="C457">
        <v>0</v>
      </c>
      <c r="D457" s="513">
        <v>57746.46</v>
      </c>
      <c r="E457">
        <f>VLOOKUP(A457,Ucto_HK_summ!$A$2:H$966,7,FALSE)</f>
        <v>47191.65</v>
      </c>
    </row>
    <row r="458" spans="1:5">
      <c r="A458" s="578" t="s">
        <v>1908</v>
      </c>
      <c r="B458" s="578" t="s">
        <v>1909</v>
      </c>
      <c r="C458">
        <v>0</v>
      </c>
      <c r="D458" s="513">
        <v>108224.23</v>
      </c>
      <c r="E458">
        <f>VLOOKUP(A458,Ucto_HK_summ!$A$2:H$966,7,FALSE)</f>
        <v>84698.55</v>
      </c>
    </row>
    <row r="459" spans="1:5">
      <c r="A459" s="578" t="s">
        <v>1910</v>
      </c>
      <c r="C459">
        <v>0</v>
      </c>
      <c r="D459" s="513">
        <v>2875276.47</v>
      </c>
      <c r="E459">
        <f>VLOOKUP(A459,Ucto_HK_summ!$A$2:H$966,7,FALSE)</f>
        <v>2138186.7799999998</v>
      </c>
    </row>
    <row r="460" spans="1:5">
      <c r="A460" s="577" t="s">
        <v>1911</v>
      </c>
      <c r="C460" s="369">
        <v>0</v>
      </c>
      <c r="D460" s="579">
        <v>59240888.600000001</v>
      </c>
      <c r="E460">
        <f>VLOOKUP(A460,Ucto_HK_summ!$A$2:H$966,7,FALSE)</f>
        <v>51843481.600000001</v>
      </c>
    </row>
    <row r="462" spans="1:5">
      <c r="A462" s="578" t="s">
        <v>1912</v>
      </c>
      <c r="B462" s="578" t="s">
        <v>1913</v>
      </c>
      <c r="C462">
        <v>0</v>
      </c>
      <c r="D462" s="513">
        <v>952677.78</v>
      </c>
      <c r="E462">
        <f>VLOOKUP(A462,Ucto_HK_summ!$A$2:H$966,7,FALSE)</f>
        <v>1283909.18</v>
      </c>
    </row>
    <row r="463" spans="1:5">
      <c r="A463" s="578" t="s">
        <v>1914</v>
      </c>
      <c r="B463" s="578" t="s">
        <v>1915</v>
      </c>
      <c r="C463">
        <v>0</v>
      </c>
      <c r="D463" s="513">
        <v>386387.5</v>
      </c>
      <c r="E463">
        <f>VLOOKUP(A463,Ucto_HK_summ!$A$2:H$966,7,FALSE)</f>
        <v>359133.48</v>
      </c>
    </row>
    <row r="464" spans="1:5">
      <c r="A464" s="578" t="s">
        <v>1916</v>
      </c>
      <c r="B464" s="578" t="s">
        <v>1917</v>
      </c>
      <c r="C464">
        <v>0</v>
      </c>
      <c r="D464" s="513">
        <v>296231.32</v>
      </c>
      <c r="E464">
        <f>VLOOKUP(A464,Ucto_HK_summ!$A$2:H$966,7,FALSE)</f>
        <v>105171.94</v>
      </c>
    </row>
    <row r="465" spans="1:5">
      <c r="A465" s="578" t="s">
        <v>1918</v>
      </c>
      <c r="B465" s="578" t="s">
        <v>1919</v>
      </c>
      <c r="C465">
        <v>0</v>
      </c>
      <c r="D465" s="513">
        <v>186982.85</v>
      </c>
      <c r="E465">
        <f>VLOOKUP(A465,Ucto_HK_summ!$A$2:H$966,7,FALSE)</f>
        <v>107365.04</v>
      </c>
    </row>
    <row r="466" spans="1:5">
      <c r="A466" s="578" t="s">
        <v>2709</v>
      </c>
      <c r="B466" s="578" t="s">
        <v>2710</v>
      </c>
      <c r="C466">
        <v>0</v>
      </c>
      <c r="D466" s="513">
        <v>41569.9</v>
      </c>
      <c r="E466">
        <f>VLOOKUP(A466,Ucto_HK_summ!$A$2:H$966,7,FALSE)</f>
        <v>0</v>
      </c>
    </row>
    <row r="467" spans="1:5">
      <c r="A467" s="578" t="s">
        <v>1920</v>
      </c>
      <c r="B467" s="578" t="s">
        <v>1921</v>
      </c>
      <c r="C467">
        <v>0</v>
      </c>
      <c r="D467" s="513">
        <v>98976.61</v>
      </c>
      <c r="E467">
        <f>VLOOKUP(A467,Ucto_HK_summ!$A$2:H$966,7,FALSE)</f>
        <v>33622.949999999997</v>
      </c>
    </row>
    <row r="468" spans="1:5">
      <c r="A468" s="578" t="s">
        <v>1922</v>
      </c>
      <c r="B468" s="578" t="s">
        <v>1923</v>
      </c>
      <c r="C468">
        <v>0</v>
      </c>
      <c r="D468" s="513">
        <v>34140.51</v>
      </c>
      <c r="E468">
        <f>VLOOKUP(A468,Ucto_HK_summ!$A$2:H$966,7,FALSE)</f>
        <v>20363.919999999998</v>
      </c>
    </row>
    <row r="469" spans="1:5">
      <c r="A469" s="578" t="s">
        <v>1924</v>
      </c>
      <c r="B469" s="578" t="s">
        <v>1925</v>
      </c>
      <c r="C469">
        <v>0</v>
      </c>
      <c r="D469" s="550">
        <v>24180</v>
      </c>
      <c r="E469">
        <f>VLOOKUP(A469,Ucto_HK_summ!$A$2:H$966,7,FALSE)</f>
        <v>90</v>
      </c>
    </row>
    <row r="470" spans="1:5">
      <c r="A470" s="578" t="s">
        <v>1926</v>
      </c>
      <c r="B470" s="578" t="s">
        <v>1927</v>
      </c>
      <c r="C470">
        <v>0</v>
      </c>
      <c r="D470" s="513">
        <v>8357.23</v>
      </c>
      <c r="E470">
        <f>VLOOKUP(A470,Ucto_HK_summ!$A$2:H$966,7,FALSE)</f>
        <v>1972.48</v>
      </c>
    </row>
    <row r="471" spans="1:5">
      <c r="A471" s="578" t="s">
        <v>2663</v>
      </c>
      <c r="B471" s="578" t="s">
        <v>2664</v>
      </c>
      <c r="C471">
        <v>0</v>
      </c>
      <c r="D471">
        <v>202.42</v>
      </c>
      <c r="E471">
        <f>VLOOKUP(A471,Ucto_HK_summ!$A$2:H$966,7,FALSE)</f>
        <v>0</v>
      </c>
    </row>
    <row r="472" spans="1:5">
      <c r="A472" s="578" t="s">
        <v>811</v>
      </c>
      <c r="C472">
        <v>0</v>
      </c>
      <c r="D472" s="513">
        <v>2029706.12</v>
      </c>
      <c r="E472">
        <f>VLOOKUP(A472,Ucto_HK_summ!$A$2:H$966,7,FALSE)</f>
        <v>1911638.35</v>
      </c>
    </row>
    <row r="473" spans="1:5">
      <c r="A473" s="578" t="s">
        <v>1930</v>
      </c>
      <c r="B473" s="578" t="s">
        <v>1931</v>
      </c>
      <c r="C473">
        <v>0</v>
      </c>
      <c r="D473" s="513">
        <v>1031.7</v>
      </c>
      <c r="E473">
        <f>VLOOKUP(A473,Ucto_HK_summ!$A$2:H$966,7,FALSE)</f>
        <v>1056.0999999999999</v>
      </c>
    </row>
    <row r="474" spans="1:5">
      <c r="A474" s="578" t="s">
        <v>1932</v>
      </c>
      <c r="B474" s="578" t="s">
        <v>1933</v>
      </c>
      <c r="C474">
        <v>0</v>
      </c>
      <c r="D474" s="513">
        <v>3213.5</v>
      </c>
      <c r="E474">
        <f>VLOOKUP(A474,Ucto_HK_summ!$A$2:H$966,7,FALSE)</f>
        <v>3013.62</v>
      </c>
    </row>
    <row r="475" spans="1:5">
      <c r="A475" s="578" t="s">
        <v>1934</v>
      </c>
      <c r="B475" s="578" t="s">
        <v>1935</v>
      </c>
      <c r="C475">
        <v>0</v>
      </c>
      <c r="D475">
        <v>601.08000000000004</v>
      </c>
      <c r="E475">
        <f>VLOOKUP(A475,Ucto_HK_summ!$A$2:H$966,7,FALSE)</f>
        <v>1442.14</v>
      </c>
    </row>
    <row r="476" spans="1:5">
      <c r="A476" s="578" t="s">
        <v>2667</v>
      </c>
      <c r="B476" s="578" t="s">
        <v>1931</v>
      </c>
      <c r="C476">
        <v>0</v>
      </c>
      <c r="D476">
        <v>76.75</v>
      </c>
      <c r="E476">
        <f>VLOOKUP(A476,Ucto_HK_summ!$A$2:H$966,7,FALSE)</f>
        <v>0</v>
      </c>
    </row>
    <row r="477" spans="1:5">
      <c r="A477" s="578" t="s">
        <v>2668</v>
      </c>
      <c r="B477" s="578" t="s">
        <v>1933</v>
      </c>
      <c r="C477">
        <v>0</v>
      </c>
      <c r="D477">
        <v>185.88</v>
      </c>
      <c r="E477">
        <f>VLOOKUP(A477,Ucto_HK_summ!$A$2:H$966,7,FALSE)</f>
        <v>0</v>
      </c>
    </row>
    <row r="478" spans="1:5">
      <c r="A478" s="578" t="s">
        <v>812</v>
      </c>
      <c r="C478">
        <v>0</v>
      </c>
      <c r="D478" s="513">
        <v>5108.91</v>
      </c>
      <c r="E478">
        <f>VLOOKUP(A478,Ucto_HK_summ!$A$2:H$966,7,FALSE)</f>
        <v>5511.86</v>
      </c>
    </row>
    <row r="479" spans="1:5">
      <c r="A479" s="578" t="s">
        <v>1936</v>
      </c>
      <c r="B479" s="578" t="s">
        <v>814</v>
      </c>
      <c r="C479">
        <v>0</v>
      </c>
      <c r="D479" s="513">
        <v>21006.36</v>
      </c>
      <c r="E479">
        <f>VLOOKUP(A479,Ucto_HK_summ!$A$2:H$966,7,FALSE)</f>
        <v>2017.03</v>
      </c>
    </row>
    <row r="480" spans="1:5">
      <c r="A480" s="578" t="s">
        <v>813</v>
      </c>
      <c r="C480">
        <v>0</v>
      </c>
      <c r="D480" s="513">
        <v>21006.36</v>
      </c>
      <c r="E480">
        <f>VLOOKUP(A480,Ucto_HK_summ!$A$2:H$966,7,FALSE)</f>
        <v>2017.03</v>
      </c>
    </row>
    <row r="481" spans="1:5">
      <c r="A481" s="578" t="s">
        <v>1937</v>
      </c>
      <c r="B481" s="578" t="s">
        <v>1938</v>
      </c>
      <c r="C481">
        <v>0</v>
      </c>
      <c r="D481" s="513">
        <v>5583.61</v>
      </c>
      <c r="E481">
        <f>VLOOKUP(A481,Ucto_HK_summ!$A$2:H$966,7,FALSE)</f>
        <v>11647.29</v>
      </c>
    </row>
    <row r="482" spans="1:5">
      <c r="A482" s="578" t="s">
        <v>1939</v>
      </c>
      <c r="B482" s="578" t="s">
        <v>1940</v>
      </c>
      <c r="C482">
        <v>0</v>
      </c>
      <c r="D482">
        <v>919.42</v>
      </c>
      <c r="E482">
        <f>VLOOKUP(A482,Ucto_HK_summ!$A$2:H$966,7,FALSE)</f>
        <v>1091.3499999999999</v>
      </c>
    </row>
    <row r="483" spans="1:5">
      <c r="A483" s="578" t="s">
        <v>2669</v>
      </c>
      <c r="B483" s="578" t="s">
        <v>2670</v>
      </c>
      <c r="C483">
        <v>0</v>
      </c>
      <c r="D483" s="513">
        <v>1029.54</v>
      </c>
      <c r="E483">
        <f>VLOOKUP(A483,Ucto_HK_summ!$A$2:H$966,7,FALSE)</f>
        <v>0</v>
      </c>
    </row>
    <row r="484" spans="1:5">
      <c r="A484" s="578" t="s">
        <v>1941</v>
      </c>
      <c r="B484" s="578" t="s">
        <v>1942</v>
      </c>
      <c r="C484">
        <v>0</v>
      </c>
      <c r="D484" s="513">
        <v>24554.68</v>
      </c>
      <c r="E484">
        <f>VLOOKUP(A484,Ucto_HK_summ!$A$2:H$966,7,FALSE)</f>
        <v>27226.01</v>
      </c>
    </row>
    <row r="485" spans="1:5">
      <c r="A485" s="578" t="s">
        <v>1943</v>
      </c>
      <c r="B485" s="578" t="s">
        <v>1944</v>
      </c>
      <c r="C485">
        <v>0</v>
      </c>
      <c r="D485" s="513">
        <v>1351967.9</v>
      </c>
      <c r="E485">
        <f>VLOOKUP(A485,Ucto_HK_summ!$A$2:H$966,7,FALSE)</f>
        <v>2219702.11</v>
      </c>
    </row>
    <row r="486" spans="1:5">
      <c r="A486" s="578" t="s">
        <v>2789</v>
      </c>
      <c r="B486" s="578" t="s">
        <v>2790</v>
      </c>
      <c r="C486">
        <v>0</v>
      </c>
      <c r="D486" s="513">
        <v>204666.7</v>
      </c>
      <c r="E486">
        <f>VLOOKUP(A486,Ucto_HK_summ!$A$2:H$966,7,FALSE)</f>
        <v>0</v>
      </c>
    </row>
    <row r="487" spans="1:5">
      <c r="A487" s="578" t="s">
        <v>1945</v>
      </c>
      <c r="B487" s="578" t="s">
        <v>1946</v>
      </c>
      <c r="C487">
        <v>0</v>
      </c>
      <c r="D487" s="513">
        <v>372201.38</v>
      </c>
      <c r="E487">
        <f>VLOOKUP(A487,Ucto_HK_summ!$A$2:H$966,7,FALSE)</f>
        <v>298209.83</v>
      </c>
    </row>
    <row r="488" spans="1:5">
      <c r="A488" s="578" t="s">
        <v>1947</v>
      </c>
      <c r="B488" s="578" t="s">
        <v>1948</v>
      </c>
      <c r="C488">
        <v>0</v>
      </c>
      <c r="D488" s="513">
        <v>7029.84</v>
      </c>
      <c r="E488">
        <f>VLOOKUP(A488,Ucto_HK_summ!$A$2:H$966,7,FALSE)</f>
        <v>4279.78</v>
      </c>
    </row>
    <row r="489" spans="1:5">
      <c r="A489" s="578" t="s">
        <v>1949</v>
      </c>
      <c r="B489" s="578" t="s">
        <v>1950</v>
      </c>
      <c r="C489">
        <v>0</v>
      </c>
      <c r="D489" s="513">
        <v>41168.160000000003</v>
      </c>
      <c r="E489">
        <f>VLOOKUP(A489,Ucto_HK_summ!$A$2:H$966,7,FALSE)</f>
        <v>76142.559999999998</v>
      </c>
    </row>
    <row r="490" spans="1:5">
      <c r="A490" s="578" t="s">
        <v>1951</v>
      </c>
      <c r="B490" s="578" t="s">
        <v>1952</v>
      </c>
      <c r="C490">
        <v>0</v>
      </c>
      <c r="D490" s="513">
        <v>393083.34</v>
      </c>
      <c r="E490">
        <f>VLOOKUP(A490,Ucto_HK_summ!$A$2:H$966,7,FALSE)</f>
        <v>368530.63</v>
      </c>
    </row>
    <row r="491" spans="1:5">
      <c r="A491" s="578" t="s">
        <v>1953</v>
      </c>
      <c r="B491" s="578" t="s">
        <v>1954</v>
      </c>
      <c r="C491">
        <v>0</v>
      </c>
      <c r="D491" s="513">
        <v>103534.33</v>
      </c>
      <c r="E491">
        <f>VLOOKUP(A491,Ucto_HK_summ!$A$2:H$966,7,FALSE)</f>
        <v>250150.36</v>
      </c>
    </row>
    <row r="492" spans="1:5">
      <c r="A492" s="578" t="s">
        <v>1955</v>
      </c>
      <c r="B492" s="578" t="s">
        <v>1956</v>
      </c>
      <c r="C492">
        <v>0</v>
      </c>
      <c r="D492">
        <v>991.77</v>
      </c>
      <c r="E492">
        <f>VLOOKUP(A492,Ucto_HK_summ!$A$2:H$966,7,FALSE)</f>
        <v>1735.1</v>
      </c>
    </row>
    <row r="493" spans="1:5">
      <c r="A493" s="578" t="s">
        <v>1957</v>
      </c>
      <c r="B493" s="578" t="s">
        <v>1958</v>
      </c>
      <c r="C493">
        <v>0</v>
      </c>
      <c r="D493" s="513">
        <v>44809.49</v>
      </c>
      <c r="E493">
        <f>VLOOKUP(A493,Ucto_HK_summ!$A$2:H$966,7,FALSE)</f>
        <v>36262.629999999997</v>
      </c>
    </row>
    <row r="494" spans="1:5">
      <c r="A494" s="578" t="s">
        <v>1959</v>
      </c>
      <c r="B494" s="578" t="s">
        <v>1960</v>
      </c>
      <c r="C494">
        <v>0</v>
      </c>
      <c r="D494" s="513">
        <v>62037.599999999999</v>
      </c>
      <c r="E494">
        <f>VLOOKUP(A494,Ucto_HK_summ!$A$2:H$966,7,FALSE)</f>
        <v>2247.67</v>
      </c>
    </row>
    <row r="495" spans="1:5">
      <c r="A495" s="578" t="s">
        <v>2671</v>
      </c>
      <c r="B495" s="578" t="s">
        <v>2672</v>
      </c>
      <c r="C495">
        <v>0</v>
      </c>
      <c r="D495" s="550">
        <v>6550</v>
      </c>
      <c r="E495">
        <f>VLOOKUP(A495,Ucto_HK_summ!$A$2:H$966,7,FALSE)</f>
        <v>0</v>
      </c>
    </row>
    <row r="496" spans="1:5">
      <c r="A496" s="578" t="s">
        <v>1961</v>
      </c>
      <c r="B496" s="578" t="s">
        <v>1962</v>
      </c>
      <c r="C496">
        <v>0</v>
      </c>
      <c r="D496">
        <v>400</v>
      </c>
      <c r="E496">
        <f>VLOOKUP(A496,Ucto_HK_summ!$A$2:H$966,7,FALSE)</f>
        <v>3000</v>
      </c>
    </row>
    <row r="497" spans="1:5">
      <c r="A497" s="578" t="s">
        <v>1967</v>
      </c>
      <c r="B497" s="578" t="s">
        <v>1968</v>
      </c>
      <c r="C497">
        <v>0</v>
      </c>
      <c r="D497" s="513">
        <v>152487.07</v>
      </c>
      <c r="E497">
        <f>VLOOKUP(A497,Ucto_HK_summ!$A$2:H$966,7,FALSE)</f>
        <v>107773.79</v>
      </c>
    </row>
    <row r="498" spans="1:5">
      <c r="A498" s="578" t="s">
        <v>1969</v>
      </c>
      <c r="B498" s="578" t="s">
        <v>1970</v>
      </c>
      <c r="C498">
        <v>0</v>
      </c>
      <c r="D498" s="513">
        <v>18501.07</v>
      </c>
      <c r="E498">
        <f>VLOOKUP(A498,Ucto_HK_summ!$A$2:H$966,7,FALSE)</f>
        <v>20031.810000000001</v>
      </c>
    </row>
    <row r="499" spans="1:5">
      <c r="A499" s="578" t="s">
        <v>1971</v>
      </c>
      <c r="B499" s="578" t="s">
        <v>1972</v>
      </c>
      <c r="C499">
        <v>0</v>
      </c>
      <c r="D499" s="513">
        <v>403414.99</v>
      </c>
      <c r="E499">
        <f>VLOOKUP(A499,Ucto_HK_summ!$A$2:H$966,7,FALSE)</f>
        <v>380229.97</v>
      </c>
    </row>
    <row r="500" spans="1:5">
      <c r="A500" s="578" t="s">
        <v>1973</v>
      </c>
      <c r="B500" s="578" t="s">
        <v>229</v>
      </c>
      <c r="C500">
        <v>0</v>
      </c>
      <c r="D500" s="513">
        <v>38510.17</v>
      </c>
      <c r="E500">
        <f>VLOOKUP(A500,Ucto_HK_summ!$A$2:H$966,7,FALSE)</f>
        <v>38197.949999999997</v>
      </c>
    </row>
    <row r="501" spans="1:5">
      <c r="A501" s="578" t="s">
        <v>1974</v>
      </c>
      <c r="B501" s="578" t="s">
        <v>230</v>
      </c>
      <c r="C501">
        <v>0</v>
      </c>
      <c r="D501" s="513">
        <v>55451.68</v>
      </c>
      <c r="E501">
        <f>VLOOKUP(A501,Ucto_HK_summ!$A$2:H$966,7,FALSE)</f>
        <v>61373.97</v>
      </c>
    </row>
    <row r="502" spans="1:5">
      <c r="A502" s="578" t="s">
        <v>1975</v>
      </c>
      <c r="B502" s="578" t="s">
        <v>1976</v>
      </c>
      <c r="C502">
        <v>0</v>
      </c>
      <c r="D502" s="513">
        <v>57899.37</v>
      </c>
      <c r="E502">
        <f>VLOOKUP(A502,Ucto_HK_summ!$A$2:H$966,7,FALSE)</f>
        <v>55825.74</v>
      </c>
    </row>
    <row r="503" spans="1:5">
      <c r="A503" s="578" t="s">
        <v>1977</v>
      </c>
      <c r="B503" s="578" t="s">
        <v>1978</v>
      </c>
      <c r="C503">
        <v>0</v>
      </c>
      <c r="D503" s="513">
        <v>8309.9699999999993</v>
      </c>
      <c r="E503">
        <f>VLOOKUP(A503,Ucto_HK_summ!$A$2:H$966,7,FALSE)</f>
        <v>2007.38</v>
      </c>
    </row>
    <row r="504" spans="1:5">
      <c r="A504" s="578" t="s">
        <v>1979</v>
      </c>
      <c r="B504" s="578" t="s">
        <v>1980</v>
      </c>
      <c r="C504">
        <v>0</v>
      </c>
      <c r="D504" s="513">
        <v>109864.44</v>
      </c>
      <c r="E504">
        <f>VLOOKUP(A504,Ucto_HK_summ!$A$2:H$966,7,FALSE)</f>
        <v>57162.15</v>
      </c>
    </row>
    <row r="505" spans="1:5">
      <c r="A505" s="578" t="s">
        <v>1981</v>
      </c>
      <c r="B505" s="578" t="s">
        <v>1982</v>
      </c>
      <c r="C505">
        <v>0</v>
      </c>
      <c r="D505" s="513">
        <v>28731.71</v>
      </c>
      <c r="E505">
        <f>VLOOKUP(A505,Ucto_HK_summ!$A$2:H$966,7,FALSE)</f>
        <v>8442.33</v>
      </c>
    </row>
    <row r="506" spans="1:5">
      <c r="A506" s="578" t="s">
        <v>1983</v>
      </c>
      <c r="B506" s="578" t="s">
        <v>1984</v>
      </c>
      <c r="C506">
        <v>0</v>
      </c>
      <c r="D506" s="513">
        <v>25693.83</v>
      </c>
      <c r="E506">
        <f>VLOOKUP(A506,Ucto_HK_summ!$A$2:H$966,7,FALSE)</f>
        <v>6</v>
      </c>
    </row>
    <row r="507" spans="1:5">
      <c r="A507" s="578" t="s">
        <v>1985</v>
      </c>
      <c r="B507" s="578" t="s">
        <v>1986</v>
      </c>
      <c r="C507">
        <v>0</v>
      </c>
      <c r="D507" s="513">
        <v>34540.589999999997</v>
      </c>
      <c r="E507">
        <f>VLOOKUP(A507,Ucto_HK_summ!$A$2:H$966,7,FALSE)</f>
        <v>33787.4</v>
      </c>
    </row>
    <row r="508" spans="1:5">
      <c r="A508" s="578" t="s">
        <v>1987</v>
      </c>
      <c r="B508" s="578" t="s">
        <v>1988</v>
      </c>
      <c r="C508">
        <v>0</v>
      </c>
      <c r="D508" s="513">
        <v>11885.96</v>
      </c>
      <c r="E508">
        <f>VLOOKUP(A508,Ucto_HK_summ!$A$2:H$966,7,FALSE)</f>
        <v>7104</v>
      </c>
    </row>
    <row r="509" spans="1:5">
      <c r="A509" s="578" t="s">
        <v>1989</v>
      </c>
      <c r="B509" s="578" t="s">
        <v>1990</v>
      </c>
      <c r="C509">
        <v>0</v>
      </c>
      <c r="D509" s="513">
        <v>9538.7900000000009</v>
      </c>
      <c r="E509">
        <f>VLOOKUP(A509,Ucto_HK_summ!$A$2:H$966,7,FALSE)</f>
        <v>22359.73</v>
      </c>
    </row>
    <row r="510" spans="1:5">
      <c r="A510" s="578" t="s">
        <v>1991</v>
      </c>
      <c r="B510" s="578" t="s">
        <v>1992</v>
      </c>
      <c r="C510">
        <v>0</v>
      </c>
      <c r="D510">
        <v>990</v>
      </c>
      <c r="E510">
        <f>VLOOKUP(A510,Ucto_HK_summ!$A$2:H$966,7,FALSE)</f>
        <v>293.11</v>
      </c>
    </row>
    <row r="511" spans="1:5">
      <c r="A511" s="578" t="s">
        <v>1993</v>
      </c>
      <c r="B511" s="578" t="s">
        <v>1994</v>
      </c>
      <c r="C511">
        <v>0</v>
      </c>
      <c r="D511">
        <v>11.78</v>
      </c>
      <c r="E511">
        <f>VLOOKUP(A511,Ucto_HK_summ!$A$2:H$966,7,FALSE)</f>
        <v>14.77</v>
      </c>
    </row>
    <row r="512" spans="1:5">
      <c r="A512" s="578" t="s">
        <v>1995</v>
      </c>
      <c r="B512" s="578" t="s">
        <v>1996</v>
      </c>
      <c r="C512">
        <v>0</v>
      </c>
      <c r="D512">
        <v>412.91</v>
      </c>
      <c r="E512">
        <f>VLOOKUP(A512,Ucto_HK_summ!$A$2:H$966,7,FALSE)</f>
        <v>742.39</v>
      </c>
    </row>
    <row r="513" spans="1:5">
      <c r="A513" s="578" t="s">
        <v>1997</v>
      </c>
      <c r="B513" s="578" t="s">
        <v>1998</v>
      </c>
      <c r="C513">
        <v>0</v>
      </c>
      <c r="D513" s="550">
        <v>7513</v>
      </c>
      <c r="E513">
        <f>VLOOKUP(A513,Ucto_HK_summ!$A$2:H$966,7,FALSE)</f>
        <v>2378.16</v>
      </c>
    </row>
    <row r="514" spans="1:5">
      <c r="A514" s="578" t="s">
        <v>815</v>
      </c>
      <c r="C514">
        <v>0</v>
      </c>
      <c r="D514" s="513">
        <v>3584285.09</v>
      </c>
      <c r="E514">
        <f>VLOOKUP(A514,Ucto_HK_summ!$A$2:H$966,7,FALSE)</f>
        <v>4099153.71</v>
      </c>
    </row>
    <row r="515" spans="1:5">
      <c r="A515" s="577" t="s">
        <v>1999</v>
      </c>
      <c r="C515" s="369">
        <v>0</v>
      </c>
      <c r="D515" s="579">
        <v>5640106.4800000004</v>
      </c>
      <c r="E515">
        <f>VLOOKUP(A515,Ucto_HK_summ!$A$2:H$966,7,FALSE)</f>
        <v>6018320.9500000002</v>
      </c>
    </row>
    <row r="517" spans="1:5">
      <c r="A517" s="578" t="s">
        <v>2000</v>
      </c>
      <c r="B517" s="578" t="s">
        <v>2001</v>
      </c>
      <c r="C517">
        <v>0</v>
      </c>
      <c r="D517" s="513">
        <v>27274560.879999999</v>
      </c>
      <c r="E517">
        <f>VLOOKUP(A517,Ucto_HK_summ!$A$2:H$966,7,FALSE)</f>
        <v>21620056.02</v>
      </c>
    </row>
    <row r="518" spans="1:5">
      <c r="A518" s="578" t="s">
        <v>2002</v>
      </c>
      <c r="B518" s="578" t="s">
        <v>2003</v>
      </c>
      <c r="C518">
        <v>0</v>
      </c>
      <c r="D518" s="513">
        <v>10540950.689999999</v>
      </c>
      <c r="E518">
        <f>VLOOKUP(A518,Ucto_HK_summ!$A$2:H$966,7,FALSE)</f>
        <v>8446490.9700000007</v>
      </c>
    </row>
    <row r="519" spans="1:5">
      <c r="A519" s="578" t="s">
        <v>2004</v>
      </c>
      <c r="B519" s="578" t="s">
        <v>2005</v>
      </c>
      <c r="C519">
        <v>0</v>
      </c>
      <c r="D519" s="513">
        <v>10694120.82</v>
      </c>
      <c r="E519">
        <f>VLOOKUP(A519,Ucto_HK_summ!$A$2:H$966,7,FALSE)</f>
        <v>7680724.04</v>
      </c>
    </row>
    <row r="520" spans="1:5">
      <c r="A520" s="578" t="s">
        <v>2006</v>
      </c>
      <c r="B520" s="578" t="s">
        <v>2007</v>
      </c>
      <c r="C520">
        <v>0</v>
      </c>
      <c r="D520" s="513">
        <v>25070441.73</v>
      </c>
      <c r="E520">
        <f>VLOOKUP(A520,Ucto_HK_summ!$A$2:H$966,7,FALSE)</f>
        <v>18586979.59</v>
      </c>
    </row>
    <row r="521" spans="1:5">
      <c r="A521" s="578" t="s">
        <v>2008</v>
      </c>
      <c r="B521" s="578" t="s">
        <v>2009</v>
      </c>
      <c r="C521">
        <v>0</v>
      </c>
      <c r="D521" s="513">
        <v>4308093.1100000003</v>
      </c>
      <c r="E521">
        <f>VLOOKUP(A521,Ucto_HK_summ!$A$2:H$966,7,FALSE)</f>
        <v>2922382</v>
      </c>
    </row>
    <row r="522" spans="1:5">
      <c r="A522" s="578" t="s">
        <v>2010</v>
      </c>
      <c r="B522" s="578" t="s">
        <v>2011</v>
      </c>
      <c r="C522">
        <v>0</v>
      </c>
      <c r="D522" s="513">
        <v>50193.3</v>
      </c>
      <c r="E522">
        <f>VLOOKUP(A522,Ucto_HK_summ!$A$2:H$966,7,FALSE)</f>
        <v>14007.46</v>
      </c>
    </row>
    <row r="523" spans="1:5">
      <c r="A523" s="578" t="s">
        <v>2012</v>
      </c>
      <c r="B523" s="578" t="s">
        <v>2013</v>
      </c>
      <c r="C523">
        <v>0</v>
      </c>
      <c r="D523" s="513">
        <v>6732.57</v>
      </c>
      <c r="E523">
        <f>VLOOKUP(A523,Ucto_HK_summ!$A$2:H$966,7,FALSE)</f>
        <v>3926</v>
      </c>
    </row>
    <row r="524" spans="1:5">
      <c r="A524" s="578" t="s">
        <v>2014</v>
      </c>
      <c r="B524" s="578" t="s">
        <v>2015</v>
      </c>
      <c r="C524">
        <v>0</v>
      </c>
      <c r="D524" s="513">
        <v>604706.76</v>
      </c>
      <c r="E524">
        <f>VLOOKUP(A524,Ucto_HK_summ!$A$2:H$966,7,FALSE)</f>
        <v>364215.07</v>
      </c>
    </row>
    <row r="525" spans="1:5">
      <c r="A525" s="578" t="s">
        <v>2791</v>
      </c>
      <c r="B525" s="578" t="s">
        <v>2792</v>
      </c>
      <c r="C525">
        <v>0</v>
      </c>
      <c r="D525" s="513">
        <v>1792.65</v>
      </c>
      <c r="E525">
        <f>VLOOKUP(A525,Ucto_HK_summ!$A$2:H$966,7,FALSE)</f>
        <v>0</v>
      </c>
    </row>
    <row r="526" spans="1:5">
      <c r="A526" s="578" t="s">
        <v>2793</v>
      </c>
      <c r="B526" s="578" t="s">
        <v>2794</v>
      </c>
      <c r="C526">
        <v>0</v>
      </c>
      <c r="D526" s="513">
        <v>3067.64</v>
      </c>
      <c r="E526">
        <f>VLOOKUP(A526,Ucto_HK_summ!$A$2:H$966,7,FALSE)</f>
        <v>0</v>
      </c>
    </row>
    <row r="527" spans="1:5">
      <c r="A527" s="578" t="s">
        <v>2016</v>
      </c>
      <c r="B527" s="578" t="s">
        <v>2017</v>
      </c>
      <c r="C527">
        <v>0</v>
      </c>
      <c r="D527" s="550">
        <v>865001</v>
      </c>
      <c r="E527">
        <f>VLOOKUP(A527,Ucto_HK_summ!$A$2:H$966,7,FALSE)</f>
        <v>913926.44</v>
      </c>
    </row>
    <row r="528" spans="1:5">
      <c r="A528" s="578" t="s">
        <v>817</v>
      </c>
      <c r="C528">
        <v>0</v>
      </c>
      <c r="D528" s="513">
        <v>79419661.150000006</v>
      </c>
      <c r="E528">
        <f>VLOOKUP(A528,Ucto_HK_summ!$A$2:H$966,7,FALSE)</f>
        <v>60552707.590000004</v>
      </c>
    </row>
    <row r="529" spans="1:5">
      <c r="A529" s="578" t="s">
        <v>2018</v>
      </c>
      <c r="B529" s="578" t="s">
        <v>2019</v>
      </c>
      <c r="C529">
        <v>0</v>
      </c>
      <c r="D529" s="513">
        <v>2737649.69</v>
      </c>
      <c r="E529">
        <f>VLOOKUP(A529,Ucto_HK_summ!$A$2:H$966,7,FALSE)</f>
        <v>2162175.4700000002</v>
      </c>
    </row>
    <row r="530" spans="1:5">
      <c r="A530" s="578" t="s">
        <v>2020</v>
      </c>
      <c r="B530" s="578" t="s">
        <v>2021</v>
      </c>
      <c r="C530">
        <v>0</v>
      </c>
      <c r="D530" s="550">
        <v>1060527</v>
      </c>
      <c r="E530">
        <f>VLOOKUP(A530,Ucto_HK_summ!$A$2:H$966,7,FALSE)</f>
        <v>847618.08</v>
      </c>
    </row>
    <row r="531" spans="1:5">
      <c r="A531" s="578" t="s">
        <v>2022</v>
      </c>
      <c r="B531" s="578" t="s">
        <v>2023</v>
      </c>
      <c r="C531">
        <v>0</v>
      </c>
      <c r="D531" s="513">
        <v>1056796.96</v>
      </c>
      <c r="E531">
        <f>VLOOKUP(A531,Ucto_HK_summ!$A$2:H$966,7,FALSE)</f>
        <v>775635.98</v>
      </c>
    </row>
    <row r="532" spans="1:5">
      <c r="A532" s="578" t="s">
        <v>2024</v>
      </c>
      <c r="B532" s="578" t="s">
        <v>2025</v>
      </c>
      <c r="C532">
        <v>0</v>
      </c>
      <c r="D532" s="513">
        <v>2522596.31</v>
      </c>
      <c r="E532">
        <f>VLOOKUP(A532,Ucto_HK_summ!$A$2:H$966,7,FALSE)</f>
        <v>1871085.66</v>
      </c>
    </row>
    <row r="533" spans="1:5">
      <c r="A533" s="578" t="s">
        <v>2026</v>
      </c>
      <c r="B533" s="578" t="s">
        <v>2027</v>
      </c>
      <c r="C533">
        <v>0</v>
      </c>
      <c r="D533" s="513">
        <v>436402.11</v>
      </c>
      <c r="E533">
        <f>VLOOKUP(A533,Ucto_HK_summ!$A$2:H$966,7,FALSE)</f>
        <v>295958.24</v>
      </c>
    </row>
    <row r="534" spans="1:5">
      <c r="A534" s="578" t="s">
        <v>2028</v>
      </c>
      <c r="B534" s="578" t="s">
        <v>2029</v>
      </c>
      <c r="C534">
        <v>0</v>
      </c>
      <c r="D534" s="513">
        <v>383654.24</v>
      </c>
      <c r="E534">
        <f>VLOOKUP(A534,Ucto_HK_summ!$A$2:H$966,7,FALSE)</f>
        <v>304140.23</v>
      </c>
    </row>
    <row r="535" spans="1:5">
      <c r="A535" s="578" t="s">
        <v>2030</v>
      </c>
      <c r="B535" s="578" t="s">
        <v>2031</v>
      </c>
      <c r="C535">
        <v>0</v>
      </c>
      <c r="D535" s="513">
        <v>149537.65</v>
      </c>
      <c r="E535">
        <f>VLOOKUP(A535,Ucto_HK_summ!$A$2:H$966,7,FALSE)</f>
        <v>120368.9</v>
      </c>
    </row>
    <row r="536" spans="1:5">
      <c r="A536" s="578" t="s">
        <v>2032</v>
      </c>
      <c r="B536" s="578" t="s">
        <v>2033</v>
      </c>
      <c r="C536">
        <v>0</v>
      </c>
      <c r="D536" s="513">
        <v>149514.10999999999</v>
      </c>
      <c r="E536">
        <f>VLOOKUP(A536,Ucto_HK_summ!$A$2:H$966,7,FALSE)</f>
        <v>109623.54</v>
      </c>
    </row>
    <row r="537" spans="1:5">
      <c r="A537" s="578" t="s">
        <v>2034</v>
      </c>
      <c r="B537" s="578" t="s">
        <v>2035</v>
      </c>
      <c r="C537">
        <v>0</v>
      </c>
      <c r="D537" s="513">
        <v>354017.18</v>
      </c>
      <c r="E537">
        <f>VLOOKUP(A537,Ucto_HK_summ!$A$2:H$966,7,FALSE)</f>
        <v>263447.46999999997</v>
      </c>
    </row>
    <row r="538" spans="1:5">
      <c r="A538" s="578" t="s">
        <v>2036</v>
      </c>
      <c r="B538" s="578" t="s">
        <v>2037</v>
      </c>
      <c r="C538">
        <v>0</v>
      </c>
      <c r="D538" s="513">
        <v>60920.54</v>
      </c>
      <c r="E538">
        <f>VLOOKUP(A538,Ucto_HK_summ!$A$2:H$966,7,FALSE)</f>
        <v>41476.83</v>
      </c>
    </row>
    <row r="539" spans="1:5">
      <c r="A539" s="578" t="s">
        <v>2038</v>
      </c>
      <c r="B539" s="578" t="s">
        <v>2039</v>
      </c>
      <c r="C539">
        <v>0</v>
      </c>
      <c r="D539" s="513">
        <v>3836899.66</v>
      </c>
      <c r="E539">
        <f>VLOOKUP(A539,Ucto_HK_summ!$A$2:H$966,7,FALSE)</f>
        <v>3041803.98</v>
      </c>
    </row>
    <row r="540" spans="1:5">
      <c r="A540" s="578" t="s">
        <v>2040</v>
      </c>
      <c r="B540" s="578" t="s">
        <v>2041</v>
      </c>
      <c r="C540">
        <v>0</v>
      </c>
      <c r="D540" s="513">
        <v>1495838.09</v>
      </c>
      <c r="E540">
        <f>VLOOKUP(A540,Ucto_HK_summ!$A$2:H$966,7,FALSE)</f>
        <v>1203880.1499999999</v>
      </c>
    </row>
    <row r="541" spans="1:5">
      <c r="A541" s="578" t="s">
        <v>2042</v>
      </c>
      <c r="B541" s="578" t="s">
        <v>2043</v>
      </c>
      <c r="C541">
        <v>0</v>
      </c>
      <c r="D541" s="513">
        <v>1552630.12</v>
      </c>
      <c r="E541">
        <f>VLOOKUP(A541,Ucto_HK_summ!$A$2:H$966,7,FALSE)</f>
        <v>1109960.01</v>
      </c>
    </row>
    <row r="542" spans="1:5">
      <c r="A542" s="578" t="s">
        <v>2044</v>
      </c>
      <c r="B542" s="578" t="s">
        <v>2045</v>
      </c>
      <c r="C542">
        <v>0</v>
      </c>
      <c r="D542" s="513">
        <v>3541477.85</v>
      </c>
      <c r="E542">
        <f>VLOOKUP(A542,Ucto_HK_summ!$A$2:H$966,7,FALSE)</f>
        <v>2635061.5099999998</v>
      </c>
    </row>
    <row r="543" spans="1:5">
      <c r="A543" s="578" t="s">
        <v>2046</v>
      </c>
      <c r="B543" s="578" t="s">
        <v>2047</v>
      </c>
      <c r="C543">
        <v>0</v>
      </c>
      <c r="D543" s="513">
        <v>609738.48</v>
      </c>
      <c r="E543">
        <f>VLOOKUP(A543,Ucto_HK_summ!$A$2:H$966,7,FALSE)</f>
        <v>414899.12</v>
      </c>
    </row>
    <row r="544" spans="1:5">
      <c r="A544" s="578" t="s">
        <v>2048</v>
      </c>
      <c r="B544" s="578" t="s">
        <v>2049</v>
      </c>
      <c r="C544">
        <v>0</v>
      </c>
      <c r="D544" s="513">
        <v>252135.41</v>
      </c>
      <c r="E544">
        <f>VLOOKUP(A544,Ucto_HK_summ!$A$2:H$966,7,FALSE)</f>
        <v>196107.86</v>
      </c>
    </row>
    <row r="545" spans="1:5">
      <c r="A545" s="578" t="s">
        <v>2050</v>
      </c>
      <c r="B545" s="578" t="s">
        <v>2051</v>
      </c>
      <c r="C545">
        <v>0</v>
      </c>
      <c r="D545" s="513">
        <v>100676.57</v>
      </c>
      <c r="E545">
        <f>VLOOKUP(A545,Ucto_HK_summ!$A$2:H$966,7,FALSE)</f>
        <v>80249.649999999994</v>
      </c>
    </row>
    <row r="546" spans="1:5">
      <c r="A546" s="578" t="s">
        <v>2052</v>
      </c>
      <c r="B546" s="578" t="s">
        <v>2053</v>
      </c>
      <c r="C546">
        <v>0</v>
      </c>
      <c r="D546" s="513">
        <v>97582.24</v>
      </c>
      <c r="E546">
        <f>VLOOKUP(A546,Ucto_HK_summ!$A$2:H$966,7,FALSE)</f>
        <v>69266.740000000005</v>
      </c>
    </row>
    <row r="547" spans="1:5">
      <c r="A547" s="578" t="s">
        <v>2054</v>
      </c>
      <c r="B547" s="578" t="s">
        <v>2055</v>
      </c>
      <c r="C547">
        <v>0</v>
      </c>
      <c r="D547" s="513">
        <v>245610.18</v>
      </c>
      <c r="E547">
        <f>VLOOKUP(A547,Ucto_HK_summ!$A$2:H$966,7,FALSE)</f>
        <v>181887.05</v>
      </c>
    </row>
    <row r="548" spans="1:5">
      <c r="A548" s="578" t="s">
        <v>2056</v>
      </c>
      <c r="B548" s="578" t="s">
        <v>2057</v>
      </c>
      <c r="C548">
        <v>0</v>
      </c>
      <c r="D548" s="513">
        <v>42960.77</v>
      </c>
      <c r="E548">
        <f>VLOOKUP(A548,Ucto_HK_summ!$A$2:H$966,7,FALSE)</f>
        <v>28242</v>
      </c>
    </row>
    <row r="549" spans="1:5">
      <c r="A549" s="578" t="s">
        <v>2058</v>
      </c>
      <c r="B549" s="578" t="s">
        <v>2059</v>
      </c>
      <c r="C549">
        <v>0</v>
      </c>
      <c r="D549" s="513">
        <v>760602.11</v>
      </c>
      <c r="E549">
        <f>VLOOKUP(A549,Ucto_HK_summ!$A$2:H$966,7,FALSE)</f>
        <v>590825.49</v>
      </c>
    </row>
    <row r="550" spans="1:5">
      <c r="A550" s="578" t="s">
        <v>2060</v>
      </c>
      <c r="B550" s="578" t="s">
        <v>2061</v>
      </c>
      <c r="C550">
        <v>0</v>
      </c>
      <c r="D550" s="513">
        <v>303393.71000000002</v>
      </c>
      <c r="E550">
        <f>VLOOKUP(A550,Ucto_HK_summ!$A$2:H$966,7,FALSE)</f>
        <v>241955.15</v>
      </c>
    </row>
    <row r="551" spans="1:5">
      <c r="A551" s="578" t="s">
        <v>2062</v>
      </c>
      <c r="B551" s="578" t="s">
        <v>2063</v>
      </c>
      <c r="C551">
        <v>0</v>
      </c>
      <c r="D551" s="513">
        <v>306387.59000000003</v>
      </c>
      <c r="E551">
        <f>VLOOKUP(A551,Ucto_HK_summ!$A$2:H$966,7,FALSE)</f>
        <v>211578.73</v>
      </c>
    </row>
    <row r="552" spans="1:5">
      <c r="A552" s="578" t="s">
        <v>2064</v>
      </c>
      <c r="B552" s="578" t="s">
        <v>2065</v>
      </c>
      <c r="C552">
        <v>0</v>
      </c>
      <c r="D552" s="513">
        <v>739037.9</v>
      </c>
      <c r="E552">
        <f>VLOOKUP(A552,Ucto_HK_summ!$A$2:H$966,7,FALSE)</f>
        <v>547104.94999999995</v>
      </c>
    </row>
    <row r="553" spans="1:5">
      <c r="A553" s="578" t="s">
        <v>2066</v>
      </c>
      <c r="B553" s="578" t="s">
        <v>2067</v>
      </c>
      <c r="C553">
        <v>0</v>
      </c>
      <c r="D553" s="513">
        <v>128994.43</v>
      </c>
      <c r="E553">
        <f>VLOOKUP(A553,Ucto_HK_summ!$A$2:H$966,7,FALSE)</f>
        <v>87760.68</v>
      </c>
    </row>
    <row r="554" spans="1:5">
      <c r="A554" s="578" t="s">
        <v>2068</v>
      </c>
      <c r="B554" s="578" t="s">
        <v>2069</v>
      </c>
      <c r="C554">
        <v>0</v>
      </c>
      <c r="D554" s="513">
        <v>220139.08</v>
      </c>
      <c r="E554">
        <f>VLOOKUP(A554,Ucto_HK_summ!$A$2:H$966,7,FALSE)</f>
        <v>174224.1</v>
      </c>
    </row>
    <row r="555" spans="1:5">
      <c r="A555" s="578" t="s">
        <v>2070</v>
      </c>
      <c r="B555" s="578" t="s">
        <v>2071</v>
      </c>
      <c r="C555">
        <v>0</v>
      </c>
      <c r="D555" s="513">
        <v>85930.09</v>
      </c>
      <c r="E555">
        <f>VLOOKUP(A555,Ucto_HK_summ!$A$2:H$966,7,FALSE)</f>
        <v>68946.13</v>
      </c>
    </row>
    <row r="556" spans="1:5">
      <c r="A556" s="578" t="s">
        <v>2072</v>
      </c>
      <c r="B556" s="578" t="s">
        <v>2073</v>
      </c>
      <c r="C556">
        <v>0</v>
      </c>
      <c r="D556" s="513">
        <v>91967.89</v>
      </c>
      <c r="E556">
        <f>VLOOKUP(A556,Ucto_HK_summ!$A$2:H$966,7,FALSE)</f>
        <v>65918.83</v>
      </c>
    </row>
    <row r="557" spans="1:5">
      <c r="A557" s="578" t="s">
        <v>2074</v>
      </c>
      <c r="B557" s="578" t="s">
        <v>2075</v>
      </c>
      <c r="C557">
        <v>0</v>
      </c>
      <c r="D557" s="513">
        <v>203218.46</v>
      </c>
      <c r="E557">
        <f>VLOOKUP(A557,Ucto_HK_summ!$A$2:H$966,7,FALSE)</f>
        <v>151135.87</v>
      </c>
    </row>
    <row r="558" spans="1:5">
      <c r="A558" s="578" t="s">
        <v>2076</v>
      </c>
      <c r="B558" s="578" t="s">
        <v>2077</v>
      </c>
      <c r="C558">
        <v>0</v>
      </c>
      <c r="D558" s="513">
        <v>34950.230000000003</v>
      </c>
      <c r="E558">
        <f>VLOOKUP(A558,Ucto_HK_summ!$A$2:H$966,7,FALSE)</f>
        <v>23724.47</v>
      </c>
    </row>
    <row r="559" spans="1:5">
      <c r="A559" s="578" t="s">
        <v>2078</v>
      </c>
      <c r="B559" s="578" t="s">
        <v>2079</v>
      </c>
      <c r="C559">
        <v>0</v>
      </c>
      <c r="D559" s="513">
        <v>1301773.71</v>
      </c>
      <c r="E559">
        <f>VLOOKUP(A559,Ucto_HK_summ!$A$2:H$966,7,FALSE)</f>
        <v>1032019.23</v>
      </c>
    </row>
    <row r="560" spans="1:5">
      <c r="A560" s="578" t="s">
        <v>2080</v>
      </c>
      <c r="B560" s="578" t="s">
        <v>2081</v>
      </c>
      <c r="C560">
        <v>0</v>
      </c>
      <c r="D560" s="513">
        <v>507492.12</v>
      </c>
      <c r="E560">
        <f>VLOOKUP(A560,Ucto_HK_summ!$A$2:H$966,7,FALSE)</f>
        <v>408513.09</v>
      </c>
    </row>
    <row r="561" spans="1:5">
      <c r="A561" s="578" t="s">
        <v>2082</v>
      </c>
      <c r="B561" s="578" t="s">
        <v>2083</v>
      </c>
      <c r="C561">
        <v>0</v>
      </c>
      <c r="D561" s="513">
        <v>526747.69999999995</v>
      </c>
      <c r="E561">
        <f>VLOOKUP(A561,Ucto_HK_summ!$A$2:H$966,7,FALSE)</f>
        <v>376803.63</v>
      </c>
    </row>
    <row r="562" spans="1:5">
      <c r="A562" s="578" t="s">
        <v>2084</v>
      </c>
      <c r="B562" s="578" t="s">
        <v>2085</v>
      </c>
      <c r="C562">
        <v>0</v>
      </c>
      <c r="D562" s="513">
        <v>1201528.29</v>
      </c>
      <c r="E562">
        <f>VLOOKUP(A562,Ucto_HK_summ!$A$2:H$966,7,FALSE)</f>
        <v>893995.74</v>
      </c>
    </row>
    <row r="563" spans="1:5">
      <c r="A563" s="578" t="s">
        <v>2086</v>
      </c>
      <c r="B563" s="578" t="s">
        <v>2087</v>
      </c>
      <c r="C563">
        <v>0</v>
      </c>
      <c r="D563" s="513">
        <v>206864.75</v>
      </c>
      <c r="E563">
        <f>VLOOKUP(A563,Ucto_HK_summ!$A$2:H$966,7,FALSE)</f>
        <v>140761.39000000001</v>
      </c>
    </row>
    <row r="564" spans="1:5">
      <c r="A564" s="578" t="s">
        <v>2088</v>
      </c>
      <c r="B564" s="578" t="s">
        <v>2089</v>
      </c>
      <c r="C564">
        <v>0</v>
      </c>
      <c r="D564" s="550">
        <v>87398</v>
      </c>
      <c r="E564">
        <f>VLOOKUP(A564,Ucto_HK_summ!$A$2:H$966,7,FALSE)</f>
        <v>92652.24</v>
      </c>
    </row>
    <row r="565" spans="1:5">
      <c r="A565" s="578" t="s">
        <v>2090</v>
      </c>
      <c r="B565" s="578" t="s">
        <v>2091</v>
      </c>
      <c r="C565">
        <v>0</v>
      </c>
      <c r="D565" s="550">
        <v>12154</v>
      </c>
      <c r="E565">
        <f>VLOOKUP(A565,Ucto_HK_summ!$A$2:H$966,7,FALSE)</f>
        <v>14135.31</v>
      </c>
    </row>
    <row r="566" spans="1:5">
      <c r="A566" s="578" t="s">
        <v>2092</v>
      </c>
      <c r="B566" s="578" t="s">
        <v>2093</v>
      </c>
      <c r="C566">
        <v>0</v>
      </c>
      <c r="D566" s="550">
        <v>121590</v>
      </c>
      <c r="E566">
        <f>VLOOKUP(A566,Ucto_HK_summ!$A$2:H$966,7,FALSE)</f>
        <v>132572.01999999999</v>
      </c>
    </row>
    <row r="567" spans="1:5">
      <c r="A567" s="578" t="s">
        <v>2094</v>
      </c>
      <c r="B567" s="578" t="s">
        <v>2095</v>
      </c>
      <c r="C567">
        <v>0</v>
      </c>
      <c r="D567" s="550">
        <v>7952</v>
      </c>
      <c r="E567">
        <f>VLOOKUP(A567,Ucto_HK_summ!$A$2:H$966,7,FALSE)</f>
        <v>8288.81</v>
      </c>
    </row>
    <row r="568" spans="1:5">
      <c r="A568" s="578" t="s">
        <v>2096</v>
      </c>
      <c r="B568" s="578" t="s">
        <v>2097</v>
      </c>
      <c r="C568">
        <v>0</v>
      </c>
      <c r="D568" s="550">
        <v>24012</v>
      </c>
      <c r="E568">
        <f>VLOOKUP(A568,Ucto_HK_summ!$A$2:H$966,7,FALSE)</f>
        <v>25252.639999999999</v>
      </c>
    </row>
    <row r="569" spans="1:5">
      <c r="A569" s="578" t="s">
        <v>2098</v>
      </c>
      <c r="B569" s="578" t="s">
        <v>2099</v>
      </c>
      <c r="C569">
        <v>0</v>
      </c>
      <c r="D569" s="550">
        <v>7028</v>
      </c>
      <c r="E569">
        <f>VLOOKUP(A569,Ucto_HK_summ!$A$2:H$966,7,FALSE)</f>
        <v>7512.39</v>
      </c>
    </row>
    <row r="570" spans="1:5">
      <c r="A570" s="578" t="s">
        <v>2100</v>
      </c>
      <c r="B570" s="578" t="s">
        <v>2101</v>
      </c>
      <c r="C570">
        <v>0</v>
      </c>
      <c r="D570" s="550">
        <v>41258</v>
      </c>
      <c r="E570">
        <f>VLOOKUP(A570,Ucto_HK_summ!$A$2:H$966,7,FALSE)</f>
        <v>44227.21</v>
      </c>
    </row>
    <row r="571" spans="1:5">
      <c r="A571" s="578" t="s">
        <v>818</v>
      </c>
      <c r="C571">
        <v>0</v>
      </c>
      <c r="D571" s="513">
        <v>27607585.219999999</v>
      </c>
      <c r="E571">
        <f>VLOOKUP(A571,Ucto_HK_summ!$A$2:H$966,7,FALSE)</f>
        <v>21092796.57</v>
      </c>
    </row>
    <row r="572" spans="1:5">
      <c r="A572" s="578" t="s">
        <v>2102</v>
      </c>
      <c r="B572" s="578" t="s">
        <v>2103</v>
      </c>
      <c r="C572">
        <v>0</v>
      </c>
      <c r="D572" s="513">
        <v>195164.3</v>
      </c>
      <c r="E572">
        <f>VLOOKUP(A572,Ucto_HK_summ!$A$2:H$966,7,FALSE)</f>
        <v>117683.06</v>
      </c>
    </row>
    <row r="573" spans="1:5">
      <c r="A573" s="578" t="s">
        <v>2104</v>
      </c>
      <c r="B573" s="578" t="s">
        <v>2105</v>
      </c>
      <c r="C573">
        <v>0</v>
      </c>
      <c r="D573" s="513">
        <v>133992.65</v>
      </c>
      <c r="E573">
        <f>VLOOKUP(A573,Ucto_HK_summ!$A$2:H$966,7,FALSE)</f>
        <v>99411.54</v>
      </c>
    </row>
    <row r="574" spans="1:5">
      <c r="A574" s="578" t="s">
        <v>2106</v>
      </c>
      <c r="B574" s="578" t="s">
        <v>2107</v>
      </c>
      <c r="C574">
        <v>0</v>
      </c>
      <c r="D574" s="513">
        <v>83730.67</v>
      </c>
      <c r="E574">
        <f>VLOOKUP(A574,Ucto_HK_summ!$A$2:H$966,7,FALSE)</f>
        <v>74630.59</v>
      </c>
    </row>
    <row r="575" spans="1:5">
      <c r="A575" s="578" t="s">
        <v>2108</v>
      </c>
      <c r="B575" s="578" t="s">
        <v>2109</v>
      </c>
      <c r="C575">
        <v>0</v>
      </c>
      <c r="D575" s="513">
        <v>295898.28000000003</v>
      </c>
      <c r="E575">
        <f>VLOOKUP(A575,Ucto_HK_summ!$A$2:H$966,7,FALSE)</f>
        <v>186398.09</v>
      </c>
    </row>
    <row r="576" spans="1:5">
      <c r="A576" s="578" t="s">
        <v>2110</v>
      </c>
      <c r="B576" s="578" t="s">
        <v>2111</v>
      </c>
      <c r="C576">
        <v>0</v>
      </c>
      <c r="D576" s="513">
        <v>25417.52</v>
      </c>
      <c r="E576">
        <f>VLOOKUP(A576,Ucto_HK_summ!$A$2:H$966,7,FALSE)</f>
        <v>14409.47</v>
      </c>
    </row>
    <row r="577" spans="1:5">
      <c r="A577" s="578" t="s">
        <v>2112</v>
      </c>
      <c r="B577" s="578" t="s">
        <v>2113</v>
      </c>
      <c r="C577">
        <v>0</v>
      </c>
      <c r="D577" s="550">
        <v>5303</v>
      </c>
      <c r="E577">
        <f>VLOOKUP(A577,Ucto_HK_summ!$A$2:H$966,7,FALSE)</f>
        <v>5702.29</v>
      </c>
    </row>
    <row r="578" spans="1:5">
      <c r="A578" s="578" t="s">
        <v>820</v>
      </c>
      <c r="C578">
        <v>0</v>
      </c>
      <c r="D578" s="513">
        <v>739506.42</v>
      </c>
      <c r="E578">
        <f>VLOOKUP(A578,Ucto_HK_summ!$A$2:H$966,7,FALSE)</f>
        <v>498235.04</v>
      </c>
    </row>
    <row r="579" spans="1:5">
      <c r="A579" s="578" t="s">
        <v>2114</v>
      </c>
      <c r="B579" s="578" t="s">
        <v>2115</v>
      </c>
      <c r="C579">
        <v>0</v>
      </c>
      <c r="D579" s="513">
        <v>324596.77</v>
      </c>
      <c r="E579">
        <f>VLOOKUP(A579,Ucto_HK_summ!$A$2:H$966,7,FALSE)</f>
        <v>260692.28</v>
      </c>
    </row>
    <row r="580" spans="1:5">
      <c r="A580" s="578" t="s">
        <v>2116</v>
      </c>
      <c r="B580" s="578" t="s">
        <v>2117</v>
      </c>
      <c r="C580">
        <v>0</v>
      </c>
      <c r="D580" s="513">
        <v>135852.44</v>
      </c>
      <c r="E580">
        <f>VLOOKUP(A580,Ucto_HK_summ!$A$2:H$966,7,FALSE)</f>
        <v>108074.5</v>
      </c>
    </row>
    <row r="581" spans="1:5">
      <c r="A581" s="578" t="s">
        <v>2118</v>
      </c>
      <c r="B581" s="578" t="s">
        <v>2119</v>
      </c>
      <c r="C581">
        <v>0</v>
      </c>
      <c r="D581" s="513">
        <v>146332.85</v>
      </c>
      <c r="E581">
        <f>VLOOKUP(A581,Ucto_HK_summ!$A$2:H$966,7,FALSE)</f>
        <v>110265.67</v>
      </c>
    </row>
    <row r="582" spans="1:5">
      <c r="A582" s="578" t="s">
        <v>2120</v>
      </c>
      <c r="B582" s="578" t="s">
        <v>2121</v>
      </c>
      <c r="C582">
        <v>0</v>
      </c>
      <c r="D582" s="513">
        <v>326535.36</v>
      </c>
      <c r="E582">
        <f>VLOOKUP(A582,Ucto_HK_summ!$A$2:H$966,7,FALSE)</f>
        <v>244990.62</v>
      </c>
    </row>
    <row r="583" spans="1:5">
      <c r="A583" s="578" t="s">
        <v>2122</v>
      </c>
      <c r="B583" s="578" t="s">
        <v>2123</v>
      </c>
      <c r="C583">
        <v>0</v>
      </c>
      <c r="D583" s="513">
        <v>56280.83</v>
      </c>
      <c r="E583">
        <f>VLOOKUP(A583,Ucto_HK_summ!$A$2:H$966,7,FALSE)</f>
        <v>38373.67</v>
      </c>
    </row>
    <row r="584" spans="1:5">
      <c r="A584" s="578" t="s">
        <v>2124</v>
      </c>
      <c r="B584" s="578" t="s">
        <v>2125</v>
      </c>
      <c r="C584">
        <v>0</v>
      </c>
      <c r="D584" s="513">
        <v>87786.64</v>
      </c>
      <c r="E584">
        <f>VLOOKUP(A584,Ucto_HK_summ!$A$2:H$966,7,FALSE)</f>
        <v>107497.85</v>
      </c>
    </row>
    <row r="585" spans="1:5">
      <c r="A585" s="578" t="s">
        <v>2126</v>
      </c>
      <c r="B585" s="578" t="s">
        <v>2127</v>
      </c>
      <c r="C585">
        <v>0</v>
      </c>
      <c r="D585" s="513">
        <v>78896.479999999996</v>
      </c>
      <c r="E585">
        <f>VLOOKUP(A585,Ucto_HK_summ!$A$2:H$966,7,FALSE)</f>
        <v>142596.47</v>
      </c>
    </row>
    <row r="586" spans="1:5">
      <c r="A586" s="578" t="s">
        <v>2128</v>
      </c>
      <c r="B586" s="578" t="s">
        <v>2129</v>
      </c>
      <c r="C586">
        <v>0</v>
      </c>
      <c r="D586" s="513">
        <v>112737.33</v>
      </c>
      <c r="E586">
        <f>VLOOKUP(A586,Ucto_HK_summ!$A$2:H$966,7,FALSE)</f>
        <v>91113.81</v>
      </c>
    </row>
    <row r="587" spans="1:5">
      <c r="A587" s="578" t="s">
        <v>2130</v>
      </c>
      <c r="B587" s="578" t="s">
        <v>2131</v>
      </c>
      <c r="C587">
        <v>0</v>
      </c>
      <c r="D587" s="513">
        <v>121933.7</v>
      </c>
      <c r="E587">
        <f>VLOOKUP(A587,Ucto_HK_summ!$A$2:H$966,7,FALSE)</f>
        <v>122872</v>
      </c>
    </row>
    <row r="588" spans="1:5">
      <c r="A588" s="578" t="s">
        <v>2132</v>
      </c>
      <c r="B588" s="578" t="s">
        <v>2133</v>
      </c>
      <c r="C588">
        <v>0</v>
      </c>
      <c r="D588" s="513">
        <v>25703.91</v>
      </c>
      <c r="E588">
        <f>VLOOKUP(A588,Ucto_HK_summ!$A$2:H$966,7,FALSE)</f>
        <v>23328.54</v>
      </c>
    </row>
    <row r="589" spans="1:5">
      <c r="A589" s="578" t="s">
        <v>2134</v>
      </c>
      <c r="B589" s="578" t="s">
        <v>2135</v>
      </c>
      <c r="C589">
        <v>0</v>
      </c>
      <c r="D589" s="513">
        <v>7052.76</v>
      </c>
      <c r="E589">
        <f>VLOOKUP(A589,Ucto_HK_summ!$A$2:H$966,7,FALSE)</f>
        <v>6817.59</v>
      </c>
    </row>
    <row r="590" spans="1:5">
      <c r="A590" s="578" t="s">
        <v>2136</v>
      </c>
      <c r="B590" s="578" t="s">
        <v>2137</v>
      </c>
      <c r="C590">
        <v>0</v>
      </c>
      <c r="D590" s="513">
        <v>12773.52</v>
      </c>
      <c r="E590">
        <f>VLOOKUP(A590,Ucto_HK_summ!$A$2:H$966,7,FALSE)</f>
        <v>48500.08</v>
      </c>
    </row>
    <row r="591" spans="1:5">
      <c r="A591" s="578" t="s">
        <v>2140</v>
      </c>
      <c r="B591" s="578" t="s">
        <v>2141</v>
      </c>
      <c r="C591">
        <v>0</v>
      </c>
      <c r="D591" s="513">
        <v>37778.660000000003</v>
      </c>
      <c r="E591">
        <f>VLOOKUP(A591,Ucto_HK_summ!$A$2:H$966,7,FALSE)</f>
        <v>24134.66</v>
      </c>
    </row>
    <row r="592" spans="1:5">
      <c r="A592" s="578" t="s">
        <v>2142</v>
      </c>
      <c r="B592" s="578" t="s">
        <v>2143</v>
      </c>
      <c r="C592">
        <v>0</v>
      </c>
      <c r="D592" s="513">
        <v>43647.44</v>
      </c>
      <c r="E592">
        <f>VLOOKUP(A592,Ucto_HK_summ!$A$2:H$966,7,FALSE)</f>
        <v>40701.730000000003</v>
      </c>
    </row>
    <row r="593" spans="1:5">
      <c r="A593" s="578" t="s">
        <v>2144</v>
      </c>
      <c r="B593" s="578" t="s">
        <v>2145</v>
      </c>
      <c r="C593">
        <v>0</v>
      </c>
      <c r="D593" s="513">
        <v>60796.12</v>
      </c>
      <c r="E593">
        <f>VLOOKUP(A593,Ucto_HK_summ!$A$2:H$966,7,FALSE)</f>
        <v>37489.14</v>
      </c>
    </row>
    <row r="594" spans="1:5">
      <c r="A594" s="578" t="s">
        <v>2146</v>
      </c>
      <c r="B594" s="578" t="s">
        <v>2147</v>
      </c>
      <c r="C594">
        <v>0</v>
      </c>
      <c r="D594" s="513">
        <v>61294.400000000001</v>
      </c>
      <c r="E594">
        <f>VLOOKUP(A594,Ucto_HK_summ!$A$2:H$966,7,FALSE)</f>
        <v>42911.19</v>
      </c>
    </row>
    <row r="595" spans="1:5">
      <c r="A595" s="578" t="s">
        <v>2677</v>
      </c>
      <c r="B595" s="578" t="s">
        <v>2678</v>
      </c>
      <c r="C595">
        <v>0</v>
      </c>
      <c r="D595" s="513">
        <v>4777.3</v>
      </c>
      <c r="E595">
        <f>VLOOKUP(A595,Ucto_HK_summ!$A$2:H$966,7,FALSE)</f>
        <v>0</v>
      </c>
    </row>
    <row r="596" spans="1:5">
      <c r="A596" s="578" t="s">
        <v>2148</v>
      </c>
      <c r="B596" s="578" t="s">
        <v>2149</v>
      </c>
      <c r="C596">
        <v>0</v>
      </c>
      <c r="D596" s="513">
        <v>39784.46</v>
      </c>
      <c r="E596">
        <f>VLOOKUP(A596,Ucto_HK_summ!$A$2:H$966,7,FALSE)</f>
        <v>59878.27</v>
      </c>
    </row>
    <row r="597" spans="1:5">
      <c r="A597" s="578" t="s">
        <v>2150</v>
      </c>
      <c r="B597" s="578" t="s">
        <v>2151</v>
      </c>
      <c r="C597">
        <v>0</v>
      </c>
      <c r="D597" s="513">
        <v>47976.23</v>
      </c>
      <c r="E597">
        <f>VLOOKUP(A597,Ucto_HK_summ!$A$2:H$966,7,FALSE)</f>
        <v>51245.82</v>
      </c>
    </row>
    <row r="598" spans="1:5">
      <c r="A598" s="578" t="s">
        <v>2152</v>
      </c>
      <c r="B598" s="578" t="s">
        <v>2153</v>
      </c>
      <c r="C598">
        <v>0</v>
      </c>
      <c r="D598" s="513">
        <v>34154.04</v>
      </c>
      <c r="E598">
        <f>VLOOKUP(A598,Ucto_HK_summ!$A$2:H$966,7,FALSE)</f>
        <v>28423.61</v>
      </c>
    </row>
    <row r="599" spans="1:5">
      <c r="A599" s="578" t="s">
        <v>2154</v>
      </c>
      <c r="B599" s="578" t="s">
        <v>2155</v>
      </c>
      <c r="C599">
        <v>0</v>
      </c>
      <c r="D599" s="513">
        <v>97096.48</v>
      </c>
      <c r="E599">
        <f>VLOOKUP(A599,Ucto_HK_summ!$A$2:H$966,7,FALSE)</f>
        <v>89349.1</v>
      </c>
    </row>
    <row r="600" spans="1:5">
      <c r="A600" s="578" t="s">
        <v>2156</v>
      </c>
      <c r="B600" s="578" t="s">
        <v>2157</v>
      </c>
      <c r="C600">
        <v>0</v>
      </c>
      <c r="D600" s="513">
        <v>19359.12</v>
      </c>
      <c r="E600">
        <f>VLOOKUP(A600,Ucto_HK_summ!$A$2:H$966,7,FALSE)</f>
        <v>16403.189999999999</v>
      </c>
    </row>
    <row r="601" spans="1:5">
      <c r="A601" s="578" t="s">
        <v>2158</v>
      </c>
      <c r="B601" s="578" t="s">
        <v>2159</v>
      </c>
      <c r="C601">
        <v>0</v>
      </c>
      <c r="D601" s="513">
        <v>1323021.51</v>
      </c>
      <c r="E601">
        <f>VLOOKUP(A601,Ucto_HK_summ!$A$2:H$966,7,FALSE)</f>
        <v>1373722.53</v>
      </c>
    </row>
    <row r="602" spans="1:5">
      <c r="A602" s="578" t="s">
        <v>2160</v>
      </c>
      <c r="B602" s="578" t="s">
        <v>2161</v>
      </c>
      <c r="C602">
        <v>0</v>
      </c>
      <c r="D602" s="513">
        <v>9047.23</v>
      </c>
      <c r="E602">
        <f>VLOOKUP(A602,Ucto_HK_summ!$A$2:H$966,7,FALSE)</f>
        <v>11541.43</v>
      </c>
    </row>
    <row r="603" spans="1:5">
      <c r="A603" s="578" t="s">
        <v>2162</v>
      </c>
      <c r="B603" s="578" t="s">
        <v>2163</v>
      </c>
      <c r="C603">
        <v>0</v>
      </c>
      <c r="D603" s="513">
        <v>239520.43</v>
      </c>
      <c r="E603">
        <f>VLOOKUP(A603,Ucto_HK_summ!$A$2:H$966,7,FALSE)</f>
        <v>236971.01</v>
      </c>
    </row>
    <row r="604" spans="1:5">
      <c r="A604" s="578" t="s">
        <v>2164</v>
      </c>
      <c r="B604" s="578" t="s">
        <v>2165</v>
      </c>
      <c r="C604">
        <v>0</v>
      </c>
      <c r="D604" s="513">
        <v>2644568.87</v>
      </c>
      <c r="E604">
        <f>VLOOKUP(A604,Ucto_HK_summ!$A$2:H$966,7,FALSE)</f>
        <v>1389165.03</v>
      </c>
    </row>
    <row r="605" spans="1:5">
      <c r="A605" s="578" t="s">
        <v>2795</v>
      </c>
      <c r="B605" s="578" t="s">
        <v>2796</v>
      </c>
      <c r="C605">
        <v>0</v>
      </c>
      <c r="D605">
        <v>422.93</v>
      </c>
      <c r="E605">
        <f>VLOOKUP(A605,Ucto_HK_summ!$A$2:H$966,7,FALSE)</f>
        <v>0</v>
      </c>
    </row>
    <row r="606" spans="1:5">
      <c r="A606" s="578" t="s">
        <v>2166</v>
      </c>
      <c r="B606" s="578" t="s">
        <v>2167</v>
      </c>
      <c r="C606">
        <v>0</v>
      </c>
      <c r="D606" s="550">
        <v>38487</v>
      </c>
      <c r="E606">
        <f>VLOOKUP(A606,Ucto_HK_summ!$A$2:H$966,7,FALSE)</f>
        <v>44515.9</v>
      </c>
    </row>
    <row r="607" spans="1:5">
      <c r="A607" s="578" t="s">
        <v>2168</v>
      </c>
      <c r="B607" s="578" t="s">
        <v>2169</v>
      </c>
      <c r="C607">
        <v>0</v>
      </c>
      <c r="D607" s="513">
        <v>30402.86</v>
      </c>
      <c r="E607">
        <f>VLOOKUP(A607,Ucto_HK_summ!$A$2:H$966,7,FALSE)</f>
        <v>30925.61</v>
      </c>
    </row>
    <row r="608" spans="1:5">
      <c r="A608" s="578" t="s">
        <v>2170</v>
      </c>
      <c r="B608" s="578" t="s">
        <v>2171</v>
      </c>
      <c r="C608">
        <v>0</v>
      </c>
      <c r="D608" s="513">
        <v>21509.96</v>
      </c>
      <c r="E608">
        <f>VLOOKUP(A608,Ucto_HK_summ!$A$2:H$966,7,FALSE)</f>
        <v>22765.56</v>
      </c>
    </row>
    <row r="609" spans="1:5">
      <c r="A609" s="578" t="s">
        <v>2172</v>
      </c>
      <c r="B609" s="578" t="s">
        <v>2173</v>
      </c>
      <c r="C609">
        <v>0</v>
      </c>
      <c r="D609" s="513">
        <v>68202.16</v>
      </c>
      <c r="E609">
        <f>VLOOKUP(A609,Ucto_HK_summ!$A$2:H$966,7,FALSE)</f>
        <v>69925.789999999994</v>
      </c>
    </row>
    <row r="610" spans="1:5">
      <c r="A610" s="578" t="s">
        <v>2174</v>
      </c>
      <c r="B610" s="578" t="s">
        <v>2175</v>
      </c>
      <c r="C610">
        <v>0</v>
      </c>
      <c r="D610" s="513">
        <v>7592.17</v>
      </c>
      <c r="E610">
        <f>VLOOKUP(A610,Ucto_HK_summ!$A$2:H$966,7,FALSE)</f>
        <v>8406.8799999999992</v>
      </c>
    </row>
    <row r="611" spans="1:5">
      <c r="A611" s="578" t="s">
        <v>2176</v>
      </c>
      <c r="B611" s="578" t="s">
        <v>2177</v>
      </c>
      <c r="C611">
        <v>0</v>
      </c>
      <c r="D611" s="513">
        <v>30298.67</v>
      </c>
      <c r="E611">
        <f>VLOOKUP(A611,Ucto_HK_summ!$A$2:H$966,7,FALSE)</f>
        <v>21185.77</v>
      </c>
    </row>
    <row r="612" spans="1:5">
      <c r="A612" s="578" t="s">
        <v>2180</v>
      </c>
      <c r="B612" s="578" t="s">
        <v>2181</v>
      </c>
      <c r="C612">
        <v>0</v>
      </c>
      <c r="D612" s="550">
        <v>1726</v>
      </c>
      <c r="E612">
        <f>VLOOKUP(A612,Ucto_HK_summ!$A$2:H$966,7,FALSE)</f>
        <v>2912</v>
      </c>
    </row>
    <row r="613" spans="1:5">
      <c r="A613" s="578" t="s">
        <v>2182</v>
      </c>
      <c r="B613" s="578" t="s">
        <v>2183</v>
      </c>
      <c r="C613">
        <v>0</v>
      </c>
      <c r="D613" s="550">
        <v>4420</v>
      </c>
      <c r="E613">
        <f>VLOOKUP(A613,Ucto_HK_summ!$A$2:H$966,7,FALSE)</f>
        <v>4913</v>
      </c>
    </row>
    <row r="614" spans="1:5">
      <c r="A614" s="578" t="s">
        <v>2184</v>
      </c>
      <c r="B614" s="578" t="s">
        <v>2185</v>
      </c>
      <c r="C614">
        <v>0</v>
      </c>
      <c r="D614" s="550">
        <v>2739</v>
      </c>
      <c r="E614">
        <f>VLOOKUP(A614,Ucto_HK_summ!$A$2:H$966,7,FALSE)</f>
        <v>1321.54</v>
      </c>
    </row>
    <row r="615" spans="1:5">
      <c r="A615" s="578" t="s">
        <v>2186</v>
      </c>
      <c r="B615" s="578" t="s">
        <v>2187</v>
      </c>
      <c r="C615">
        <v>0</v>
      </c>
      <c r="D615">
        <v>107.16</v>
      </c>
      <c r="E615">
        <f>VLOOKUP(A615,Ucto_HK_summ!$A$2:H$966,7,FALSE)</f>
        <v>331.92</v>
      </c>
    </row>
    <row r="616" spans="1:5">
      <c r="A616" s="578" t="s">
        <v>822</v>
      </c>
      <c r="C616">
        <v>0</v>
      </c>
      <c r="D616" s="513">
        <v>6305212.79</v>
      </c>
      <c r="E616">
        <f>VLOOKUP(A616,Ucto_HK_summ!$A$2:H$966,7,FALSE)</f>
        <v>4939021.1100000003</v>
      </c>
    </row>
    <row r="617" spans="1:5">
      <c r="A617" s="577" t="s">
        <v>2188</v>
      </c>
      <c r="C617" s="369">
        <v>0</v>
      </c>
      <c r="D617" s="579">
        <v>114071965.58</v>
      </c>
      <c r="E617">
        <f>VLOOKUP(A617,Ucto_HK_summ!$A$2:H$966,7,FALSE)</f>
        <v>87082760.310000002</v>
      </c>
    </row>
    <row r="619" spans="1:5">
      <c r="A619" s="578" t="s">
        <v>2189</v>
      </c>
      <c r="B619" s="578" t="s">
        <v>235</v>
      </c>
      <c r="C619">
        <v>0</v>
      </c>
      <c r="D619" s="513">
        <v>3169.72</v>
      </c>
      <c r="E619">
        <f>VLOOKUP(A619,Ucto_HK_summ!$A$2:H$966,7,FALSE)</f>
        <v>3772.64</v>
      </c>
    </row>
    <row r="620" spans="1:5">
      <c r="A620" s="578" t="s">
        <v>825</v>
      </c>
      <c r="C620">
        <v>0</v>
      </c>
      <c r="D620" s="513">
        <v>3169.72</v>
      </c>
      <c r="E620">
        <f>VLOOKUP(A620,Ucto_HK_summ!$A$2:H$966,7,FALSE)</f>
        <v>3772.64</v>
      </c>
    </row>
    <row r="621" spans="1:5">
      <c r="A621" s="578" t="s">
        <v>2190</v>
      </c>
      <c r="B621" s="578" t="s">
        <v>827</v>
      </c>
      <c r="C621">
        <v>0</v>
      </c>
      <c r="D621" s="513">
        <v>280963.53999999998</v>
      </c>
      <c r="E621">
        <f>VLOOKUP(A621,Ucto_HK_summ!$A$2:H$966,7,FALSE)</f>
        <v>181301.36</v>
      </c>
    </row>
    <row r="622" spans="1:5">
      <c r="A622" s="578" t="s">
        <v>826</v>
      </c>
      <c r="C622">
        <v>0</v>
      </c>
      <c r="D622" s="513">
        <v>280963.53999999998</v>
      </c>
      <c r="E622">
        <f>VLOOKUP(A622,Ucto_HK_summ!$A$2:H$966,7,FALSE)</f>
        <v>269147.21999999997</v>
      </c>
    </row>
    <row r="623" spans="1:5">
      <c r="A623" s="578" t="s">
        <v>2193</v>
      </c>
      <c r="B623" s="578" t="s">
        <v>2194</v>
      </c>
      <c r="C623">
        <v>0</v>
      </c>
      <c r="D623" s="513">
        <v>11511.37</v>
      </c>
      <c r="E623">
        <f>VLOOKUP(A623,Ucto_HK_summ!$A$2:H$966,7,FALSE)</f>
        <v>77765.64</v>
      </c>
    </row>
    <row r="624" spans="1:5">
      <c r="A624" s="578" t="s">
        <v>828</v>
      </c>
      <c r="C624">
        <v>0</v>
      </c>
      <c r="D624" s="513">
        <v>11511.37</v>
      </c>
      <c r="E624">
        <f>VLOOKUP(A624,Ucto_HK_summ!$A$2:H$966,7,FALSE)</f>
        <v>77765.64</v>
      </c>
    </row>
    <row r="625" spans="1:5">
      <c r="A625" s="577" t="s">
        <v>2195</v>
      </c>
      <c r="C625" s="369">
        <v>0</v>
      </c>
      <c r="D625" s="579">
        <v>295644.63</v>
      </c>
      <c r="E625">
        <f>VLOOKUP(A625,Ucto_HK_summ!$A$2:H$966,7,FALSE)</f>
        <v>350685.5</v>
      </c>
    </row>
    <row r="627" spans="1:5">
      <c r="A627" s="578" t="s">
        <v>2198</v>
      </c>
      <c r="B627" s="578" t="s">
        <v>833</v>
      </c>
      <c r="C627">
        <v>0</v>
      </c>
      <c r="D627" s="513">
        <v>1903.5</v>
      </c>
      <c r="E627">
        <f>VLOOKUP(A627,Ucto_HK_summ!$A$2:H$966,7,FALSE)</f>
        <v>1599.7</v>
      </c>
    </row>
    <row r="628" spans="1:5">
      <c r="A628" s="578" t="s">
        <v>832</v>
      </c>
      <c r="C628">
        <v>0</v>
      </c>
      <c r="D628" s="513">
        <v>1903.5</v>
      </c>
      <c r="E628">
        <f>VLOOKUP(A628,Ucto_HK_summ!$A$2:H$966,7,FALSE)</f>
        <v>1599.7</v>
      </c>
    </row>
    <row r="629" spans="1:5">
      <c r="A629" s="578" t="s">
        <v>2679</v>
      </c>
      <c r="B629" s="578" t="s">
        <v>2478</v>
      </c>
      <c r="C629">
        <v>0</v>
      </c>
      <c r="D629">
        <v>23.84</v>
      </c>
      <c r="E629">
        <f>VLOOKUP(A629,Ucto_HK_summ!$A$2:H$966,7,FALSE)</f>
        <v>0</v>
      </c>
    </row>
    <row r="630" spans="1:5">
      <c r="A630" s="578" t="s">
        <v>2199</v>
      </c>
      <c r="B630" s="578" t="s">
        <v>2200</v>
      </c>
      <c r="C630">
        <v>0</v>
      </c>
      <c r="D630">
        <v>417.18</v>
      </c>
      <c r="E630">
        <f>VLOOKUP(A630,Ucto_HK_summ!$A$2:H$966,7,FALSE)</f>
        <v>16231.46</v>
      </c>
    </row>
    <row r="631" spans="1:5">
      <c r="A631" s="578" t="s">
        <v>2797</v>
      </c>
      <c r="B631" s="578" t="s">
        <v>2798</v>
      </c>
      <c r="C631">
        <v>0</v>
      </c>
      <c r="D631" s="513">
        <v>1311.04</v>
      </c>
      <c r="E631">
        <f>VLOOKUP(A631,Ucto_HK_summ!$A$2:H$966,7,FALSE)</f>
        <v>0</v>
      </c>
    </row>
    <row r="632" spans="1:5">
      <c r="A632" s="578" t="s">
        <v>834</v>
      </c>
      <c r="C632">
        <v>0</v>
      </c>
      <c r="D632" s="513">
        <v>1752.06</v>
      </c>
      <c r="E632">
        <f>VLOOKUP(A632,Ucto_HK_summ!$A$2:H$966,7,FALSE)</f>
        <v>8598031.8900000006</v>
      </c>
    </row>
    <row r="633" spans="1:5">
      <c r="A633" s="578" t="s">
        <v>2203</v>
      </c>
      <c r="B633" s="578" t="s">
        <v>2204</v>
      </c>
      <c r="C633">
        <v>0</v>
      </c>
      <c r="D633" s="513">
        <v>1198637.6200000001</v>
      </c>
      <c r="E633">
        <f>VLOOKUP(A633,Ucto_HK_summ!$A$2:H$966,7,FALSE)</f>
        <v>258755.1</v>
      </c>
    </row>
    <row r="634" spans="1:5">
      <c r="A634" s="578" t="s">
        <v>2207</v>
      </c>
      <c r="B634" s="578" t="s">
        <v>2208</v>
      </c>
      <c r="C634">
        <v>0</v>
      </c>
      <c r="D634" s="513">
        <v>126144.2</v>
      </c>
      <c r="E634">
        <f>VLOOKUP(A634,Ucto_HK_summ!$A$2:H$966,7,FALSE)</f>
        <v>21239.45</v>
      </c>
    </row>
    <row r="635" spans="1:5">
      <c r="A635" s="578" t="s">
        <v>2799</v>
      </c>
      <c r="B635" s="578" t="s">
        <v>2800</v>
      </c>
      <c r="C635">
        <v>0</v>
      </c>
      <c r="D635" s="513">
        <v>345104.2</v>
      </c>
      <c r="E635">
        <f>VLOOKUP(A635,Ucto_HK_summ!$A$2:H$966,7,FALSE)</f>
        <v>0</v>
      </c>
    </row>
    <row r="636" spans="1:5">
      <c r="A636" s="578" t="s">
        <v>836</v>
      </c>
      <c r="C636">
        <v>0</v>
      </c>
      <c r="D636" s="513">
        <v>1669886.02</v>
      </c>
      <c r="E636">
        <f>VLOOKUP(A636,Ucto_HK_summ!$A$2:H$966,7,FALSE)</f>
        <v>601124.01</v>
      </c>
    </row>
    <row r="637" spans="1:5">
      <c r="A637" s="578" t="s">
        <v>2210</v>
      </c>
      <c r="B637" s="578" t="s">
        <v>2211</v>
      </c>
      <c r="C637">
        <v>0</v>
      </c>
      <c r="D637" s="550">
        <v>1612698</v>
      </c>
      <c r="E637">
        <f>VLOOKUP(A637,Ucto_HK_summ!$A$2:H$966,7,FALSE)</f>
        <v>1785685.05</v>
      </c>
    </row>
    <row r="638" spans="1:5">
      <c r="A638" s="578" t="s">
        <v>2212</v>
      </c>
      <c r="B638" s="578" t="s">
        <v>2213</v>
      </c>
      <c r="C638">
        <v>0</v>
      </c>
      <c r="D638" s="550">
        <v>2000</v>
      </c>
      <c r="E638">
        <f>VLOOKUP(A638,Ucto_HK_summ!$A$2:H$966,7,FALSE)</f>
        <v>1000</v>
      </c>
    </row>
    <row r="639" spans="1:5">
      <c r="A639" s="578" t="s">
        <v>2214</v>
      </c>
      <c r="B639" s="578" t="s">
        <v>2215</v>
      </c>
      <c r="C639">
        <v>0</v>
      </c>
      <c r="D639">
        <v>171.83</v>
      </c>
      <c r="E639">
        <f>VLOOKUP(A639,Ucto_HK_summ!$A$2:H$966,7,FALSE)</f>
        <v>167.78</v>
      </c>
    </row>
    <row r="640" spans="1:5">
      <c r="A640" s="578" t="s">
        <v>2216</v>
      </c>
      <c r="B640" s="578" t="s">
        <v>2217</v>
      </c>
      <c r="C640">
        <v>0</v>
      </c>
      <c r="D640" s="513">
        <v>709862.28</v>
      </c>
      <c r="E640">
        <f>VLOOKUP(A640,Ucto_HK_summ!$A$2:H$966,7,FALSE)</f>
        <v>2720</v>
      </c>
    </row>
    <row r="641" spans="1:5">
      <c r="A641" s="578" t="s">
        <v>2218</v>
      </c>
      <c r="B641" s="578" t="s">
        <v>244</v>
      </c>
      <c r="C641">
        <v>0</v>
      </c>
      <c r="D641" s="513">
        <v>1204.23</v>
      </c>
      <c r="E641">
        <f>VLOOKUP(A641,Ucto_HK_summ!$A$2:H$966,7,FALSE)</f>
        <v>35117.800000000003</v>
      </c>
    </row>
    <row r="642" spans="1:5">
      <c r="A642" s="578" t="s">
        <v>2801</v>
      </c>
      <c r="B642" s="578" t="s">
        <v>2802</v>
      </c>
      <c r="C642">
        <v>0</v>
      </c>
      <c r="D642">
        <v>840</v>
      </c>
      <c r="E642">
        <f>VLOOKUP(A642,Ucto_HK_summ!$A$2:H$966,7,FALSE)</f>
        <v>0</v>
      </c>
    </row>
    <row r="643" spans="1:5">
      <c r="A643" s="578" t="s">
        <v>2221</v>
      </c>
      <c r="B643" s="578" t="s">
        <v>2222</v>
      </c>
      <c r="C643">
        <v>0</v>
      </c>
      <c r="D643">
        <v>543.9</v>
      </c>
      <c r="E643">
        <f>VLOOKUP(A643,Ucto_HK_summ!$A$2:H$966,7,FALSE)</f>
        <v>53.09</v>
      </c>
    </row>
    <row r="644" spans="1:5">
      <c r="A644" s="578" t="s">
        <v>839</v>
      </c>
      <c r="C644">
        <v>0</v>
      </c>
      <c r="D644" s="513">
        <v>2327320.2400000002</v>
      </c>
      <c r="E644">
        <f>VLOOKUP(A644,Ucto_HK_summ!$A$2:H$966,7,FALSE)</f>
        <v>1834688.29</v>
      </c>
    </row>
    <row r="645" spans="1:5">
      <c r="A645" s="578" t="s">
        <v>2223</v>
      </c>
      <c r="B645" s="578" t="s">
        <v>842</v>
      </c>
      <c r="C645">
        <v>0</v>
      </c>
      <c r="D645" s="513">
        <v>80673.279999999999</v>
      </c>
      <c r="E645">
        <f>VLOOKUP(A645,Ucto_HK_summ!$A$2:H$966,7,FALSE)</f>
        <v>42483.43</v>
      </c>
    </row>
    <row r="646" spans="1:5">
      <c r="A646" s="578" t="s">
        <v>2224</v>
      </c>
      <c r="B646" s="578" t="s">
        <v>2225</v>
      </c>
      <c r="C646">
        <v>0</v>
      </c>
      <c r="D646">
        <v>78.260000000000005</v>
      </c>
      <c r="E646">
        <f>VLOOKUP(A646,Ucto_HK_summ!$A$2:H$966,7,FALSE)</f>
        <v>208.06</v>
      </c>
    </row>
    <row r="647" spans="1:5">
      <c r="A647" s="578" t="s">
        <v>841</v>
      </c>
      <c r="C647">
        <v>0</v>
      </c>
      <c r="D647" s="513">
        <v>80751.539999999994</v>
      </c>
      <c r="E647">
        <f>VLOOKUP(A647,Ucto_HK_summ!$A$2:H$966,7,FALSE)</f>
        <v>42691.49</v>
      </c>
    </row>
    <row r="648" spans="1:5">
      <c r="A648" s="577" t="s">
        <v>2226</v>
      </c>
      <c r="C648" s="369">
        <v>0</v>
      </c>
      <c r="D648" s="579">
        <v>4081613.36</v>
      </c>
      <c r="E648">
        <f>VLOOKUP(A648,Ucto_HK_summ!$A$2:H$966,7,FALSE)</f>
        <v>11114182.4</v>
      </c>
    </row>
    <row r="650" spans="1:5">
      <c r="A650" s="578" t="s">
        <v>2227</v>
      </c>
      <c r="B650" s="578" t="s">
        <v>2228</v>
      </c>
      <c r="C650">
        <v>0</v>
      </c>
      <c r="D650" s="513">
        <v>7144.8</v>
      </c>
      <c r="E650">
        <f>VLOOKUP(A650,Ucto_HK_summ!$A$2:H$966,7,FALSE)</f>
        <v>51286.82</v>
      </c>
    </row>
    <row r="651" spans="1:5">
      <c r="A651" s="578" t="s">
        <v>2229</v>
      </c>
      <c r="B651" s="578" t="s">
        <v>2230</v>
      </c>
      <c r="C651">
        <v>0</v>
      </c>
      <c r="D651" s="513">
        <v>1574.25</v>
      </c>
      <c r="E651">
        <f>VLOOKUP(A651,Ucto_HK_summ!$A$2:H$966,7,FALSE)</f>
        <v>1917.09</v>
      </c>
    </row>
    <row r="652" spans="1:5">
      <c r="A652" s="578" t="s">
        <v>2231</v>
      </c>
      <c r="B652" s="578" t="s">
        <v>2232</v>
      </c>
      <c r="C652">
        <v>0</v>
      </c>
      <c r="D652" s="513">
        <v>2798279.93</v>
      </c>
      <c r="E652">
        <f>VLOOKUP(A652,Ucto_HK_summ!$A$2:H$966,7,FALSE)</f>
        <v>2240143.0699999998</v>
      </c>
    </row>
    <row r="653" spans="1:5">
      <c r="A653" s="578" t="s">
        <v>2233</v>
      </c>
      <c r="B653" s="578" t="s">
        <v>2234</v>
      </c>
      <c r="C653">
        <v>0</v>
      </c>
      <c r="D653" s="513">
        <v>84888.09</v>
      </c>
      <c r="E653">
        <f>VLOOKUP(A653,Ucto_HK_summ!$A$2:H$966,7,FALSE)</f>
        <v>87105.52</v>
      </c>
    </row>
    <row r="654" spans="1:5">
      <c r="A654" s="578" t="s">
        <v>2235</v>
      </c>
      <c r="B654" s="578" t="s">
        <v>2236</v>
      </c>
      <c r="C654">
        <v>0</v>
      </c>
      <c r="D654" s="513">
        <v>1553213.16</v>
      </c>
      <c r="E654">
        <f>VLOOKUP(A654,Ucto_HK_summ!$A$2:H$966,7,FALSE)</f>
        <v>1590243.07</v>
      </c>
    </row>
    <row r="655" spans="1:5">
      <c r="A655" s="578" t="s">
        <v>2742</v>
      </c>
      <c r="B655" s="578" t="s">
        <v>2743</v>
      </c>
      <c r="C655">
        <v>0</v>
      </c>
      <c r="D655">
        <v>28</v>
      </c>
      <c r="E655">
        <f>VLOOKUP(A655,Ucto_HK_summ!$A$2:H$966,7,FALSE)</f>
        <v>0</v>
      </c>
    </row>
    <row r="656" spans="1:5">
      <c r="A656" s="578" t="s">
        <v>844</v>
      </c>
      <c r="C656">
        <v>0</v>
      </c>
      <c r="D656" s="513">
        <v>4445128.2300000004</v>
      </c>
      <c r="E656">
        <f>VLOOKUP(A656,Ucto_HK_summ!$A$2:H$966,7,FALSE)</f>
        <v>3970695.57</v>
      </c>
    </row>
    <row r="657" spans="1:5">
      <c r="A657" s="578" t="s">
        <v>2237</v>
      </c>
      <c r="B657" s="578" t="s">
        <v>2238</v>
      </c>
      <c r="C657">
        <v>0</v>
      </c>
      <c r="D657" s="513">
        <v>251595.33</v>
      </c>
      <c r="E657">
        <f>VLOOKUP(A657,Ucto_HK_summ!$A$2:H$966,7,FALSE)</f>
        <v>286709.33</v>
      </c>
    </row>
    <row r="658" spans="1:5">
      <c r="A658" s="578" t="s">
        <v>847</v>
      </c>
      <c r="C658">
        <v>0</v>
      </c>
      <c r="D658" s="513">
        <v>251595.33</v>
      </c>
      <c r="E658">
        <f>VLOOKUP(A658,Ucto_HK_summ!$A$2:H$966,7,FALSE)</f>
        <v>286709.33</v>
      </c>
    </row>
    <row r="659" spans="1:5">
      <c r="A659" s="578" t="s">
        <v>2239</v>
      </c>
      <c r="B659" s="578" t="s">
        <v>2240</v>
      </c>
      <c r="C659">
        <v>0</v>
      </c>
      <c r="D659" s="550">
        <v>10333139</v>
      </c>
      <c r="E659">
        <f>VLOOKUP(A659,Ucto_HK_summ!$A$2:H$966,7,FALSE)</f>
        <v>17417202.969999999</v>
      </c>
    </row>
    <row r="660" spans="1:5">
      <c r="A660" s="578" t="s">
        <v>849</v>
      </c>
      <c r="C660">
        <v>0</v>
      </c>
      <c r="D660" s="550">
        <v>10333139</v>
      </c>
      <c r="E660">
        <f>VLOOKUP(A660,Ucto_HK_summ!$A$2:H$966,7,FALSE)</f>
        <v>17417202.969999999</v>
      </c>
    </row>
    <row r="661" spans="1:5">
      <c r="A661" s="578" t="s">
        <v>2241</v>
      </c>
      <c r="B661" s="578" t="s">
        <v>2242</v>
      </c>
      <c r="C661">
        <v>0</v>
      </c>
      <c r="D661" s="513">
        <v>919608.98</v>
      </c>
      <c r="E661">
        <f>VLOOKUP(A661,Ucto_HK_summ!$A$2:H$966,7,FALSE)</f>
        <v>114931.48</v>
      </c>
    </row>
    <row r="662" spans="1:5">
      <c r="A662" s="578" t="s">
        <v>853</v>
      </c>
      <c r="C662">
        <v>0</v>
      </c>
      <c r="D662" s="513">
        <v>919608.98</v>
      </c>
      <c r="E662">
        <f>VLOOKUP(A662,Ucto_HK_summ!$A$2:H$966,7,FALSE)</f>
        <v>114931.48</v>
      </c>
    </row>
    <row r="663" spans="1:5">
      <c r="A663" s="577" t="s">
        <v>2243</v>
      </c>
      <c r="C663" s="369">
        <v>0</v>
      </c>
      <c r="D663" s="579">
        <v>15949471.539999999</v>
      </c>
      <c r="E663">
        <f>VLOOKUP(A663,Ucto_HK_summ!$A$2:H$966,7,FALSE)</f>
        <v>21789539.350000001</v>
      </c>
    </row>
    <row r="665" spans="1:5">
      <c r="A665" s="578" t="s">
        <v>2244</v>
      </c>
      <c r="B665" s="578" t="s">
        <v>238</v>
      </c>
      <c r="C665">
        <v>0</v>
      </c>
      <c r="D665">
        <v>6.55</v>
      </c>
      <c r="E665">
        <f>VLOOKUP(A665,Ucto_HK_summ!$A$2:H$966,7,FALSE)</f>
        <v>26.22</v>
      </c>
    </row>
    <row r="666" spans="1:5">
      <c r="A666" s="578" t="s">
        <v>865</v>
      </c>
      <c r="C666">
        <v>0</v>
      </c>
      <c r="D666">
        <v>6.55</v>
      </c>
      <c r="E666">
        <f>VLOOKUP(A666,Ucto_HK_summ!$A$2:H$966,7,FALSE)</f>
        <v>26.22</v>
      </c>
    </row>
    <row r="667" spans="1:5">
      <c r="A667" s="578" t="s">
        <v>2245</v>
      </c>
      <c r="B667" s="578" t="s">
        <v>2246</v>
      </c>
      <c r="C667">
        <v>0</v>
      </c>
      <c r="D667">
        <v>3</v>
      </c>
      <c r="E667">
        <f>VLOOKUP(A667,Ucto_HK_summ!$A$2:H$966,7,FALSE)</f>
        <v>0.96</v>
      </c>
    </row>
    <row r="668" spans="1:5">
      <c r="A668" s="578" t="s">
        <v>2680</v>
      </c>
      <c r="B668" s="578" t="s">
        <v>2526</v>
      </c>
      <c r="C668">
        <v>0</v>
      </c>
      <c r="D668">
        <v>42.44</v>
      </c>
      <c r="E668">
        <f>VLOOKUP(A668,Ucto_HK_summ!$A$2:H$966,7,FALSE)</f>
        <v>0</v>
      </c>
    </row>
    <row r="669" spans="1:5">
      <c r="A669" s="578" t="s">
        <v>866</v>
      </c>
      <c r="C669">
        <v>0</v>
      </c>
      <c r="D669">
        <v>45.44</v>
      </c>
      <c r="E669">
        <f>VLOOKUP(A669,Ucto_HK_summ!$A$2:H$966,7,FALSE)</f>
        <v>0.96</v>
      </c>
    </row>
    <row r="670" spans="1:5">
      <c r="A670" s="578" t="s">
        <v>2247</v>
      </c>
      <c r="B670" s="578" t="s">
        <v>245</v>
      </c>
      <c r="C670">
        <v>0</v>
      </c>
      <c r="D670">
        <v>563.51</v>
      </c>
      <c r="E670">
        <f>VLOOKUP(A670,Ucto_HK_summ!$A$2:H$966,7,FALSE)</f>
        <v>4526.66</v>
      </c>
    </row>
    <row r="671" spans="1:5">
      <c r="A671" s="578" t="s">
        <v>2248</v>
      </c>
      <c r="B671" s="578" t="s">
        <v>2249</v>
      </c>
      <c r="C671">
        <v>0</v>
      </c>
      <c r="D671" s="513">
        <v>4048.88</v>
      </c>
      <c r="E671">
        <f>VLOOKUP(A671,Ucto_HK_summ!$A$2:H$966,7,FALSE)</f>
        <v>3537.27</v>
      </c>
    </row>
    <row r="672" spans="1:5">
      <c r="A672" s="578" t="s">
        <v>2250</v>
      </c>
      <c r="B672" s="578" t="s">
        <v>2251</v>
      </c>
      <c r="C672">
        <v>0</v>
      </c>
      <c r="D672" s="513">
        <v>15671.4</v>
      </c>
      <c r="E672">
        <f>VLOOKUP(A672,Ucto_HK_summ!$A$2:H$966,7,FALSE)</f>
        <v>8959.14</v>
      </c>
    </row>
    <row r="673" spans="1:5">
      <c r="A673" s="578" t="s">
        <v>2252</v>
      </c>
      <c r="B673" s="578" t="s">
        <v>2253</v>
      </c>
      <c r="C673">
        <v>0</v>
      </c>
      <c r="D673" s="513">
        <v>10189.48</v>
      </c>
      <c r="E673">
        <f>VLOOKUP(A673,Ucto_HK_summ!$A$2:H$966,7,FALSE)</f>
        <v>9340.7999999999993</v>
      </c>
    </row>
    <row r="674" spans="1:5">
      <c r="A674" s="578" t="s">
        <v>2254</v>
      </c>
      <c r="B674" s="578" t="s">
        <v>2255</v>
      </c>
      <c r="C674">
        <v>0</v>
      </c>
      <c r="D674" s="513">
        <v>85492.5</v>
      </c>
      <c r="E674">
        <f>VLOOKUP(A674,Ucto_HK_summ!$A$2:H$966,7,FALSE)</f>
        <v>88423.26</v>
      </c>
    </row>
    <row r="675" spans="1:5">
      <c r="A675" s="578" t="s">
        <v>2256</v>
      </c>
      <c r="B675" s="578" t="s">
        <v>2257</v>
      </c>
      <c r="C675">
        <v>0</v>
      </c>
      <c r="D675">
        <v>2.9</v>
      </c>
      <c r="E675">
        <f>VLOOKUP(A675,Ucto_HK_summ!$A$2:H$966,7,FALSE)</f>
        <v>0</v>
      </c>
    </row>
    <row r="676" spans="1:5">
      <c r="A676" s="578" t="s">
        <v>873</v>
      </c>
      <c r="C676">
        <v>0</v>
      </c>
      <c r="D676" s="513">
        <v>115968.67</v>
      </c>
      <c r="E676">
        <f>VLOOKUP(A676,Ucto_HK_summ!$A$2:H$966,7,FALSE)</f>
        <v>114787.38</v>
      </c>
    </row>
    <row r="677" spans="1:5">
      <c r="A677" s="577" t="s">
        <v>2258</v>
      </c>
      <c r="C677" s="369">
        <v>0</v>
      </c>
      <c r="D677" s="579">
        <v>116020.66</v>
      </c>
      <c r="E677">
        <f>VLOOKUP(A677,Ucto_HK_summ!$A$2:H$966,7,FALSE)</f>
        <v>114814.56</v>
      </c>
    </row>
    <row r="679" spans="1:5">
      <c r="A679" s="578" t="s">
        <v>2259</v>
      </c>
      <c r="B679" s="578" t="s">
        <v>2260</v>
      </c>
      <c r="C679">
        <v>0</v>
      </c>
      <c r="D679" s="513">
        <v>531205.93999999994</v>
      </c>
      <c r="E679">
        <f>VLOOKUP(A679,Ucto_HK_summ!$A$2:H$966,7,FALSE)</f>
        <v>371449.38</v>
      </c>
    </row>
    <row r="680" spans="1:5">
      <c r="A680" s="578" t="s">
        <v>898</v>
      </c>
      <c r="C680">
        <v>0</v>
      </c>
      <c r="D680" s="513">
        <v>531205.93999999994</v>
      </c>
      <c r="E680">
        <f>VLOOKUP(A680,Ucto_HK_summ!$A$2:H$966,7,FALSE)</f>
        <v>371449.38</v>
      </c>
    </row>
    <row r="681" spans="1:5">
      <c r="A681" s="577" t="s">
        <v>2261</v>
      </c>
      <c r="C681" s="369">
        <v>0</v>
      </c>
      <c r="D681" s="579">
        <v>531205.93999999994</v>
      </c>
      <c r="E681">
        <f>VLOOKUP(A681,Ucto_HK_summ!$A$2:H$966,7,FALSE)</f>
        <v>371449.38</v>
      </c>
    </row>
    <row r="683" spans="1:5">
      <c r="A683" s="578" t="s">
        <v>2681</v>
      </c>
      <c r="B683" s="578" t="s">
        <v>224</v>
      </c>
      <c r="C683">
        <v>0</v>
      </c>
      <c r="D683" s="513">
        <v>53353.52</v>
      </c>
      <c r="E683">
        <f>VLOOKUP(A683,Ucto_HK_summ!$A$2:H$966,7,FALSE)</f>
        <v>0</v>
      </c>
    </row>
    <row r="684" spans="1:5">
      <c r="A684" s="578" t="s">
        <v>1028</v>
      </c>
      <c r="C684">
        <v>0</v>
      </c>
      <c r="D684" s="513">
        <v>53353.52</v>
      </c>
      <c r="E684">
        <f>VLOOKUP(A684,Ucto_HK_summ!$A$2:H$966,7,FALSE)</f>
        <v>1577.33</v>
      </c>
    </row>
    <row r="685" spans="1:5">
      <c r="A685" s="577" t="s">
        <v>2265</v>
      </c>
      <c r="C685" s="369">
        <v>0</v>
      </c>
      <c r="D685" s="579">
        <v>53353.52</v>
      </c>
      <c r="E685">
        <f>VLOOKUP(A685,Ucto_HK_summ!$A$2:H$966,7,FALSE)</f>
        <v>1577.33</v>
      </c>
    </row>
    <row r="687" spans="1:5">
      <c r="A687" s="577" t="s">
        <v>2266</v>
      </c>
      <c r="C687" s="369">
        <v>0</v>
      </c>
      <c r="D687" s="579">
        <v>199980270.31</v>
      </c>
      <c r="E687">
        <f>VLOOKUP(A687,Ucto_HK_summ!$A$2:H$966,7,FALSE)</f>
        <v>178686811.38</v>
      </c>
    </row>
    <row r="690" spans="1:5">
      <c r="A690" s="578" t="s">
        <v>2267</v>
      </c>
      <c r="B690" s="578" t="s">
        <v>2268</v>
      </c>
      <c r="C690">
        <v>0</v>
      </c>
      <c r="D690" s="513">
        <v>-37579134.850000001</v>
      </c>
      <c r="E690">
        <f>VLOOKUP(A690,Ucto_HK_summ!$A$2:H$966,7,FALSE)</f>
        <v>-35078443.82</v>
      </c>
    </row>
    <row r="691" spans="1:5">
      <c r="A691" s="578" t="s">
        <v>2269</v>
      </c>
      <c r="B691" s="578" t="s">
        <v>2270</v>
      </c>
      <c r="C691">
        <v>0</v>
      </c>
      <c r="D691" s="513">
        <v>-1455835.12</v>
      </c>
      <c r="E691">
        <f>VLOOKUP(A691,Ucto_HK_summ!$A$2:H$966,7,FALSE)</f>
        <v>-1693936.02</v>
      </c>
    </row>
    <row r="692" spans="1:5">
      <c r="A692" s="578" t="s">
        <v>2271</v>
      </c>
      <c r="B692" s="578" t="s">
        <v>2272</v>
      </c>
      <c r="C692">
        <v>0</v>
      </c>
      <c r="D692" s="513">
        <v>-4650413.47</v>
      </c>
      <c r="E692">
        <f>VLOOKUP(A692,Ucto_HK_summ!$A$2:H$966,7,FALSE)</f>
        <v>-4273756.32</v>
      </c>
    </row>
    <row r="693" spans="1:5">
      <c r="A693" s="578" t="s">
        <v>2273</v>
      </c>
      <c r="B693" s="578" t="s">
        <v>2274</v>
      </c>
      <c r="C693">
        <v>0</v>
      </c>
      <c r="D693" s="513">
        <v>-958160.67</v>
      </c>
      <c r="E693">
        <f>VLOOKUP(A693,Ucto_HK_summ!$A$2:H$966,7,FALSE)</f>
        <v>-956506.15</v>
      </c>
    </row>
    <row r="694" spans="1:5">
      <c r="A694" s="578" t="s">
        <v>2275</v>
      </c>
      <c r="B694" s="578" t="s">
        <v>2276</v>
      </c>
      <c r="C694">
        <v>0</v>
      </c>
      <c r="D694" s="513">
        <v>-100777.06</v>
      </c>
      <c r="E694">
        <f>VLOOKUP(A694,Ucto_HK_summ!$A$2:H$966,7,FALSE)</f>
        <v>-98816.75</v>
      </c>
    </row>
    <row r="695" spans="1:5">
      <c r="A695" s="578" t="s">
        <v>2277</v>
      </c>
      <c r="B695" s="578" t="s">
        <v>2278</v>
      </c>
      <c r="C695">
        <v>0</v>
      </c>
      <c r="D695" s="513">
        <v>-387872.7</v>
      </c>
      <c r="E695">
        <f>VLOOKUP(A695,Ucto_HK_summ!$A$2:H$966,7,FALSE)</f>
        <v>-389228.9</v>
      </c>
    </row>
    <row r="696" spans="1:5">
      <c r="A696" s="578" t="s">
        <v>2279</v>
      </c>
      <c r="B696" s="578" t="s">
        <v>2280</v>
      </c>
      <c r="C696">
        <v>0</v>
      </c>
      <c r="D696" s="513">
        <v>-7388813.4800000004</v>
      </c>
      <c r="E696">
        <f>VLOOKUP(A696,Ucto_HK_summ!$A$2:H$966,7,FALSE)</f>
        <v>-6899048.0899999999</v>
      </c>
    </row>
    <row r="697" spans="1:5">
      <c r="A697" s="578" t="s">
        <v>2281</v>
      </c>
      <c r="B697" s="578" t="s">
        <v>2282</v>
      </c>
      <c r="C697">
        <v>0</v>
      </c>
      <c r="D697" s="513">
        <v>-1595573.39</v>
      </c>
      <c r="E697">
        <f>VLOOKUP(A697,Ucto_HK_summ!$A$2:H$966,7,FALSE)</f>
        <v>-473566.54</v>
      </c>
    </row>
    <row r="698" spans="1:5">
      <c r="A698" s="578" t="s">
        <v>2283</v>
      </c>
      <c r="B698" s="578" t="s">
        <v>2284</v>
      </c>
      <c r="C698">
        <v>0</v>
      </c>
      <c r="D698" s="513">
        <v>-950942.33</v>
      </c>
      <c r="E698">
        <f>VLOOKUP(A698,Ucto_HK_summ!$A$2:H$966,7,FALSE)</f>
        <v>-1041433.84</v>
      </c>
    </row>
    <row r="699" spans="1:5">
      <c r="A699" s="578" t="s">
        <v>2285</v>
      </c>
      <c r="B699" s="578" t="s">
        <v>2286</v>
      </c>
      <c r="C699">
        <v>0</v>
      </c>
      <c r="D699" s="513">
        <v>-175459.52</v>
      </c>
      <c r="E699">
        <f>VLOOKUP(A699,Ucto_HK_summ!$A$2:H$966,7,FALSE)</f>
        <v>-191891.43</v>
      </c>
    </row>
    <row r="700" spans="1:5">
      <c r="A700" s="578" t="s">
        <v>2287</v>
      </c>
      <c r="B700" s="578" t="s">
        <v>2288</v>
      </c>
      <c r="C700">
        <v>0</v>
      </c>
      <c r="D700" s="513">
        <v>-51858.43</v>
      </c>
      <c r="E700">
        <f>VLOOKUP(A700,Ucto_HK_summ!$A$2:H$966,7,FALSE)</f>
        <v>-53702.37</v>
      </c>
    </row>
    <row r="701" spans="1:5">
      <c r="A701" s="578" t="s">
        <v>2289</v>
      </c>
      <c r="B701" s="578" t="s">
        <v>2290</v>
      </c>
      <c r="C701">
        <v>0</v>
      </c>
      <c r="D701" s="513">
        <v>-16921.32</v>
      </c>
      <c r="E701">
        <f>VLOOKUP(A701,Ucto_HK_summ!$A$2:H$966,7,FALSE)</f>
        <v>-471107.03</v>
      </c>
    </row>
    <row r="702" spans="1:5">
      <c r="A702" s="578" t="s">
        <v>2291</v>
      </c>
      <c r="B702" s="578" t="s">
        <v>2292</v>
      </c>
      <c r="C702">
        <v>0</v>
      </c>
      <c r="D702" s="513">
        <v>-3708652.01</v>
      </c>
      <c r="E702">
        <f>VLOOKUP(A702,Ucto_HK_summ!$A$2:H$966,7,FALSE)</f>
        <v>-2360553.42</v>
      </c>
    </row>
    <row r="703" spans="1:5">
      <c r="A703" s="578" t="s">
        <v>2293</v>
      </c>
      <c r="B703" s="578" t="s">
        <v>2294</v>
      </c>
      <c r="C703">
        <v>0</v>
      </c>
      <c r="D703" s="513">
        <v>-179589.64</v>
      </c>
      <c r="E703">
        <f>VLOOKUP(A703,Ucto_HK_summ!$A$2:H$966,7,FALSE)</f>
        <v>-895825.64</v>
      </c>
    </row>
    <row r="704" spans="1:5">
      <c r="A704" s="578" t="s">
        <v>2295</v>
      </c>
      <c r="B704" s="578" t="s">
        <v>2296</v>
      </c>
      <c r="C704">
        <v>0</v>
      </c>
      <c r="D704" s="513">
        <v>-2925039.67</v>
      </c>
      <c r="E704">
        <f>VLOOKUP(A704,Ucto_HK_summ!$A$2:H$966,7,FALSE)</f>
        <v>-2902017.64</v>
      </c>
    </row>
    <row r="705" spans="1:5">
      <c r="A705" s="578" t="s">
        <v>2297</v>
      </c>
      <c r="B705" s="578" t="s">
        <v>2298</v>
      </c>
      <c r="C705">
        <v>0</v>
      </c>
      <c r="D705" s="513">
        <v>-52417.24</v>
      </c>
      <c r="E705">
        <f>VLOOKUP(A705,Ucto_HK_summ!$A$2:H$966,7,FALSE)</f>
        <v>-61468.28</v>
      </c>
    </row>
    <row r="706" spans="1:5">
      <c r="A706" s="578" t="s">
        <v>2299</v>
      </c>
      <c r="B706" s="578" t="s">
        <v>2300</v>
      </c>
      <c r="C706">
        <v>0</v>
      </c>
      <c r="D706" s="513">
        <v>-260454.28</v>
      </c>
      <c r="E706">
        <f>VLOOKUP(A706,Ucto_HK_summ!$A$2:H$966,7,FALSE)</f>
        <v>-336412.28</v>
      </c>
    </row>
    <row r="707" spans="1:5">
      <c r="A707" s="578" t="s">
        <v>2301</v>
      </c>
      <c r="B707" s="578" t="s">
        <v>2302</v>
      </c>
      <c r="C707">
        <v>0</v>
      </c>
      <c r="D707" s="513">
        <v>-7681188.6100000003</v>
      </c>
      <c r="E707">
        <f>VLOOKUP(A707,Ucto_HK_summ!$A$2:H$966,7,FALSE)</f>
        <v>-7538848.4199999999</v>
      </c>
    </row>
    <row r="708" spans="1:5">
      <c r="A708" s="578" t="s">
        <v>2303</v>
      </c>
      <c r="B708" s="578" t="s">
        <v>2304</v>
      </c>
      <c r="C708">
        <v>0</v>
      </c>
      <c r="D708" s="513">
        <v>-22231.05</v>
      </c>
      <c r="E708">
        <f>VLOOKUP(A708,Ucto_HK_summ!$A$2:H$966,7,FALSE)</f>
        <v>-16847.830000000002</v>
      </c>
    </row>
    <row r="709" spans="1:5">
      <c r="A709" s="578" t="s">
        <v>2305</v>
      </c>
      <c r="B709" s="578" t="s">
        <v>2306</v>
      </c>
      <c r="C709">
        <v>0</v>
      </c>
      <c r="D709" s="513">
        <v>-26974577.510000002</v>
      </c>
      <c r="E709">
        <f>VLOOKUP(A709,Ucto_HK_summ!$A$2:H$966,7,FALSE)</f>
        <v>-21520636.210000001</v>
      </c>
    </row>
    <row r="710" spans="1:5">
      <c r="A710" s="578" t="s">
        <v>2307</v>
      </c>
      <c r="B710" s="578" t="s">
        <v>2308</v>
      </c>
      <c r="C710">
        <v>0</v>
      </c>
      <c r="D710" s="513">
        <v>-1659.75</v>
      </c>
      <c r="E710">
        <f>VLOOKUP(A710,Ucto_HK_summ!$A$2:H$966,7,FALSE)</f>
        <v>-4580.91</v>
      </c>
    </row>
    <row r="711" spans="1:5">
      <c r="A711" s="578" t="s">
        <v>2803</v>
      </c>
      <c r="B711" s="578" t="s">
        <v>2804</v>
      </c>
      <c r="C711">
        <v>0</v>
      </c>
      <c r="D711">
        <v>-5.2</v>
      </c>
      <c r="E711">
        <f>VLOOKUP(A711,Ucto_HK_summ!$A$2:H$966,7,FALSE)</f>
        <v>0</v>
      </c>
    </row>
    <row r="712" spans="1:5">
      <c r="A712" s="578" t="s">
        <v>2309</v>
      </c>
      <c r="B712" s="578" t="s">
        <v>2310</v>
      </c>
      <c r="C712">
        <v>0</v>
      </c>
      <c r="D712" s="513">
        <v>-1854467.07</v>
      </c>
      <c r="E712">
        <f>VLOOKUP(A712,Ucto_HK_summ!$A$2:H$966,7,FALSE)</f>
        <v>-1668502.17</v>
      </c>
    </row>
    <row r="713" spans="1:5">
      <c r="A713" s="578" t="s">
        <v>2311</v>
      </c>
      <c r="B713" s="578" t="s">
        <v>2312</v>
      </c>
      <c r="C713">
        <v>0</v>
      </c>
      <c r="D713" s="513">
        <v>-404391.63</v>
      </c>
      <c r="E713">
        <f>VLOOKUP(A713,Ucto_HK_summ!$A$2:H$966,7,FALSE)</f>
        <v>-655550.79</v>
      </c>
    </row>
    <row r="714" spans="1:5">
      <c r="A714" s="578" t="s">
        <v>2313</v>
      </c>
      <c r="B714" s="578" t="s">
        <v>2314</v>
      </c>
      <c r="C714">
        <v>0</v>
      </c>
      <c r="D714" s="513">
        <v>-31444.23</v>
      </c>
      <c r="E714">
        <f>VLOOKUP(A714,Ucto_HK_summ!$A$2:H$966,7,FALSE)</f>
        <v>-31862.5</v>
      </c>
    </row>
    <row r="715" spans="1:5">
      <c r="A715" s="578" t="s">
        <v>2315</v>
      </c>
      <c r="B715" s="578" t="s">
        <v>2316</v>
      </c>
      <c r="C715">
        <v>0</v>
      </c>
      <c r="D715" s="513">
        <v>-165049.95000000001</v>
      </c>
      <c r="E715">
        <f>VLOOKUP(A715,Ucto_HK_summ!$A$2:H$966,7,FALSE)</f>
        <v>-164294.39000000001</v>
      </c>
    </row>
    <row r="716" spans="1:5">
      <c r="A716" s="578" t="s">
        <v>2317</v>
      </c>
      <c r="B716" s="578" t="s">
        <v>2318</v>
      </c>
      <c r="C716">
        <v>0</v>
      </c>
      <c r="D716" s="513">
        <v>-2700620.23</v>
      </c>
      <c r="E716">
        <f>VLOOKUP(A716,Ucto_HK_summ!$A$2:H$966,7,FALSE)</f>
        <v>-2321779.33</v>
      </c>
    </row>
    <row r="717" spans="1:5">
      <c r="A717" s="578" t="s">
        <v>2319</v>
      </c>
      <c r="B717" s="578" t="s">
        <v>2320</v>
      </c>
      <c r="C717">
        <v>0</v>
      </c>
      <c r="D717" s="513">
        <v>-544378.31000000006</v>
      </c>
      <c r="E717">
        <f>VLOOKUP(A717,Ucto_HK_summ!$A$2:H$966,7,FALSE)</f>
        <v>-257501.59</v>
      </c>
    </row>
    <row r="718" spans="1:5">
      <c r="A718" s="578" t="s">
        <v>2321</v>
      </c>
      <c r="B718" s="578" t="s">
        <v>2322</v>
      </c>
      <c r="C718">
        <v>0</v>
      </c>
      <c r="D718" s="513">
        <v>-562571.59</v>
      </c>
      <c r="E718">
        <f>VLOOKUP(A718,Ucto_HK_summ!$A$2:H$966,7,FALSE)</f>
        <v>-385725.33</v>
      </c>
    </row>
    <row r="719" spans="1:5">
      <c r="A719" s="578" t="s">
        <v>2323</v>
      </c>
      <c r="B719" s="578" t="s">
        <v>2324</v>
      </c>
      <c r="C719">
        <v>0</v>
      </c>
      <c r="D719" s="513">
        <v>-32885.46</v>
      </c>
      <c r="E719">
        <f>VLOOKUP(A719,Ucto_HK_summ!$A$2:H$966,7,FALSE)</f>
        <v>-41358.06</v>
      </c>
    </row>
    <row r="720" spans="1:5">
      <c r="A720" s="578" t="s">
        <v>2325</v>
      </c>
      <c r="B720" s="578" t="s">
        <v>2326</v>
      </c>
      <c r="C720">
        <v>0</v>
      </c>
      <c r="D720" s="513">
        <v>-16169.28</v>
      </c>
      <c r="E720">
        <f>VLOOKUP(A720,Ucto_HK_summ!$A$2:H$966,7,FALSE)</f>
        <v>-39294.36</v>
      </c>
    </row>
    <row r="721" spans="1:5">
      <c r="A721" s="578" t="s">
        <v>2327</v>
      </c>
      <c r="B721" s="578" t="s">
        <v>2328</v>
      </c>
      <c r="C721">
        <v>0</v>
      </c>
      <c r="D721" s="513">
        <v>-1847966.74</v>
      </c>
      <c r="E721">
        <f>VLOOKUP(A721,Ucto_HK_summ!$A$2:H$966,7,FALSE)</f>
        <v>-1725322.85</v>
      </c>
    </row>
    <row r="722" spans="1:5">
      <c r="A722" s="578" t="s">
        <v>2329</v>
      </c>
      <c r="B722" s="578" t="s">
        <v>2330</v>
      </c>
      <c r="C722">
        <v>0</v>
      </c>
      <c r="D722" s="513">
        <v>-50889.24</v>
      </c>
      <c r="E722">
        <f>VLOOKUP(A722,Ucto_HK_summ!$A$2:H$966,7,FALSE)</f>
        <v>-56900.49</v>
      </c>
    </row>
    <row r="723" spans="1:5">
      <c r="A723" s="578" t="s">
        <v>2331</v>
      </c>
      <c r="B723" s="578" t="s">
        <v>2332</v>
      </c>
      <c r="C723">
        <v>0</v>
      </c>
      <c r="D723" s="513">
        <v>-1350606.7</v>
      </c>
      <c r="E723">
        <f>VLOOKUP(A723,Ucto_HK_summ!$A$2:H$966,7,FALSE)</f>
        <v>-1473873.22</v>
      </c>
    </row>
    <row r="724" spans="1:5">
      <c r="A724" s="578" t="s">
        <v>2805</v>
      </c>
      <c r="B724" s="578" t="s">
        <v>2806</v>
      </c>
      <c r="C724">
        <v>0</v>
      </c>
      <c r="D724">
        <v>-4.8</v>
      </c>
      <c r="E724">
        <f>VLOOKUP(A724,Ucto_HK_summ!$A$2:H$966,7,FALSE)</f>
        <v>0</v>
      </c>
    </row>
    <row r="725" spans="1:5">
      <c r="A725" s="578" t="s">
        <v>2333</v>
      </c>
      <c r="B725" s="578" t="s">
        <v>2334</v>
      </c>
      <c r="C725">
        <v>0</v>
      </c>
      <c r="D725" s="513">
        <v>-92164.36</v>
      </c>
      <c r="E725">
        <f>VLOOKUP(A725,Ucto_HK_summ!$A$2:H$966,7,FALSE)</f>
        <v>-49424.69</v>
      </c>
    </row>
    <row r="726" spans="1:5">
      <c r="A726" s="578" t="s">
        <v>2335</v>
      </c>
      <c r="B726" s="578" t="s">
        <v>2336</v>
      </c>
      <c r="C726">
        <v>0</v>
      </c>
      <c r="D726" s="513">
        <v>-2060566.28</v>
      </c>
      <c r="E726">
        <f>VLOOKUP(A726,Ucto_HK_summ!$A$2:H$966,7,FALSE)</f>
        <v>-1655907.96</v>
      </c>
    </row>
    <row r="727" spans="1:5">
      <c r="A727" s="578" t="s">
        <v>2337</v>
      </c>
      <c r="B727" s="578" t="s">
        <v>2338</v>
      </c>
      <c r="C727">
        <v>0</v>
      </c>
      <c r="D727" s="550">
        <v>-9337</v>
      </c>
      <c r="E727">
        <f>VLOOKUP(A727,Ucto_HK_summ!$A$2:H$966,7,FALSE)</f>
        <v>-8946</v>
      </c>
    </row>
    <row r="728" spans="1:5">
      <c r="A728" s="578" t="s">
        <v>2339</v>
      </c>
      <c r="B728" s="578" t="s">
        <v>2340</v>
      </c>
      <c r="C728">
        <v>0</v>
      </c>
      <c r="D728" s="513">
        <v>-7763296.3899999997</v>
      </c>
      <c r="E728">
        <f>VLOOKUP(A728,Ucto_HK_summ!$A$2:H$966,7,FALSE)</f>
        <v>-5154263.1399999997</v>
      </c>
    </row>
    <row r="729" spans="1:5">
      <c r="A729" s="578" t="s">
        <v>2343</v>
      </c>
      <c r="B729" s="578" t="s">
        <v>2344</v>
      </c>
      <c r="C729">
        <v>0</v>
      </c>
      <c r="D729" s="513">
        <v>-87007.62</v>
      </c>
      <c r="E729">
        <f>VLOOKUP(A729,Ucto_HK_summ!$A$2:H$966,7,FALSE)</f>
        <v>-156573.62</v>
      </c>
    </row>
    <row r="730" spans="1:5">
      <c r="A730" s="578" t="s">
        <v>2345</v>
      </c>
      <c r="B730" s="578" t="s">
        <v>2346</v>
      </c>
      <c r="C730">
        <v>0</v>
      </c>
      <c r="D730" s="513">
        <v>-848926.52</v>
      </c>
      <c r="E730">
        <f>VLOOKUP(A730,Ucto_HK_summ!$A$2:H$966,7,FALSE)</f>
        <v>-633094.04</v>
      </c>
    </row>
    <row r="731" spans="1:5">
      <c r="A731" s="578" t="s">
        <v>2347</v>
      </c>
      <c r="B731" s="578" t="s">
        <v>2348</v>
      </c>
      <c r="C731">
        <v>0</v>
      </c>
      <c r="D731" s="513">
        <v>-126798.87</v>
      </c>
      <c r="E731">
        <f>VLOOKUP(A731,Ucto_HK_summ!$A$2:H$966,7,FALSE)</f>
        <v>-127280.83</v>
      </c>
    </row>
    <row r="732" spans="1:5">
      <c r="A732" s="578" t="s">
        <v>2349</v>
      </c>
      <c r="B732" s="578" t="s">
        <v>2350</v>
      </c>
      <c r="C732">
        <v>0</v>
      </c>
      <c r="D732" s="513">
        <v>-12942.64</v>
      </c>
      <c r="E732">
        <f>VLOOKUP(A732,Ucto_HK_summ!$A$2:H$966,7,FALSE)</f>
        <v>-12132.67</v>
      </c>
    </row>
    <row r="733" spans="1:5">
      <c r="A733" s="578" t="s">
        <v>2351</v>
      </c>
      <c r="B733" s="578" t="s">
        <v>2352</v>
      </c>
      <c r="C733">
        <v>0</v>
      </c>
      <c r="D733" s="513">
        <v>-112442.36</v>
      </c>
      <c r="E733">
        <f>VLOOKUP(A733,Ucto_HK_summ!$A$2:H$966,7,FALSE)</f>
        <v>-81270.37</v>
      </c>
    </row>
    <row r="734" spans="1:5">
      <c r="A734" s="578" t="s">
        <v>2353</v>
      </c>
      <c r="B734" s="578" t="s">
        <v>2354</v>
      </c>
      <c r="C734">
        <v>0</v>
      </c>
      <c r="D734" s="513">
        <v>-1443410.89</v>
      </c>
      <c r="E734">
        <f>VLOOKUP(A734,Ucto_HK_summ!$A$2:H$966,7,FALSE)</f>
        <v>-1028493.66</v>
      </c>
    </row>
    <row r="735" spans="1:5">
      <c r="A735" s="578" t="s">
        <v>2355</v>
      </c>
      <c r="B735" s="578" t="s">
        <v>2356</v>
      </c>
      <c r="C735">
        <v>0</v>
      </c>
      <c r="D735" s="513">
        <v>-423957.27</v>
      </c>
      <c r="E735">
        <f>VLOOKUP(A735,Ucto_HK_summ!$A$2:H$966,7,FALSE)</f>
        <v>-135952.98000000001</v>
      </c>
    </row>
    <row r="736" spans="1:5">
      <c r="A736" s="578" t="s">
        <v>2357</v>
      </c>
      <c r="B736" s="578" t="s">
        <v>2358</v>
      </c>
      <c r="C736">
        <v>0</v>
      </c>
      <c r="D736" s="513">
        <v>-210815.01</v>
      </c>
      <c r="E736">
        <f>VLOOKUP(A736,Ucto_HK_summ!$A$2:H$966,7,FALSE)</f>
        <v>-119062.68</v>
      </c>
    </row>
    <row r="737" spans="1:5">
      <c r="A737" s="578" t="s">
        <v>2359</v>
      </c>
      <c r="B737" s="578" t="s">
        <v>2360</v>
      </c>
      <c r="C737">
        <v>0</v>
      </c>
      <c r="D737" s="513">
        <v>-8073.39</v>
      </c>
      <c r="E737">
        <f>VLOOKUP(A737,Ucto_HK_summ!$A$2:H$966,7,FALSE)</f>
        <v>-3049.59</v>
      </c>
    </row>
    <row r="738" spans="1:5">
      <c r="A738" s="578" t="s">
        <v>2361</v>
      </c>
      <c r="B738" s="578" t="s">
        <v>2362</v>
      </c>
      <c r="C738">
        <v>0</v>
      </c>
      <c r="D738" s="513">
        <v>-15280.14</v>
      </c>
      <c r="E738">
        <f>VLOOKUP(A738,Ucto_HK_summ!$A$2:H$966,7,FALSE)</f>
        <v>-16855.77</v>
      </c>
    </row>
    <row r="739" spans="1:5">
      <c r="A739" s="578" t="s">
        <v>2363</v>
      </c>
      <c r="B739" s="578" t="s">
        <v>2364</v>
      </c>
      <c r="C739">
        <v>0</v>
      </c>
      <c r="D739" s="513">
        <v>-440820.9</v>
      </c>
      <c r="E739">
        <f>VLOOKUP(A739,Ucto_HK_summ!$A$2:H$966,7,FALSE)</f>
        <v>-262022.93</v>
      </c>
    </row>
    <row r="740" spans="1:5">
      <c r="A740" s="578" t="s">
        <v>2365</v>
      </c>
      <c r="B740" s="578" t="s">
        <v>2366</v>
      </c>
      <c r="C740">
        <v>0</v>
      </c>
      <c r="D740" s="513">
        <v>-18141.900000000001</v>
      </c>
      <c r="E740">
        <f>VLOOKUP(A740,Ucto_HK_summ!$A$2:H$966,7,FALSE)</f>
        <v>-19214.310000000001</v>
      </c>
    </row>
    <row r="741" spans="1:5">
      <c r="A741" s="578" t="s">
        <v>2367</v>
      </c>
      <c r="B741" s="578" t="s">
        <v>2368</v>
      </c>
      <c r="C741">
        <v>0</v>
      </c>
      <c r="D741" s="513">
        <v>-623544.86</v>
      </c>
      <c r="E741">
        <f>VLOOKUP(A741,Ucto_HK_summ!$A$2:H$966,7,FALSE)</f>
        <v>-494887.76</v>
      </c>
    </row>
    <row r="742" spans="1:5">
      <c r="A742" s="578" t="s">
        <v>2369</v>
      </c>
      <c r="B742" s="578" t="s">
        <v>2370</v>
      </c>
      <c r="C742">
        <v>0</v>
      </c>
      <c r="D742" s="513">
        <v>-3596.73</v>
      </c>
      <c r="E742">
        <f>VLOOKUP(A742,Ucto_HK_summ!$A$2:H$966,7,FALSE)</f>
        <v>-6901.34</v>
      </c>
    </row>
    <row r="743" spans="1:5">
      <c r="A743" s="578" t="s">
        <v>2371</v>
      </c>
      <c r="B743" s="578" t="s">
        <v>2372</v>
      </c>
      <c r="C743">
        <v>0</v>
      </c>
      <c r="D743" s="513">
        <v>-59202.84</v>
      </c>
      <c r="E743">
        <f>VLOOKUP(A743,Ucto_HK_summ!$A$2:H$966,7,FALSE)</f>
        <v>-7822.68</v>
      </c>
    </row>
    <row r="744" spans="1:5">
      <c r="A744" s="578" t="s">
        <v>2373</v>
      </c>
      <c r="B744" s="578" t="s">
        <v>2374</v>
      </c>
      <c r="C744">
        <v>0</v>
      </c>
      <c r="D744" s="513">
        <v>-715007.39</v>
      </c>
      <c r="E744">
        <f>VLOOKUP(A744,Ucto_HK_summ!$A$2:H$966,7,FALSE)</f>
        <v>-642980.92000000004</v>
      </c>
    </row>
    <row r="745" spans="1:5">
      <c r="A745" s="578" t="s">
        <v>2375</v>
      </c>
      <c r="B745" s="578" t="s">
        <v>2376</v>
      </c>
      <c r="C745">
        <v>0</v>
      </c>
      <c r="D745" s="513">
        <v>-4605.6000000000004</v>
      </c>
      <c r="E745">
        <f>VLOOKUP(A745,Ucto_HK_summ!$A$2:H$966,7,FALSE)</f>
        <v>-5687.94</v>
      </c>
    </row>
    <row r="746" spans="1:5">
      <c r="A746" s="578" t="s">
        <v>2377</v>
      </c>
      <c r="B746" s="578" t="s">
        <v>2378</v>
      </c>
      <c r="C746">
        <v>0</v>
      </c>
      <c r="D746" s="513">
        <v>-357465.24</v>
      </c>
      <c r="E746">
        <f>VLOOKUP(A746,Ucto_HK_summ!$A$2:H$966,7,FALSE)</f>
        <v>-394010.3</v>
      </c>
    </row>
    <row r="747" spans="1:5">
      <c r="A747" s="578" t="s">
        <v>2379</v>
      </c>
      <c r="B747" s="578" t="s">
        <v>2380</v>
      </c>
      <c r="C747">
        <v>0</v>
      </c>
      <c r="D747" s="550">
        <v>-6035</v>
      </c>
      <c r="E747">
        <f>VLOOKUP(A747,Ucto_HK_summ!$A$2:H$966,7,FALSE)</f>
        <v>-5576</v>
      </c>
    </row>
    <row r="748" spans="1:5">
      <c r="A748" s="578" t="s">
        <v>2381</v>
      </c>
      <c r="B748" s="578" t="s">
        <v>2382</v>
      </c>
      <c r="C748">
        <v>0</v>
      </c>
      <c r="D748" s="513">
        <v>-75433.13</v>
      </c>
      <c r="E748">
        <f>VLOOKUP(A748,Ucto_HK_summ!$A$2:H$966,7,FALSE)</f>
        <v>-52413.59</v>
      </c>
    </row>
    <row r="749" spans="1:5">
      <c r="A749" s="578" t="s">
        <v>2383</v>
      </c>
      <c r="B749" s="578" t="s">
        <v>2384</v>
      </c>
      <c r="C749">
        <v>0</v>
      </c>
      <c r="D749" s="513">
        <v>-348154.29</v>
      </c>
      <c r="E749">
        <f>VLOOKUP(A749,Ucto_HK_summ!$A$2:H$966,7,FALSE)</f>
        <v>-207478.81</v>
      </c>
    </row>
    <row r="750" spans="1:5">
      <c r="A750" s="578" t="s">
        <v>2385</v>
      </c>
      <c r="B750" s="578" t="s">
        <v>2386</v>
      </c>
      <c r="C750">
        <v>0</v>
      </c>
      <c r="D750" s="513">
        <v>-83312.350000000006</v>
      </c>
      <c r="E750">
        <f>VLOOKUP(A750,Ucto_HK_summ!$A$2:H$966,7,FALSE)</f>
        <v>-98135.27</v>
      </c>
    </row>
    <row r="751" spans="1:5">
      <c r="A751" s="578" t="s">
        <v>2387</v>
      </c>
      <c r="B751" s="578" t="s">
        <v>2388</v>
      </c>
      <c r="C751">
        <v>0</v>
      </c>
      <c r="D751" s="513">
        <v>-20887.900000000001</v>
      </c>
      <c r="E751">
        <f>VLOOKUP(A751,Ucto_HK_summ!$A$2:H$966,7,FALSE)</f>
        <v>-15385.22</v>
      </c>
    </row>
    <row r="752" spans="1:5">
      <c r="A752" s="578" t="s">
        <v>2389</v>
      </c>
      <c r="B752" s="578" t="s">
        <v>2390</v>
      </c>
      <c r="C752">
        <v>0</v>
      </c>
      <c r="D752" s="513">
        <v>-18474.509999999998</v>
      </c>
      <c r="E752">
        <f>VLOOKUP(A752,Ucto_HK_summ!$A$2:H$966,7,FALSE)</f>
        <v>-14692.19</v>
      </c>
    </row>
    <row r="753" spans="1:5">
      <c r="A753" s="578" t="s">
        <v>2391</v>
      </c>
      <c r="B753" s="578" t="s">
        <v>2392</v>
      </c>
      <c r="C753">
        <v>0</v>
      </c>
      <c r="D753" s="513">
        <v>-40995.22</v>
      </c>
      <c r="E753">
        <f>VLOOKUP(A753,Ucto_HK_summ!$A$2:H$966,7,FALSE)</f>
        <v>-39097.18</v>
      </c>
    </row>
    <row r="754" spans="1:5">
      <c r="A754" s="578" t="s">
        <v>2393</v>
      </c>
      <c r="B754" s="578" t="s">
        <v>2394</v>
      </c>
      <c r="C754">
        <v>0</v>
      </c>
      <c r="D754">
        <v>-140</v>
      </c>
      <c r="E754">
        <f>VLOOKUP(A754,Ucto_HK_summ!$A$2:H$966,7,FALSE)</f>
        <v>-1494</v>
      </c>
    </row>
    <row r="755" spans="1:5">
      <c r="A755" s="578" t="s">
        <v>2395</v>
      </c>
      <c r="B755" s="578" t="s">
        <v>2396</v>
      </c>
      <c r="C755">
        <v>0</v>
      </c>
      <c r="D755" s="513">
        <v>-11537.75</v>
      </c>
      <c r="E755">
        <f>VLOOKUP(A755,Ucto_HK_summ!$A$2:H$966,7,FALSE)</f>
        <v>-3624.23</v>
      </c>
    </row>
    <row r="756" spans="1:5">
      <c r="A756" s="578" t="s">
        <v>2397</v>
      </c>
      <c r="B756" s="578" t="s">
        <v>2398</v>
      </c>
      <c r="C756">
        <v>0</v>
      </c>
      <c r="D756" s="513">
        <v>-8076.34</v>
      </c>
      <c r="E756">
        <f>VLOOKUP(A756,Ucto_HK_summ!$A$2:H$966,7,FALSE)</f>
        <v>-14114.7</v>
      </c>
    </row>
    <row r="757" spans="1:5">
      <c r="A757" s="578" t="s">
        <v>2399</v>
      </c>
      <c r="B757" s="578" t="s">
        <v>2400</v>
      </c>
      <c r="C757">
        <v>0</v>
      </c>
      <c r="D757" s="513">
        <v>-4135.91</v>
      </c>
      <c r="E757">
        <f>VLOOKUP(A757,Ucto_HK_summ!$A$2:H$966,7,FALSE)</f>
        <v>-4757.8599999999997</v>
      </c>
    </row>
    <row r="758" spans="1:5">
      <c r="A758" s="578" t="s">
        <v>2401</v>
      </c>
      <c r="B758" s="578" t="s">
        <v>2402</v>
      </c>
      <c r="C758">
        <v>0</v>
      </c>
      <c r="D758" s="513">
        <v>-7291.88</v>
      </c>
      <c r="E758">
        <f>VLOOKUP(A758,Ucto_HK_summ!$A$2:H$966,7,FALSE)</f>
        <v>-5719.04</v>
      </c>
    </row>
    <row r="759" spans="1:5">
      <c r="A759" s="578" t="s">
        <v>2403</v>
      </c>
      <c r="B759" s="578" t="s">
        <v>2404</v>
      </c>
      <c r="C759">
        <v>0</v>
      </c>
      <c r="D759" s="513">
        <v>-1123.56</v>
      </c>
      <c r="E759">
        <f>VLOOKUP(A759,Ucto_HK_summ!$A$2:H$966,7,FALSE)</f>
        <v>-30.12</v>
      </c>
    </row>
    <row r="760" spans="1:5">
      <c r="A760" s="578" t="s">
        <v>2405</v>
      </c>
      <c r="B760" s="578" t="s">
        <v>2406</v>
      </c>
      <c r="C760">
        <v>0</v>
      </c>
      <c r="D760" s="513">
        <v>-41883.919999999998</v>
      </c>
      <c r="E760">
        <f>VLOOKUP(A760,Ucto_HK_summ!$A$2:H$966,7,FALSE)</f>
        <v>-17787.419999999998</v>
      </c>
    </row>
    <row r="761" spans="1:5">
      <c r="A761" s="578" t="s">
        <v>2407</v>
      </c>
      <c r="B761" s="578" t="s">
        <v>2408</v>
      </c>
      <c r="C761">
        <v>0</v>
      </c>
      <c r="D761" s="513">
        <v>-427739.67</v>
      </c>
      <c r="E761">
        <f>VLOOKUP(A761,Ucto_HK_summ!$A$2:H$966,7,FALSE)</f>
        <v>-210219.75</v>
      </c>
    </row>
    <row r="762" spans="1:5">
      <c r="A762" s="578" t="s">
        <v>2409</v>
      </c>
      <c r="B762" s="578" t="s">
        <v>2410</v>
      </c>
      <c r="C762">
        <v>0</v>
      </c>
      <c r="D762" s="513">
        <v>-198946.87</v>
      </c>
      <c r="E762">
        <f>VLOOKUP(A762,Ucto_HK_summ!$A$2:H$966,7,FALSE)</f>
        <v>-174006.93</v>
      </c>
    </row>
    <row r="763" spans="1:5">
      <c r="A763" s="578" t="s">
        <v>2411</v>
      </c>
      <c r="B763" s="578" t="s">
        <v>2412</v>
      </c>
      <c r="C763">
        <v>0</v>
      </c>
      <c r="D763" s="550">
        <v>-10600</v>
      </c>
      <c r="E763">
        <f>VLOOKUP(A763,Ucto_HK_summ!$A$2:H$966,7,FALSE)</f>
        <v>-19150</v>
      </c>
    </row>
    <row r="764" spans="1:5">
      <c r="A764" s="578" t="s">
        <v>2413</v>
      </c>
      <c r="B764" s="578" t="s">
        <v>2414</v>
      </c>
      <c r="C764">
        <v>0</v>
      </c>
      <c r="D764" s="513">
        <v>-80989.59</v>
      </c>
      <c r="E764">
        <f>VLOOKUP(A764,Ucto_HK_summ!$A$2:H$966,7,FALSE)</f>
        <v>-88883.64</v>
      </c>
    </row>
    <row r="765" spans="1:5">
      <c r="A765" s="578" t="s">
        <v>2415</v>
      </c>
      <c r="B765" s="578" t="s">
        <v>2416</v>
      </c>
      <c r="C765">
        <v>0</v>
      </c>
      <c r="D765" s="513">
        <v>-130392.42</v>
      </c>
      <c r="E765">
        <f>VLOOKUP(A765,Ucto_HK_summ!$A$2:H$966,7,FALSE)</f>
        <v>-161523.6</v>
      </c>
    </row>
    <row r="766" spans="1:5">
      <c r="A766" s="578" t="s">
        <v>2417</v>
      </c>
      <c r="B766" s="578" t="s">
        <v>2418</v>
      </c>
      <c r="C766">
        <v>0</v>
      </c>
      <c r="D766" s="513">
        <v>-1279283.21</v>
      </c>
      <c r="E766">
        <f>VLOOKUP(A766,Ucto_HK_summ!$A$2:H$966,7,FALSE)</f>
        <v>-723828.63</v>
      </c>
    </row>
    <row r="767" spans="1:5">
      <c r="A767" s="578" t="s">
        <v>2419</v>
      </c>
      <c r="B767" s="578" t="s">
        <v>2420</v>
      </c>
      <c r="C767">
        <v>0</v>
      </c>
      <c r="D767" s="550">
        <v>-23000</v>
      </c>
      <c r="E767">
        <f>VLOOKUP(A767,Ucto_HK_summ!$A$2:H$966,7,FALSE)</f>
        <v>-16325</v>
      </c>
    </row>
    <row r="768" spans="1:5">
      <c r="A768" s="578" t="s">
        <v>2421</v>
      </c>
      <c r="B768" s="578" t="s">
        <v>2422</v>
      </c>
      <c r="C768">
        <v>0</v>
      </c>
      <c r="D768" s="550">
        <v>-34995</v>
      </c>
      <c r="E768">
        <f>VLOOKUP(A768,Ucto_HK_summ!$A$2:H$966,7,FALSE)</f>
        <v>-35090</v>
      </c>
    </row>
    <row r="769" spans="1:5">
      <c r="A769" s="578" t="s">
        <v>2423</v>
      </c>
      <c r="B769" s="578" t="s">
        <v>2424</v>
      </c>
      <c r="C769">
        <v>0</v>
      </c>
      <c r="D769" s="513">
        <v>-765242.48</v>
      </c>
      <c r="E769">
        <f>VLOOKUP(A769,Ucto_HK_summ!$A$2:H$966,7,FALSE)</f>
        <v>-783351.82</v>
      </c>
    </row>
    <row r="770" spans="1:5">
      <c r="A770" s="578" t="s">
        <v>2425</v>
      </c>
      <c r="B770" s="578" t="s">
        <v>2426</v>
      </c>
      <c r="C770">
        <v>0</v>
      </c>
      <c r="D770" s="513">
        <v>-3036.41</v>
      </c>
      <c r="E770">
        <f>VLOOKUP(A770,Ucto_HK_summ!$A$2:H$966,7,FALSE)</f>
        <v>-3515.28</v>
      </c>
    </row>
    <row r="771" spans="1:5">
      <c r="A771" s="578" t="s">
        <v>2427</v>
      </c>
      <c r="B771" s="578" t="s">
        <v>1652</v>
      </c>
      <c r="C771">
        <v>0</v>
      </c>
      <c r="D771" s="550">
        <v>-46788</v>
      </c>
      <c r="E771">
        <f>VLOOKUP(A771,Ucto_HK_summ!$A$2:H$966,7,FALSE)</f>
        <v>-50192.01</v>
      </c>
    </row>
    <row r="772" spans="1:5">
      <c r="A772" s="578" t="s">
        <v>2428</v>
      </c>
      <c r="B772" s="578" t="s">
        <v>2429</v>
      </c>
      <c r="C772">
        <v>0</v>
      </c>
      <c r="D772">
        <v>-15.76</v>
      </c>
      <c r="E772">
        <f>VLOOKUP(A772,Ucto_HK_summ!$A$2:H$966,7,FALSE)</f>
        <v>-82.8</v>
      </c>
    </row>
    <row r="773" spans="1:5">
      <c r="A773" s="578" t="s">
        <v>2430</v>
      </c>
      <c r="B773" s="578" t="s">
        <v>2431</v>
      </c>
      <c r="C773">
        <v>0</v>
      </c>
      <c r="D773" s="513">
        <v>-572405.43999999994</v>
      </c>
      <c r="E773">
        <f>VLOOKUP(A773,Ucto_HK_summ!$A$2:H$966,7,FALSE)</f>
        <v>-376364</v>
      </c>
    </row>
    <row r="774" spans="1:5">
      <c r="A774" s="578" t="s">
        <v>2432</v>
      </c>
      <c r="B774" s="578" t="s">
        <v>2433</v>
      </c>
      <c r="C774">
        <v>0</v>
      </c>
      <c r="D774" s="513">
        <v>-570972.16000000003</v>
      </c>
      <c r="E774">
        <f>VLOOKUP(A774,Ucto_HK_summ!$A$2:H$966,7,FALSE)</f>
        <v>-676554.18</v>
      </c>
    </row>
    <row r="775" spans="1:5">
      <c r="A775" s="578" t="s">
        <v>2434</v>
      </c>
      <c r="B775" s="578" t="s">
        <v>2435</v>
      </c>
      <c r="C775">
        <v>0</v>
      </c>
      <c r="D775" s="513">
        <v>-7844.28</v>
      </c>
      <c r="E775">
        <f>VLOOKUP(A775,Ucto_HK_summ!$A$2:H$966,7,FALSE)</f>
        <v>-20508.240000000002</v>
      </c>
    </row>
    <row r="776" spans="1:5">
      <c r="A776" s="578" t="s">
        <v>2436</v>
      </c>
      <c r="B776" s="578" t="s">
        <v>2437</v>
      </c>
      <c r="C776">
        <v>0</v>
      </c>
      <c r="D776">
        <v>-195.82</v>
      </c>
      <c r="E776">
        <f>VLOOKUP(A776,Ucto_HK_summ!$A$2:H$966,7,FALSE)</f>
        <v>-574.91999999999996</v>
      </c>
    </row>
    <row r="777" spans="1:5">
      <c r="A777" s="578" t="s">
        <v>2438</v>
      </c>
      <c r="B777" s="578" t="s">
        <v>2439</v>
      </c>
      <c r="C777">
        <v>0</v>
      </c>
      <c r="D777" s="513">
        <v>-66685.34</v>
      </c>
      <c r="E777">
        <f>VLOOKUP(A777,Ucto_HK_summ!$A$2:H$966,7,FALSE)</f>
        <v>-15193.05</v>
      </c>
    </row>
    <row r="778" spans="1:5">
      <c r="A778" s="578" t="s">
        <v>2440</v>
      </c>
      <c r="B778" s="578" t="s">
        <v>2441</v>
      </c>
      <c r="C778">
        <v>0</v>
      </c>
      <c r="D778" s="513">
        <v>-274541.78999999998</v>
      </c>
      <c r="E778">
        <f>VLOOKUP(A778,Ucto_HK_summ!$A$2:H$966,7,FALSE)</f>
        <v>-218769.42</v>
      </c>
    </row>
    <row r="779" spans="1:5">
      <c r="A779" s="578" t="s">
        <v>2442</v>
      </c>
      <c r="B779" s="578" t="s">
        <v>2443</v>
      </c>
      <c r="C779">
        <v>0</v>
      </c>
      <c r="D779" s="513">
        <v>-7524.23</v>
      </c>
      <c r="E779">
        <f>VLOOKUP(A779,Ucto_HK_summ!$A$2:H$966,7,FALSE)</f>
        <v>-8121.45</v>
      </c>
    </row>
    <row r="780" spans="1:5">
      <c r="A780" s="578" t="s">
        <v>2444</v>
      </c>
      <c r="B780" s="578" t="s">
        <v>2445</v>
      </c>
      <c r="C780">
        <v>0</v>
      </c>
      <c r="D780" s="513">
        <v>-93507.77</v>
      </c>
      <c r="E780">
        <f>VLOOKUP(A780,Ucto_HK_summ!$A$2:H$966,7,FALSE)</f>
        <v>-67088.89</v>
      </c>
    </row>
    <row r="781" spans="1:5">
      <c r="A781" s="578" t="s">
        <v>2446</v>
      </c>
      <c r="B781" s="578" t="s">
        <v>2447</v>
      </c>
      <c r="C781">
        <v>0</v>
      </c>
      <c r="D781" s="550">
        <v>-3820</v>
      </c>
      <c r="E781">
        <f>VLOOKUP(A781,Ucto_HK_summ!$A$2:H$966,7,FALSE)</f>
        <v>-7560</v>
      </c>
    </row>
    <row r="782" spans="1:5">
      <c r="A782" s="578" t="s">
        <v>2448</v>
      </c>
      <c r="B782" s="578" t="s">
        <v>2449</v>
      </c>
      <c r="C782">
        <v>0</v>
      </c>
      <c r="D782" s="513">
        <v>-66071.399999999994</v>
      </c>
      <c r="E782">
        <f>VLOOKUP(A782,Ucto_HK_summ!$A$2:H$966,7,FALSE)</f>
        <v>-58561.32</v>
      </c>
    </row>
    <row r="783" spans="1:5">
      <c r="A783" s="578" t="s">
        <v>2450</v>
      </c>
      <c r="B783" s="578" t="s">
        <v>2451</v>
      </c>
      <c r="C783">
        <v>0</v>
      </c>
      <c r="D783" s="513">
        <v>-43593.02</v>
      </c>
      <c r="E783">
        <f>VLOOKUP(A783,Ucto_HK_summ!$A$2:H$966,7,FALSE)</f>
        <v>-53077.77</v>
      </c>
    </row>
    <row r="784" spans="1:5">
      <c r="A784" s="578" t="s">
        <v>909</v>
      </c>
      <c r="C784">
        <v>0</v>
      </c>
      <c r="D784" s="513">
        <v>-127492099.15000001</v>
      </c>
      <c r="E784">
        <f>VLOOKUP(A784,Ucto_HK_summ!$A$2:H$966,7,FALSE)</f>
        <v>-111345317.31999999</v>
      </c>
    </row>
    <row r="785" spans="1:5">
      <c r="A785" s="578" t="s">
        <v>2452</v>
      </c>
      <c r="B785" s="578" t="s">
        <v>2453</v>
      </c>
      <c r="C785">
        <v>0</v>
      </c>
      <c r="D785" s="513">
        <v>-307701.36</v>
      </c>
      <c r="E785">
        <f>VLOOKUP(A785,Ucto_HK_summ!$A$2:H$966,7,FALSE)</f>
        <v>-358457.12</v>
      </c>
    </row>
    <row r="786" spans="1:5">
      <c r="A786" s="578" t="s">
        <v>2454</v>
      </c>
      <c r="B786" s="578" t="s">
        <v>2455</v>
      </c>
      <c r="C786">
        <v>0</v>
      </c>
      <c r="D786" s="513">
        <v>-42017.04</v>
      </c>
      <c r="E786">
        <f>VLOOKUP(A786,Ucto_HK_summ!$A$2:H$966,7,FALSE)</f>
        <v>-46217.35</v>
      </c>
    </row>
    <row r="787" spans="1:5">
      <c r="A787" s="578" t="s">
        <v>2456</v>
      </c>
      <c r="B787" s="578" t="s">
        <v>2457</v>
      </c>
      <c r="C787">
        <v>0</v>
      </c>
      <c r="D787" s="513">
        <v>-129174.31</v>
      </c>
      <c r="E787">
        <f>VLOOKUP(A787,Ucto_HK_summ!$A$2:H$966,7,FALSE)</f>
        <v>-99634.02</v>
      </c>
    </row>
    <row r="788" spans="1:5">
      <c r="A788" s="578" t="s">
        <v>2807</v>
      </c>
      <c r="B788" s="578" t="s">
        <v>2808</v>
      </c>
      <c r="C788">
        <v>0</v>
      </c>
      <c r="D788">
        <v>-668.18</v>
      </c>
      <c r="E788">
        <f>VLOOKUP(A788,Ucto_HK_summ!$A$2:H$966,7,FALSE)</f>
        <v>0</v>
      </c>
    </row>
    <row r="789" spans="1:5">
      <c r="A789" s="578" t="s">
        <v>2458</v>
      </c>
      <c r="B789" s="578" t="s">
        <v>2459</v>
      </c>
      <c r="C789">
        <v>0</v>
      </c>
      <c r="D789" s="513">
        <v>-1748230.82</v>
      </c>
      <c r="E789">
        <f>VLOOKUP(A789,Ucto_HK_summ!$A$2:H$966,7,FALSE)</f>
        <v>-1292291.3400000001</v>
      </c>
    </row>
    <row r="790" spans="1:5">
      <c r="A790" s="578" t="s">
        <v>2460</v>
      </c>
      <c r="B790" s="578" t="s">
        <v>2461</v>
      </c>
      <c r="C790">
        <v>0</v>
      </c>
      <c r="D790" s="513">
        <v>-12469.94</v>
      </c>
      <c r="E790">
        <f>VLOOKUP(A790,Ucto_HK_summ!$A$2:H$966,7,FALSE)</f>
        <v>-5083.1000000000004</v>
      </c>
    </row>
    <row r="791" spans="1:5">
      <c r="A791" s="578" t="s">
        <v>2462</v>
      </c>
      <c r="B791" s="578" t="s">
        <v>2463</v>
      </c>
      <c r="C791">
        <v>0</v>
      </c>
      <c r="D791" s="513">
        <v>-702658.4</v>
      </c>
      <c r="E791">
        <f>VLOOKUP(A791,Ucto_HK_summ!$A$2:H$966,7,FALSE)</f>
        <v>-472299.4</v>
      </c>
    </row>
    <row r="792" spans="1:5">
      <c r="A792" s="578" t="s">
        <v>2464</v>
      </c>
      <c r="B792" s="578" t="s">
        <v>2465</v>
      </c>
      <c r="C792">
        <v>0</v>
      </c>
      <c r="D792" s="513">
        <v>-9982.56</v>
      </c>
      <c r="E792">
        <f>VLOOKUP(A792,Ucto_HK_summ!$A$2:H$966,7,FALSE)</f>
        <v>-833.49</v>
      </c>
    </row>
    <row r="793" spans="1:5">
      <c r="A793" s="578" t="s">
        <v>2466</v>
      </c>
      <c r="B793" s="578" t="s">
        <v>2467</v>
      </c>
      <c r="C793">
        <v>0</v>
      </c>
      <c r="D793" s="513">
        <v>-207152.27</v>
      </c>
      <c r="E793">
        <f>VLOOKUP(A793,Ucto_HK_summ!$A$2:H$966,7,FALSE)</f>
        <v>-133466.99</v>
      </c>
    </row>
    <row r="794" spans="1:5">
      <c r="A794" s="578" t="s">
        <v>2468</v>
      </c>
      <c r="B794" s="578" t="s">
        <v>2469</v>
      </c>
      <c r="C794">
        <v>0</v>
      </c>
      <c r="D794" s="513">
        <v>-2064.04</v>
      </c>
      <c r="E794">
        <f>VLOOKUP(A794,Ucto_HK_summ!$A$2:H$966,7,FALSE)</f>
        <v>-841.78</v>
      </c>
    </row>
    <row r="795" spans="1:5">
      <c r="A795" s="578" t="s">
        <v>2470</v>
      </c>
      <c r="C795">
        <v>0</v>
      </c>
      <c r="D795" s="513">
        <v>-3162118.92</v>
      </c>
      <c r="E795">
        <f>VLOOKUP(A795,Ucto_HK_summ!$A$2:H$966,7,FALSE)</f>
        <v>-2409124.59</v>
      </c>
    </row>
    <row r="796" spans="1:5">
      <c r="A796" s="577" t="s">
        <v>2471</v>
      </c>
      <c r="C796" s="369">
        <v>0</v>
      </c>
      <c r="D796" s="579">
        <v>-130654218.06999999</v>
      </c>
      <c r="E796">
        <f>VLOOKUP(A796,Ucto_HK_summ!$A$2:H$966,7,FALSE)</f>
        <v>-113754441.91</v>
      </c>
    </row>
    <row r="798" spans="1:5">
      <c r="A798" s="578" t="s">
        <v>2809</v>
      </c>
      <c r="B798" s="578" t="s">
        <v>2810</v>
      </c>
      <c r="C798">
        <v>0</v>
      </c>
      <c r="D798">
        <v>-39.64</v>
      </c>
      <c r="E798">
        <f>VLOOKUP(A798,Ucto_HK_summ!$A$2:H$966,7,FALSE)</f>
        <v>0</v>
      </c>
    </row>
    <row r="799" spans="1:5">
      <c r="A799" s="578" t="s">
        <v>922</v>
      </c>
      <c r="C799">
        <v>0</v>
      </c>
      <c r="D799">
        <v>-39.64</v>
      </c>
      <c r="E799">
        <f>VLOOKUP(A799,Ucto_HK_summ!$A$2:H$966,7,FALSE)</f>
        <v>0</v>
      </c>
    </row>
    <row r="800" spans="1:5">
      <c r="A800" s="578" t="s">
        <v>2472</v>
      </c>
      <c r="B800" s="578" t="s">
        <v>2473</v>
      </c>
      <c r="C800">
        <v>0</v>
      </c>
      <c r="D800" s="513">
        <v>-45970.400000000001</v>
      </c>
      <c r="E800">
        <f>VLOOKUP(A800,Ucto_HK_summ!$A$2:H$966,7,FALSE)</f>
        <v>-32349.200000000001</v>
      </c>
    </row>
    <row r="801" spans="1:5">
      <c r="A801" s="578" t="s">
        <v>924</v>
      </c>
      <c r="C801">
        <v>0</v>
      </c>
      <c r="D801" s="513">
        <v>-45970.400000000001</v>
      </c>
      <c r="E801">
        <f>VLOOKUP(A801,Ucto_HK_summ!$A$2:H$966,7,FALSE)</f>
        <v>-32349.200000000001</v>
      </c>
    </row>
    <row r="802" spans="1:5">
      <c r="A802" s="577" t="s">
        <v>2474</v>
      </c>
      <c r="C802" s="369">
        <v>0</v>
      </c>
      <c r="D802" s="579">
        <v>-46010.04</v>
      </c>
      <c r="E802">
        <f>VLOOKUP(A802,Ucto_HK_summ!$A$2:H$966,7,FALSE)</f>
        <v>-32349.200000000001</v>
      </c>
    </row>
    <row r="804" spans="1:5">
      <c r="A804" s="578" t="s">
        <v>2475</v>
      </c>
      <c r="B804" s="578" t="s">
        <v>2476</v>
      </c>
      <c r="C804">
        <v>0</v>
      </c>
      <c r="D804">
        <v>0</v>
      </c>
      <c r="E804">
        <f>VLOOKUP(A804,Ucto_HK_summ!$A$2:H$966,7,FALSE)</f>
        <v>-4621.63</v>
      </c>
    </row>
    <row r="805" spans="1:5">
      <c r="A805" s="578" t="s">
        <v>938</v>
      </c>
      <c r="C805">
        <v>0</v>
      </c>
      <c r="D805">
        <v>0</v>
      </c>
      <c r="E805">
        <f>VLOOKUP(A805,Ucto_HK_summ!$A$2:H$966,7,FALSE)</f>
        <v>-4621.63</v>
      </c>
    </row>
    <row r="806" spans="1:5">
      <c r="A806" s="578" t="s">
        <v>2477</v>
      </c>
      <c r="B806" s="578" t="s">
        <v>2478</v>
      </c>
      <c r="C806">
        <v>0</v>
      </c>
      <c r="D806" s="513">
        <v>-6974.9</v>
      </c>
      <c r="E806">
        <f>VLOOKUP(A806,Ucto_HK_summ!$A$2:H$966,7,FALSE)</f>
        <v>-1164.8</v>
      </c>
    </row>
    <row r="807" spans="1:5">
      <c r="A807" s="578" t="s">
        <v>2479</v>
      </c>
      <c r="B807" s="578" t="s">
        <v>2480</v>
      </c>
      <c r="C807">
        <v>0</v>
      </c>
      <c r="D807" s="513">
        <v>-5142.5200000000004</v>
      </c>
      <c r="E807">
        <f>VLOOKUP(A807,Ucto_HK_summ!$A$2:H$966,7,FALSE)</f>
        <v>-39242.85</v>
      </c>
    </row>
    <row r="808" spans="1:5">
      <c r="A808" s="578" t="s">
        <v>942</v>
      </c>
      <c r="C808">
        <v>0</v>
      </c>
      <c r="D808" s="513">
        <v>-12117.42</v>
      </c>
      <c r="E808">
        <f>VLOOKUP(A808,Ucto_HK_summ!$A$2:H$966,7,FALSE)</f>
        <v>-40407.65</v>
      </c>
    </row>
    <row r="809" spans="1:5">
      <c r="A809" s="578" t="s">
        <v>2481</v>
      </c>
      <c r="B809" s="578" t="s">
        <v>2482</v>
      </c>
      <c r="C809">
        <v>0</v>
      </c>
      <c r="D809" s="513">
        <v>-84905.78</v>
      </c>
      <c r="E809">
        <f>VLOOKUP(A809,Ucto_HK_summ!$A$2:H$966,7,FALSE)</f>
        <v>-92483.94</v>
      </c>
    </row>
    <row r="810" spans="1:5">
      <c r="A810" s="578" t="s">
        <v>2485</v>
      </c>
      <c r="B810" s="578" t="s">
        <v>2486</v>
      </c>
      <c r="C810">
        <v>0</v>
      </c>
      <c r="D810">
        <v>-815.28</v>
      </c>
      <c r="E810">
        <f>VLOOKUP(A810,Ucto_HK_summ!$A$2:H$966,7,FALSE)</f>
        <v>-49.95</v>
      </c>
    </row>
    <row r="811" spans="1:5">
      <c r="A811" s="578" t="s">
        <v>2487</v>
      </c>
      <c r="B811" s="578" t="s">
        <v>2488</v>
      </c>
      <c r="C811">
        <v>0</v>
      </c>
      <c r="D811" s="513">
        <v>-167269.15</v>
      </c>
      <c r="E811">
        <f>VLOOKUP(A811,Ucto_HK_summ!$A$2:H$966,7,FALSE)</f>
        <v>-13395.14</v>
      </c>
    </row>
    <row r="812" spans="1:5">
      <c r="A812" s="578" t="s">
        <v>2871</v>
      </c>
      <c r="B812" s="578" t="s">
        <v>2872</v>
      </c>
      <c r="C812">
        <v>0</v>
      </c>
      <c r="D812" s="513">
        <v>-1274914.56</v>
      </c>
      <c r="E812">
        <f>VLOOKUP(A812,Ucto_HK_summ!$A$2:H$966,7,FALSE)</f>
        <v>0</v>
      </c>
    </row>
    <row r="813" spans="1:5">
      <c r="A813" s="578" t="s">
        <v>2489</v>
      </c>
      <c r="B813" s="578" t="s">
        <v>2490</v>
      </c>
      <c r="C813">
        <v>0</v>
      </c>
      <c r="D813" s="513">
        <v>-8142.23</v>
      </c>
      <c r="E813">
        <f>VLOOKUP(A813,Ucto_HK_summ!$A$2:H$966,7,FALSE)</f>
        <v>-3217.89</v>
      </c>
    </row>
    <row r="814" spans="1:5">
      <c r="A814" s="578" t="s">
        <v>2491</v>
      </c>
      <c r="B814" s="578" t="s">
        <v>2492</v>
      </c>
      <c r="C814">
        <v>0</v>
      </c>
      <c r="D814">
        <v>-17.399999999999999</v>
      </c>
      <c r="E814">
        <f>VLOOKUP(A814,Ucto_HK_summ!$A$2:H$966,7,FALSE)</f>
        <v>-36.58</v>
      </c>
    </row>
    <row r="815" spans="1:5">
      <c r="A815" s="578" t="s">
        <v>2493</v>
      </c>
      <c r="B815" s="578" t="s">
        <v>2494</v>
      </c>
      <c r="C815">
        <v>0</v>
      </c>
      <c r="D815" s="513">
        <v>-15675.5</v>
      </c>
      <c r="E815">
        <f>VLOOKUP(A815,Ucto_HK_summ!$A$2:H$966,7,FALSE)</f>
        <v>-6667.45</v>
      </c>
    </row>
    <row r="816" spans="1:5">
      <c r="A816" s="578" t="s">
        <v>2495</v>
      </c>
      <c r="B816" s="578" t="s">
        <v>2496</v>
      </c>
      <c r="C816">
        <v>0</v>
      </c>
      <c r="D816">
        <v>-456</v>
      </c>
      <c r="E816">
        <f>VLOOKUP(A816,Ucto_HK_summ!$A$2:H$966,7,FALSE)</f>
        <v>-245.58</v>
      </c>
    </row>
    <row r="817" spans="1:5">
      <c r="A817" s="578" t="s">
        <v>2811</v>
      </c>
      <c r="B817" s="578" t="s">
        <v>2812</v>
      </c>
      <c r="C817">
        <v>0</v>
      </c>
      <c r="D817" s="513">
        <v>-335236.21999999997</v>
      </c>
      <c r="E817">
        <f>VLOOKUP(A817,Ucto_HK_summ!$A$2:H$966,7,FALSE)</f>
        <v>0</v>
      </c>
    </row>
    <row r="818" spans="1:5">
      <c r="A818" s="578" t="s">
        <v>2497</v>
      </c>
      <c r="B818" s="578" t="s">
        <v>2498</v>
      </c>
      <c r="C818">
        <v>0</v>
      </c>
      <c r="D818" s="513">
        <v>-176574.12</v>
      </c>
      <c r="E818">
        <f>VLOOKUP(A818,Ucto_HK_summ!$A$2:H$966,7,FALSE)</f>
        <v>-68633.710000000006</v>
      </c>
    </row>
    <row r="819" spans="1:5">
      <c r="A819" s="578" t="s">
        <v>2503</v>
      </c>
      <c r="B819" s="578" t="s">
        <v>2504</v>
      </c>
      <c r="C819">
        <v>0</v>
      </c>
      <c r="D819" s="513">
        <v>-36340.06</v>
      </c>
      <c r="E819">
        <f>VLOOKUP(A819,Ucto_HK_summ!$A$2:H$966,7,FALSE)</f>
        <v>-33784.660000000003</v>
      </c>
    </row>
    <row r="820" spans="1:5">
      <c r="A820" s="578" t="s">
        <v>2505</v>
      </c>
      <c r="B820" s="578" t="s">
        <v>2506</v>
      </c>
      <c r="C820">
        <v>0</v>
      </c>
      <c r="D820">
        <v>-109.01</v>
      </c>
      <c r="E820">
        <f>VLOOKUP(A820,Ucto_HK_summ!$A$2:H$966,7,FALSE)</f>
        <v>-333.83</v>
      </c>
    </row>
    <row r="821" spans="1:5">
      <c r="A821" s="578" t="s">
        <v>2507</v>
      </c>
      <c r="B821" s="578" t="s">
        <v>2508</v>
      </c>
      <c r="C821">
        <v>0</v>
      </c>
      <c r="D821">
        <v>-903.35</v>
      </c>
      <c r="E821">
        <f>VLOOKUP(A821,Ucto_HK_summ!$A$2:H$966,7,FALSE)</f>
        <v>-2305.27</v>
      </c>
    </row>
    <row r="822" spans="1:5">
      <c r="A822" s="578" t="s">
        <v>946</v>
      </c>
      <c r="C822">
        <v>0</v>
      </c>
      <c r="D822" s="513">
        <v>-2101358.66</v>
      </c>
      <c r="E822">
        <f>VLOOKUP(A822,Ucto_HK_summ!$A$2:H$966,7,FALSE)</f>
        <v>-30942791.43</v>
      </c>
    </row>
    <row r="823" spans="1:5">
      <c r="A823" s="577" t="s">
        <v>2509</v>
      </c>
      <c r="C823" s="369">
        <v>0</v>
      </c>
      <c r="D823" s="579">
        <v>-2113476.08</v>
      </c>
      <c r="E823">
        <f>VLOOKUP(A823,Ucto_HK_summ!$A$2:H$966,7,FALSE)</f>
        <v>-30987820.710000001</v>
      </c>
    </row>
    <row r="825" spans="1:5">
      <c r="A825" s="578" t="s">
        <v>2510</v>
      </c>
      <c r="B825" s="578" t="s">
        <v>2511</v>
      </c>
      <c r="C825">
        <v>0</v>
      </c>
      <c r="D825" s="513">
        <v>-213742.71</v>
      </c>
      <c r="E825">
        <f>VLOOKUP(A825,Ucto_HK_summ!$A$2:H$966,7,FALSE)</f>
        <v>-19077.52</v>
      </c>
    </row>
    <row r="826" spans="1:5">
      <c r="A826" s="578" t="s">
        <v>2512</v>
      </c>
      <c r="B826" s="578" t="s">
        <v>2513</v>
      </c>
      <c r="C826">
        <v>0</v>
      </c>
      <c r="D826" s="513">
        <v>-72966.62</v>
      </c>
      <c r="E826">
        <f>VLOOKUP(A826,Ucto_HK_summ!$A$2:H$966,7,FALSE)</f>
        <v>-6667.74</v>
      </c>
    </row>
    <row r="827" spans="1:5">
      <c r="A827" s="578" t="s">
        <v>950</v>
      </c>
      <c r="C827">
        <v>0</v>
      </c>
      <c r="D827" s="513">
        <v>-286709.33</v>
      </c>
      <c r="E827">
        <f>VLOOKUP(A827,Ucto_HK_summ!$A$2:H$966,7,FALSE)</f>
        <v>-25745.26</v>
      </c>
    </row>
    <row r="828" spans="1:5">
      <c r="A828" s="578" t="s">
        <v>2873</v>
      </c>
      <c r="B828" s="578" t="s">
        <v>2874</v>
      </c>
      <c r="C828">
        <v>0</v>
      </c>
      <c r="D828" s="513">
        <v>-265143.77</v>
      </c>
      <c r="E828">
        <f>VLOOKUP(A828,Ucto_HK_summ!$A$2:H$966,7,FALSE)</f>
        <v>0</v>
      </c>
    </row>
    <row r="829" spans="1:5">
      <c r="A829" s="578" t="s">
        <v>2875</v>
      </c>
      <c r="B829" s="578" t="s">
        <v>2876</v>
      </c>
      <c r="C829">
        <v>0</v>
      </c>
      <c r="D829" s="513">
        <v>-92348.2</v>
      </c>
      <c r="E829">
        <f>VLOOKUP(A829,Ucto_HK_summ!$A$2:H$966,7,FALSE)</f>
        <v>0</v>
      </c>
    </row>
    <row r="830" spans="1:5">
      <c r="A830" s="578" t="s">
        <v>2514</v>
      </c>
      <c r="B830" s="578" t="s">
        <v>2515</v>
      </c>
      <c r="C830">
        <v>0</v>
      </c>
      <c r="D830" s="513">
        <v>-604132.47</v>
      </c>
      <c r="E830">
        <f>VLOOKUP(A830,Ucto_HK_summ!$A$2:H$966,7,FALSE)</f>
        <v>-46238.97</v>
      </c>
    </row>
    <row r="831" spans="1:5">
      <c r="A831" s="578" t="s">
        <v>952</v>
      </c>
      <c r="C831">
        <v>0</v>
      </c>
      <c r="D831" s="513">
        <v>-961624.44</v>
      </c>
      <c r="E831">
        <f>VLOOKUP(A831,Ucto_HK_summ!$A$2:H$966,7,FALSE)</f>
        <v>-771577.7</v>
      </c>
    </row>
    <row r="832" spans="1:5">
      <c r="A832" s="577" t="s">
        <v>2520</v>
      </c>
      <c r="C832" s="369">
        <v>0</v>
      </c>
      <c r="D832" s="579">
        <v>-1248333.77</v>
      </c>
      <c r="E832">
        <f>VLOOKUP(A832,Ucto_HK_summ!$A$2:H$966,7,FALSE)</f>
        <v>-842174.9</v>
      </c>
    </row>
    <row r="834" spans="1:5">
      <c r="A834" s="578" t="s">
        <v>2813</v>
      </c>
      <c r="B834" s="578" t="s">
        <v>238</v>
      </c>
      <c r="C834">
        <v>0</v>
      </c>
      <c r="D834">
        <v>0</v>
      </c>
    </row>
    <row r="835" spans="1:5">
      <c r="A835" s="578" t="s">
        <v>2521</v>
      </c>
      <c r="B835" s="578" t="s">
        <v>2522</v>
      </c>
      <c r="C835">
        <v>0</v>
      </c>
      <c r="D835" s="513">
        <v>-1244.3399999999999</v>
      </c>
      <c r="E835">
        <f>VLOOKUP(A835,Ucto_HK_summ!$A$2:H$966,7,FALSE)</f>
        <v>-496.01</v>
      </c>
    </row>
    <row r="836" spans="1:5">
      <c r="A836" s="578" t="s">
        <v>967</v>
      </c>
      <c r="C836">
        <v>0</v>
      </c>
      <c r="D836" s="513">
        <v>-1244.3399999999999</v>
      </c>
      <c r="E836">
        <f>VLOOKUP(A836,Ucto_HK_summ!$A$2:H$966,7,FALSE)</f>
        <v>-496.01</v>
      </c>
    </row>
    <row r="837" spans="1:5">
      <c r="A837" s="578" t="s">
        <v>2527</v>
      </c>
      <c r="B837" s="578" t="s">
        <v>978</v>
      </c>
      <c r="C837">
        <v>0</v>
      </c>
      <c r="D837">
        <v>-190.87</v>
      </c>
      <c r="E837">
        <f>VLOOKUP(A837,Ucto_HK_summ!$A$2:H$966,7,FALSE)</f>
        <v>-156.80000000000001</v>
      </c>
    </row>
    <row r="838" spans="1:5">
      <c r="A838" s="578" t="s">
        <v>2528</v>
      </c>
      <c r="B838" s="578" t="s">
        <v>2529</v>
      </c>
      <c r="C838">
        <v>0</v>
      </c>
      <c r="D838">
        <v>-0.26</v>
      </c>
      <c r="E838">
        <f>VLOOKUP(A838,Ucto_HK_summ!$A$2:H$966,7,FALSE)</f>
        <v>-0.12</v>
      </c>
    </row>
    <row r="839" spans="1:5">
      <c r="A839" s="578" t="s">
        <v>977</v>
      </c>
      <c r="C839">
        <v>0</v>
      </c>
      <c r="D839">
        <v>-191.13</v>
      </c>
      <c r="E839">
        <f>VLOOKUP(A839,Ucto_HK_summ!$A$2:H$966,7,FALSE)</f>
        <v>-156.91999999999999</v>
      </c>
    </row>
    <row r="840" spans="1:5">
      <c r="A840" s="577" t="s">
        <v>2530</v>
      </c>
      <c r="C840" s="369">
        <v>0</v>
      </c>
      <c r="D840" s="579">
        <v>-1435.47</v>
      </c>
      <c r="E840">
        <f>VLOOKUP(A840,Ucto_HK_summ!$A$2:H$966,7,FALSE)</f>
        <v>-730.84</v>
      </c>
    </row>
    <row r="842" spans="1:5">
      <c r="A842" s="578" t="s">
        <v>2531</v>
      </c>
      <c r="B842" s="578" t="s">
        <v>987</v>
      </c>
      <c r="C842">
        <v>0</v>
      </c>
      <c r="D842">
        <v>-187.62</v>
      </c>
      <c r="E842">
        <f>VLOOKUP(A842,Ucto_HK_summ!$A$2:H$966,7,FALSE)</f>
        <v>-31555.13</v>
      </c>
    </row>
    <row r="843" spans="1:5">
      <c r="A843" s="578" t="s">
        <v>986</v>
      </c>
      <c r="C843">
        <v>0</v>
      </c>
      <c r="D843">
        <v>-187.62</v>
      </c>
      <c r="E843">
        <f>VLOOKUP(A843,Ucto_HK_summ!$A$2:H$966,7,FALSE)</f>
        <v>-31555.13</v>
      </c>
    </row>
    <row r="844" spans="1:5">
      <c r="A844" s="577" t="s">
        <v>2532</v>
      </c>
      <c r="C844" s="369">
        <v>0</v>
      </c>
      <c r="D844" s="369">
        <v>-187.62</v>
      </c>
      <c r="E844">
        <f>VLOOKUP(A844,Ucto_HK_summ!$A$2:H$966,7,FALSE)</f>
        <v>-31555.13</v>
      </c>
    </row>
    <row r="846" spans="1:5">
      <c r="A846" s="578" t="s">
        <v>2533</v>
      </c>
      <c r="B846" s="578" t="s">
        <v>2534</v>
      </c>
      <c r="C846">
        <v>0</v>
      </c>
      <c r="D846" s="513">
        <v>-417660.26</v>
      </c>
      <c r="E846">
        <f>VLOOKUP(A846,Ucto_HK_summ!$A$2:H$966,7,FALSE)</f>
        <v>-438702</v>
      </c>
    </row>
    <row r="847" spans="1:5">
      <c r="A847" s="578" t="s">
        <v>2537</v>
      </c>
      <c r="B847" s="578" t="s">
        <v>2538</v>
      </c>
      <c r="C847">
        <v>0</v>
      </c>
      <c r="D847" s="513">
        <v>-21394931.390000001</v>
      </c>
      <c r="E847">
        <f>VLOOKUP(A847,Ucto_HK_summ!$A$2:H$966,7,FALSE)</f>
        <v>-3609091.14</v>
      </c>
    </row>
    <row r="848" spans="1:5">
      <c r="A848" s="578" t="s">
        <v>2814</v>
      </c>
      <c r="B848" s="578" t="s">
        <v>2815</v>
      </c>
      <c r="C848">
        <v>0</v>
      </c>
      <c r="D848" s="513">
        <v>-16570501.08</v>
      </c>
      <c r="E848">
        <f>VLOOKUP(A848,Ucto_HK_summ!$A$2:H$966,7,FALSE)</f>
        <v>0</v>
      </c>
    </row>
    <row r="849" spans="1:5">
      <c r="A849" s="578" t="s">
        <v>989</v>
      </c>
      <c r="C849">
        <v>0</v>
      </c>
      <c r="D849" s="513">
        <v>-38383092.729999997</v>
      </c>
      <c r="E849">
        <f>VLOOKUP(A849,Ucto_HK_summ!$A$2:H$966,7,FALSE)</f>
        <v>-4145185.38</v>
      </c>
    </row>
    <row r="850" spans="1:5">
      <c r="A850" s="578" t="s">
        <v>2539</v>
      </c>
      <c r="B850" s="578" t="s">
        <v>2540</v>
      </c>
      <c r="C850">
        <v>0</v>
      </c>
      <c r="D850" s="513">
        <v>-1893018.13</v>
      </c>
      <c r="E850">
        <f>VLOOKUP(A850,Ucto_HK_summ!$A$2:H$966,7,FALSE)</f>
        <v>-1468486.67</v>
      </c>
    </row>
    <row r="851" spans="1:5">
      <c r="A851" s="578" t="s">
        <v>2541</v>
      </c>
      <c r="B851" s="578" t="s">
        <v>2542</v>
      </c>
      <c r="C851">
        <v>0</v>
      </c>
      <c r="D851" s="513">
        <v>-6999.31</v>
      </c>
      <c r="E851">
        <f>VLOOKUP(A851,Ucto_HK_summ!$A$2:H$966,7,FALSE)</f>
        <v>-9223.76</v>
      </c>
    </row>
    <row r="852" spans="1:5">
      <c r="A852" s="578" t="s">
        <v>2543</v>
      </c>
      <c r="B852" s="578" t="s">
        <v>2544</v>
      </c>
      <c r="C852">
        <v>0</v>
      </c>
      <c r="D852" s="513">
        <v>-39663.230000000003</v>
      </c>
      <c r="E852">
        <f>VLOOKUP(A852,Ucto_HK_summ!$A$2:H$966,7,FALSE)</f>
        <v>-52268.98</v>
      </c>
    </row>
    <row r="853" spans="1:5">
      <c r="A853" s="578" t="s">
        <v>2545</v>
      </c>
      <c r="B853" s="578" t="s">
        <v>2546</v>
      </c>
      <c r="C853">
        <v>0</v>
      </c>
      <c r="D853" s="513">
        <v>-132975.73000000001</v>
      </c>
      <c r="E853">
        <f>VLOOKUP(A853,Ucto_HK_summ!$A$2:H$966,7,FALSE)</f>
        <v>-132896.70000000001</v>
      </c>
    </row>
    <row r="854" spans="1:5">
      <c r="A854" s="578" t="s">
        <v>2547</v>
      </c>
      <c r="B854" s="578" t="s">
        <v>2548</v>
      </c>
      <c r="C854">
        <v>0</v>
      </c>
      <c r="D854" s="513">
        <v>-753528.35</v>
      </c>
      <c r="E854">
        <f>VLOOKUP(A854,Ucto_HK_summ!$A$2:H$966,7,FALSE)</f>
        <v>-753076.97</v>
      </c>
    </row>
    <row r="855" spans="1:5">
      <c r="A855" s="578" t="s">
        <v>991</v>
      </c>
      <c r="C855">
        <v>0</v>
      </c>
      <c r="D855" s="513">
        <v>-2826184.75</v>
      </c>
      <c r="E855">
        <f>VLOOKUP(A855,Ucto_HK_summ!$A$2:H$966,7,FALSE)</f>
        <v>-2415953.08</v>
      </c>
    </row>
    <row r="856" spans="1:5">
      <c r="A856" s="578" t="s">
        <v>2551</v>
      </c>
      <c r="B856" s="578" t="s">
        <v>2552</v>
      </c>
      <c r="C856">
        <v>0</v>
      </c>
      <c r="D856" s="513">
        <v>-180408.64</v>
      </c>
      <c r="E856">
        <f>VLOOKUP(A856,Ucto_HK_summ!$A$2:H$966,7,FALSE)</f>
        <v>-1151394.26</v>
      </c>
    </row>
    <row r="857" spans="1:5">
      <c r="A857" s="578" t="s">
        <v>2816</v>
      </c>
      <c r="B857" s="578" t="s">
        <v>2817</v>
      </c>
      <c r="C857">
        <v>0</v>
      </c>
      <c r="D857" s="513">
        <v>-1889002.11</v>
      </c>
      <c r="E857">
        <f>VLOOKUP(A857,Ucto_HK_summ!$A$2:H$966,7,FALSE)</f>
        <v>0</v>
      </c>
    </row>
    <row r="858" spans="1:5">
      <c r="A858" s="578" t="s">
        <v>2877</v>
      </c>
      <c r="B858" s="578" t="s">
        <v>2878</v>
      </c>
      <c r="C858">
        <v>0</v>
      </c>
      <c r="D858" s="513">
        <v>-3081454.2</v>
      </c>
      <c r="E858">
        <f>VLOOKUP(A858,Ucto_HK_summ!$A$2:H$966,7,FALSE)</f>
        <v>0</v>
      </c>
    </row>
    <row r="859" spans="1:5">
      <c r="A859" s="578" t="s">
        <v>993</v>
      </c>
      <c r="C859">
        <v>0</v>
      </c>
      <c r="D859" s="513">
        <v>-5150864.95</v>
      </c>
      <c r="E859">
        <f>VLOOKUP(A859,Ucto_HK_summ!$A$2:H$966,7,FALSE)</f>
        <v>-1294968.26</v>
      </c>
    </row>
    <row r="860" spans="1:5">
      <c r="A860" s="578" t="s">
        <v>2553</v>
      </c>
      <c r="B860" s="578" t="s">
        <v>2554</v>
      </c>
      <c r="C860">
        <v>0</v>
      </c>
      <c r="D860" s="513">
        <v>-100360.25</v>
      </c>
      <c r="E860">
        <f>VLOOKUP(A860,Ucto_HK_summ!$A$2:H$966,7,FALSE)</f>
        <v>-68728.89</v>
      </c>
    </row>
    <row r="861" spans="1:5">
      <c r="A861" s="578" t="s">
        <v>1001</v>
      </c>
      <c r="C861">
        <v>0</v>
      </c>
      <c r="D861" s="513">
        <v>-100360.25</v>
      </c>
      <c r="E861">
        <f>VLOOKUP(A861,Ucto_HK_summ!$A$2:H$966,7,FALSE)</f>
        <v>-68728.89</v>
      </c>
    </row>
    <row r="862" spans="1:5">
      <c r="A862" s="578" t="s">
        <v>2555</v>
      </c>
      <c r="B862" s="578" t="s">
        <v>2556</v>
      </c>
      <c r="C862">
        <v>0</v>
      </c>
      <c r="D862" s="513">
        <v>-48638.32</v>
      </c>
      <c r="E862">
        <f>VLOOKUP(A862,Ucto_HK_summ!$A$2:H$966,7,FALSE)</f>
        <v>-32602</v>
      </c>
    </row>
    <row r="863" spans="1:5">
      <c r="A863" s="578" t="s">
        <v>1003</v>
      </c>
      <c r="C863">
        <v>0</v>
      </c>
      <c r="D863" s="513">
        <v>-48638.32</v>
      </c>
      <c r="E863">
        <f>VLOOKUP(A863,Ucto_HK_summ!$A$2:H$966,7,FALSE)</f>
        <v>-32602</v>
      </c>
    </row>
    <row r="864" spans="1:5">
      <c r="A864" s="577" t="s">
        <v>2557</v>
      </c>
      <c r="C864" s="369">
        <v>0</v>
      </c>
      <c r="D864" s="580">
        <v>-46509141</v>
      </c>
      <c r="E864">
        <f>VLOOKUP(A864,Ucto_HK_summ!$A$2:H$966,7,FALSE)</f>
        <v>-7957437.6100000003</v>
      </c>
    </row>
    <row r="866" spans="1:5">
      <c r="A866" s="577" t="s">
        <v>2558</v>
      </c>
      <c r="C866" s="369">
        <v>0</v>
      </c>
      <c r="D866" s="579">
        <v>-180572802.05000001</v>
      </c>
      <c r="E866">
        <f>VLOOKUP(A866,Ucto_HK_summ!$A$2:H$966,7,FALSE)</f>
        <v>-153606510.30000001</v>
      </c>
    </row>
    <row r="869" spans="1:5">
      <c r="A869" s="578" t="s">
        <v>2559</v>
      </c>
      <c r="B869" s="578" t="s">
        <v>2560</v>
      </c>
      <c r="C869" s="513">
        <v>990920.16</v>
      </c>
      <c r="D869" s="513">
        <v>990920.16</v>
      </c>
      <c r="E869">
        <f>VLOOKUP(A869,Ucto_HK_summ!$A$2:H$966,7,FALSE)</f>
        <v>990920.16</v>
      </c>
    </row>
    <row r="870" spans="1:5">
      <c r="A870" s="578" t="s">
        <v>2561</v>
      </c>
      <c r="B870" s="578" t="s">
        <v>2562</v>
      </c>
      <c r="C870" s="513">
        <v>5615214.1699999999</v>
      </c>
      <c r="D870" s="513">
        <v>5615214.1699999999</v>
      </c>
      <c r="E870">
        <f>VLOOKUP(A870,Ucto_HK_summ!$A$2:H$966,7,FALSE)</f>
        <v>5615214.1699999999</v>
      </c>
    </row>
    <row r="871" spans="1:5">
      <c r="A871" s="578" t="s">
        <v>2563</v>
      </c>
      <c r="C871" s="513">
        <v>6606134.3300000001</v>
      </c>
      <c r="D871" s="513">
        <v>6606134.3300000001</v>
      </c>
      <c r="E871">
        <f>VLOOKUP(A871,Ucto_HK_summ!$A$2:H$966,7,FALSE)</f>
        <v>6606134.3300000001</v>
      </c>
    </row>
    <row r="872" spans="1:5">
      <c r="A872" s="578" t="s">
        <v>2564</v>
      </c>
      <c r="B872" s="578" t="s">
        <v>2565</v>
      </c>
      <c r="C872" s="513">
        <v>435493.98</v>
      </c>
      <c r="D872" s="513">
        <v>435493.98</v>
      </c>
      <c r="E872">
        <f>VLOOKUP(A872,Ucto_HK_summ!$A$2:H$966,7,FALSE)</f>
        <v>435493.98</v>
      </c>
    </row>
    <row r="873" spans="1:5">
      <c r="A873" s="578" t="s">
        <v>2566</v>
      </c>
      <c r="C873" s="513">
        <v>435493.98</v>
      </c>
      <c r="D873" s="513">
        <v>435493.98</v>
      </c>
      <c r="E873">
        <f>VLOOKUP(A873,Ucto_HK_summ!$A$2:H$966,7,FALSE)</f>
        <v>435493.98</v>
      </c>
    </row>
    <row r="874" spans="1:5">
      <c r="A874" s="578" t="s">
        <v>2567</v>
      </c>
      <c r="B874" s="578" t="s">
        <v>2568</v>
      </c>
      <c r="C874" s="513">
        <v>1370.25</v>
      </c>
      <c r="D874" s="513">
        <v>1370.25</v>
      </c>
      <c r="E874">
        <f>VLOOKUP(A874,Ucto_HK_summ!$A$2:H$966,7,FALSE)</f>
        <v>1370.25</v>
      </c>
    </row>
    <row r="875" spans="1:5">
      <c r="A875" s="578" t="s">
        <v>2569</v>
      </c>
      <c r="B875" s="578" t="s">
        <v>2570</v>
      </c>
      <c r="C875" s="513">
        <v>16642.150000000001</v>
      </c>
      <c r="D875" s="513">
        <v>16642.150000000001</v>
      </c>
      <c r="E875">
        <f>VLOOKUP(A875,Ucto_HK_summ!$A$2:H$966,7,FALSE)</f>
        <v>16642.150000000001</v>
      </c>
    </row>
    <row r="876" spans="1:5">
      <c r="A876" s="578" t="s">
        <v>2571</v>
      </c>
      <c r="B876" s="578" t="s">
        <v>2572</v>
      </c>
      <c r="C876" s="513">
        <v>2138.2800000000002</v>
      </c>
      <c r="D876" s="513">
        <v>2198.1799999999998</v>
      </c>
      <c r="E876">
        <f>VLOOKUP(A876,Ucto_HK_summ!$A$2:H$966,7,FALSE)</f>
        <v>2138.2800000000002</v>
      </c>
    </row>
    <row r="877" spans="1:5">
      <c r="A877" s="578" t="s">
        <v>2573</v>
      </c>
      <c r="B877" s="578" t="s">
        <v>2574</v>
      </c>
      <c r="C877" s="513">
        <v>1500.55</v>
      </c>
      <c r="D877" s="513">
        <v>1500.55</v>
      </c>
      <c r="E877">
        <f>VLOOKUP(A877,Ucto_HK_summ!$A$2:H$966,7,FALSE)</f>
        <v>1500.55</v>
      </c>
    </row>
    <row r="878" spans="1:5">
      <c r="A878" s="578" t="s">
        <v>2575</v>
      </c>
      <c r="C878" s="513">
        <v>21651.23</v>
      </c>
      <c r="D878" s="513">
        <v>21711.13</v>
      </c>
      <c r="E878">
        <f>VLOOKUP(A878,Ucto_HK_summ!$A$2:H$966,7,FALSE)</f>
        <v>21651.23</v>
      </c>
    </row>
    <row r="879" spans="1:5">
      <c r="A879" s="578" t="s">
        <v>2576</v>
      </c>
      <c r="B879" s="578" t="s">
        <v>2577</v>
      </c>
      <c r="C879" s="513">
        <v>12062832.130000001</v>
      </c>
      <c r="D879" s="513">
        <v>11282754.529999999</v>
      </c>
      <c r="E879">
        <f>VLOOKUP(A879,Ucto_HK_summ!$A$2:H$966,7,FALSE)</f>
        <v>12062832.130000001</v>
      </c>
    </row>
    <row r="880" spans="1:5">
      <c r="A880" s="578" t="s">
        <v>2578</v>
      </c>
      <c r="B880" s="578" t="s">
        <v>2579</v>
      </c>
      <c r="C880" s="513">
        <v>71377.279999999999</v>
      </c>
      <c r="D880" s="513">
        <v>65643.350000000006</v>
      </c>
      <c r="E880">
        <f>VLOOKUP(A880,Ucto_HK_summ!$A$2:H$966,7,FALSE)</f>
        <v>71377.279999999999</v>
      </c>
    </row>
    <row r="881" spans="1:5">
      <c r="A881" s="578" t="s">
        <v>2580</v>
      </c>
      <c r="B881" s="578" t="s">
        <v>2581</v>
      </c>
      <c r="C881" s="513">
        <v>212743.48</v>
      </c>
      <c r="D881" s="513">
        <v>207672.5</v>
      </c>
      <c r="E881">
        <f>VLOOKUP(A881,Ucto_HK_summ!$A$2:H$966,7,FALSE)</f>
        <v>212743.48</v>
      </c>
    </row>
    <row r="882" spans="1:5">
      <c r="A882" s="578" t="s">
        <v>2582</v>
      </c>
      <c r="B882" s="578" t="s">
        <v>2583</v>
      </c>
      <c r="C882" s="513">
        <v>10459866.619999999</v>
      </c>
      <c r="D882" s="513">
        <v>10431581.91</v>
      </c>
      <c r="E882">
        <f>VLOOKUP(A882,Ucto_HK_summ!$A$2:H$966,7,FALSE)</f>
        <v>10459866.619999999</v>
      </c>
    </row>
    <row r="883" spans="1:5">
      <c r="A883" s="578" t="s">
        <v>2584</v>
      </c>
      <c r="C883" s="513">
        <v>22806819.510000002</v>
      </c>
      <c r="D883" s="513">
        <v>21987652.289999999</v>
      </c>
      <c r="E883">
        <f>VLOOKUP(A883,Ucto_HK_summ!$A$2:H$966,7,FALSE)</f>
        <v>22806819.510000002</v>
      </c>
    </row>
    <row r="884" spans="1:5">
      <c r="A884" s="578" t="s">
        <v>2585</v>
      </c>
      <c r="B884" s="578" t="s">
        <v>2586</v>
      </c>
      <c r="C884" s="513">
        <v>143437.20000000001</v>
      </c>
      <c r="D884">
        <v>0</v>
      </c>
      <c r="E884">
        <f>VLOOKUP(A884,Ucto_HK_summ!$A$2:H$966,7,FALSE)</f>
        <v>143437.20000000001</v>
      </c>
    </row>
    <row r="885" spans="1:5">
      <c r="A885" s="578" t="s">
        <v>2587</v>
      </c>
      <c r="C885" s="513">
        <v>143437.20000000001</v>
      </c>
      <c r="D885">
        <v>0</v>
      </c>
      <c r="E885">
        <f>VLOOKUP(A885,Ucto_HK_summ!$A$2:H$966,7,FALSE)</f>
        <v>143437.20000000001</v>
      </c>
    </row>
    <row r="886" spans="1:5">
      <c r="A886" s="577" t="s">
        <v>2588</v>
      </c>
      <c r="C886" s="579">
        <v>30013536.25</v>
      </c>
      <c r="D886" s="579">
        <v>29050991.73</v>
      </c>
      <c r="E886">
        <f>VLOOKUP(A886,Ucto_HK_summ!$A$2:H$966,7,FALSE)</f>
        <v>30013536.25</v>
      </c>
    </row>
    <row r="888" spans="1:5">
      <c r="A888" s="578" t="s">
        <v>2589</v>
      </c>
      <c r="B888" s="578" t="s">
        <v>2590</v>
      </c>
      <c r="C888" s="513">
        <v>2622837.2999999998</v>
      </c>
      <c r="D888" s="513">
        <v>2622837.2999999998</v>
      </c>
      <c r="E888">
        <f>VLOOKUP(A888,Ucto_HK_summ!$A$2:H$966,7,FALSE)</f>
        <v>2622837.2999999998</v>
      </c>
    </row>
    <row r="889" spans="1:5">
      <c r="A889" s="578" t="s">
        <v>2591</v>
      </c>
      <c r="B889" s="578" t="s">
        <v>2592</v>
      </c>
      <c r="C889" s="513">
        <v>-2622837.2999999998</v>
      </c>
      <c r="D889" s="513">
        <v>-2622837.2999999998</v>
      </c>
      <c r="E889">
        <f>VLOOKUP(A889,Ucto_HK_summ!$A$2:H$966,7,FALSE)</f>
        <v>-2622837.2999999998</v>
      </c>
    </row>
    <row r="890" spans="1:5">
      <c r="A890" s="578" t="s">
        <v>2593</v>
      </c>
      <c r="B890" s="578" t="s">
        <v>2594</v>
      </c>
      <c r="C890" s="513">
        <v>124793.33</v>
      </c>
      <c r="D890" s="513">
        <v>124793.33</v>
      </c>
      <c r="E890">
        <f>VLOOKUP(A890,Ucto_HK_summ!$A$2:H$966,7,FALSE)</f>
        <v>124793.33</v>
      </c>
    </row>
    <row r="891" spans="1:5">
      <c r="A891" s="578" t="s">
        <v>2595</v>
      </c>
      <c r="C891" s="513">
        <v>124793.33</v>
      </c>
      <c r="D891" s="513">
        <v>124793.33</v>
      </c>
      <c r="E891">
        <f>VLOOKUP(A891,Ucto_HK_summ!$A$2:H$966,7,FALSE)</f>
        <v>124793.33</v>
      </c>
    </row>
    <row r="892" spans="1:5">
      <c r="A892" s="577" t="s">
        <v>2596</v>
      </c>
      <c r="C892" s="579">
        <v>124793.33</v>
      </c>
      <c r="D892" s="579">
        <v>124793.33</v>
      </c>
      <c r="E892">
        <f>VLOOKUP(A892,Ucto_HK_summ!$A$2:H$966,7,FALSE)</f>
        <v>124793.33</v>
      </c>
    </row>
    <row r="894" spans="1:5">
      <c r="A894" s="578" t="s">
        <v>2597</v>
      </c>
      <c r="B894" s="578" t="s">
        <v>2598</v>
      </c>
      <c r="C894" s="513">
        <v>23861.48</v>
      </c>
      <c r="D894" s="513">
        <v>18669.259999999998</v>
      </c>
      <c r="E894">
        <f>VLOOKUP(A894,Ucto_HK_summ!$A$2:H$966,7,FALSE)</f>
        <v>23861.48</v>
      </c>
    </row>
    <row r="895" spans="1:5">
      <c r="A895" s="578" t="s">
        <v>2599</v>
      </c>
      <c r="B895" s="578" t="s">
        <v>2600</v>
      </c>
      <c r="C895" s="513">
        <v>33518.639999999999</v>
      </c>
      <c r="D895" s="513">
        <v>35218.1</v>
      </c>
      <c r="E895">
        <f>VLOOKUP(A895,Ucto_HK_summ!$A$2:H$966,7,FALSE)</f>
        <v>33518.639999999999</v>
      </c>
    </row>
    <row r="896" spans="1:5">
      <c r="A896" s="578" t="s">
        <v>2601</v>
      </c>
      <c r="C896" s="513">
        <v>57380.12</v>
      </c>
      <c r="D896" s="513">
        <v>53887.360000000001</v>
      </c>
      <c r="E896">
        <f>VLOOKUP(A896,Ucto_HK_summ!$A$2:H$966,7,FALSE)</f>
        <v>57380.12</v>
      </c>
    </row>
    <row r="897" spans="1:5">
      <c r="A897" s="577" t="s">
        <v>2602</v>
      </c>
      <c r="C897" s="579">
        <v>57380.12</v>
      </c>
      <c r="D897" s="579">
        <v>53887.360000000001</v>
      </c>
      <c r="E897">
        <f>VLOOKUP(A897,Ucto_HK_summ!$A$2:H$966,7,FALSE)</f>
        <v>57380.12</v>
      </c>
    </row>
    <row r="899" spans="1:5">
      <c r="A899" s="578" t="s">
        <v>2603</v>
      </c>
      <c r="B899" s="578" t="s">
        <v>2604</v>
      </c>
      <c r="C899" s="513">
        <v>-30195709.699999999</v>
      </c>
      <c r="D899" s="513">
        <v>-29229672.420000002</v>
      </c>
      <c r="E899">
        <f>VLOOKUP(A899,Ucto_HK_summ!$A$2:H$966,7,FALSE)</f>
        <v>-30195709.699999999</v>
      </c>
    </row>
    <row r="900" spans="1:5">
      <c r="A900" s="578" t="s">
        <v>2605</v>
      </c>
      <c r="C900" s="513">
        <v>-30195709.699999999</v>
      </c>
      <c r="D900" s="513">
        <v>-29229672.420000002</v>
      </c>
      <c r="E900">
        <f>VLOOKUP(A900,Ucto_HK_summ!$A$2:H$966,7,FALSE)</f>
        <v>-30195709.699999999</v>
      </c>
    </row>
    <row r="901" spans="1:5">
      <c r="A901" s="577" t="s">
        <v>2606</v>
      </c>
      <c r="C901" s="579">
        <v>-30195709.699999999</v>
      </c>
      <c r="D901" s="579">
        <v>-29229672.420000002</v>
      </c>
      <c r="E901">
        <f>VLOOKUP(A901,Ucto_HK_summ!$A$2:H$966,7,FALSE)</f>
        <v>-30195709.699999999</v>
      </c>
    </row>
    <row r="903" spans="1:5">
      <c r="A903" s="577" t="s">
        <v>2607</v>
      </c>
      <c r="C903" s="369">
        <v>0</v>
      </c>
      <c r="D903" s="369">
        <v>0</v>
      </c>
      <c r="E903">
        <f>VLOOKUP(A903,Ucto_HK_summ!$A$2:H$966,7,FALSE)</f>
        <v>0</v>
      </c>
    </row>
    <row r="906" spans="1:5">
      <c r="A906" s="578" t="s">
        <v>2608</v>
      </c>
      <c r="B906" s="578" t="s">
        <v>2609</v>
      </c>
      <c r="C906" s="513">
        <v>-507698.78</v>
      </c>
      <c r="D906" s="513">
        <v>-717047.31</v>
      </c>
      <c r="E906">
        <f>VLOOKUP(A906,Ucto_HK_summ!$A$2:H$966,7,FALSE)</f>
        <v>-507698.78</v>
      </c>
    </row>
    <row r="907" spans="1:5">
      <c r="A907" s="578" t="s">
        <v>2610</v>
      </c>
      <c r="B907" s="578" t="s">
        <v>2611</v>
      </c>
      <c r="C907" s="513">
        <v>-170273.52</v>
      </c>
      <c r="D907" s="513">
        <v>-257633.51</v>
      </c>
      <c r="E907">
        <f>VLOOKUP(A907,Ucto_HK_summ!$A$2:H$966,7,FALSE)</f>
        <v>-170273.52</v>
      </c>
    </row>
    <row r="908" spans="1:5">
      <c r="A908" s="578" t="s">
        <v>2612</v>
      </c>
      <c r="B908" s="578" t="s">
        <v>2613</v>
      </c>
      <c r="C908" s="513">
        <v>-88225.43</v>
      </c>
      <c r="D908" s="513">
        <v>-150320.01999999999</v>
      </c>
      <c r="E908">
        <f>VLOOKUP(A908,Ucto_HK_summ!$A$2:H$966,7,FALSE)</f>
        <v>-88225.43</v>
      </c>
    </row>
    <row r="909" spans="1:5">
      <c r="A909" s="578" t="s">
        <v>2614</v>
      </c>
      <c r="B909" s="578" t="s">
        <v>2615</v>
      </c>
      <c r="C909" s="513">
        <v>-1860494.78</v>
      </c>
      <c r="D909" s="513">
        <v>-2756219.16</v>
      </c>
      <c r="E909">
        <f>VLOOKUP(A909,Ucto_HK_summ!$A$2:H$966,7,FALSE)</f>
        <v>-1860494.78</v>
      </c>
    </row>
    <row r="910" spans="1:5">
      <c r="A910" s="578" t="s">
        <v>2620</v>
      </c>
      <c r="B910" s="578" t="s">
        <v>2621</v>
      </c>
      <c r="C910" s="513">
        <v>-4254018.51</v>
      </c>
      <c r="D910" s="513">
        <v>-4254018.51</v>
      </c>
      <c r="E910">
        <f>VLOOKUP(A910,Ucto_HK_summ!$A$2:H$966,7,FALSE)</f>
        <v>-4254018.51</v>
      </c>
    </row>
    <row r="911" spans="1:5">
      <c r="A911" s="578" t="s">
        <v>2622</v>
      </c>
      <c r="B911" s="578" t="s">
        <v>2623</v>
      </c>
      <c r="C911" s="513">
        <v>-13510778.92</v>
      </c>
      <c r="D911" s="513">
        <v>-13510778.92</v>
      </c>
      <c r="E911">
        <f>VLOOKUP(A911,Ucto_HK_summ!$A$2:H$966,7,FALSE)</f>
        <v>-13510778.92</v>
      </c>
    </row>
    <row r="912" spans="1:5">
      <c r="A912" s="578" t="s">
        <v>2624</v>
      </c>
      <c r="B912" s="578" t="s">
        <v>2625</v>
      </c>
      <c r="C912" s="513">
        <v>-13399961.869999999</v>
      </c>
      <c r="D912" s="513">
        <v>-14656779.859999999</v>
      </c>
      <c r="E912">
        <f>VLOOKUP(A912,Ucto_HK_summ!$A$2:H$966,7,FALSE)</f>
        <v>-13399961.869999999</v>
      </c>
    </row>
    <row r="913" spans="1:5">
      <c r="A913" s="578" t="s">
        <v>2818</v>
      </c>
      <c r="B913" s="578" t="s">
        <v>2819</v>
      </c>
      <c r="C913">
        <v>0</v>
      </c>
      <c r="D913" s="513">
        <v>-14084500.57</v>
      </c>
      <c r="E913">
        <f>VLOOKUP(A913,Ucto_HK_summ!$A$2:H$966,7,FALSE)</f>
        <v>0</v>
      </c>
    </row>
    <row r="914" spans="1:5">
      <c r="A914" s="578" t="s">
        <v>2626</v>
      </c>
      <c r="B914" s="578" t="s">
        <v>2627</v>
      </c>
      <c r="C914" s="513">
        <v>-608873.73</v>
      </c>
      <c r="D914" s="513">
        <v>-608873.73</v>
      </c>
      <c r="E914">
        <f>VLOOKUP(A914,Ucto_HK_summ!$A$2:H$966,7,FALSE)</f>
        <v>-608873.73</v>
      </c>
    </row>
    <row r="915" spans="1:5">
      <c r="A915" s="578" t="s">
        <v>2628</v>
      </c>
      <c r="B915" s="578" t="s">
        <v>2629</v>
      </c>
      <c r="C915" s="513">
        <v>34400325.539999999</v>
      </c>
      <c r="D915" s="513">
        <v>50996171.590000004</v>
      </c>
      <c r="E915">
        <f>VLOOKUP(A915,Ucto_HK_summ!$A$2:H$966,7,FALSE)</f>
        <v>34400325.539999999</v>
      </c>
    </row>
    <row r="916" spans="1:5">
      <c r="A916" s="578" t="s">
        <v>2630</v>
      </c>
      <c r="C916">
        <v>0</v>
      </c>
      <c r="D916">
        <v>0</v>
      </c>
      <c r="E916">
        <f>VLOOKUP(A916,Ucto_HK_summ!$A$2:H$966,7,FALSE)</f>
        <v>0</v>
      </c>
    </row>
    <row r="917" spans="1:5">
      <c r="A917" s="577" t="s">
        <v>2631</v>
      </c>
      <c r="C917" s="369">
        <v>0</v>
      </c>
      <c r="D917" s="369">
        <v>0</v>
      </c>
      <c r="E917">
        <f>VLOOKUP(A917,Ucto_HK_summ!$A$2:H$966,7,FALSE)</f>
        <v>0</v>
      </c>
    </row>
    <row r="919" spans="1:5">
      <c r="A919" s="577" t="s">
        <v>2632</v>
      </c>
      <c r="C919" s="369">
        <v>0</v>
      </c>
      <c r="D919" s="369">
        <v>0</v>
      </c>
      <c r="E919">
        <f>VLOOKUP(A919,Ucto_HK_summ!$A$2:H$966,7,FALSE)</f>
        <v>0</v>
      </c>
    </row>
    <row r="922" spans="1:5">
      <c r="A922" s="578" t="s">
        <v>2633</v>
      </c>
      <c r="B922" s="578" t="s">
        <v>2634</v>
      </c>
      <c r="C922" s="513">
        <v>-20517725.129999999</v>
      </c>
      <c r="D922">
        <v>0</v>
      </c>
      <c r="E922">
        <f>VLOOKUP(A922,Ucto_HK_summ!$A$2:H$966,7,FALSE)</f>
        <v>-20517725.129999999</v>
      </c>
    </row>
    <row r="923" spans="1:5">
      <c r="A923" s="578" t="s">
        <v>2635</v>
      </c>
      <c r="B923" s="578" t="s">
        <v>2636</v>
      </c>
      <c r="C923" s="513">
        <v>-492411.63</v>
      </c>
      <c r="D923">
        <v>0</v>
      </c>
      <c r="E923">
        <f>VLOOKUP(A923,Ucto_HK_summ!$A$2:H$966,7,FALSE)</f>
        <v>-492411.63</v>
      </c>
    </row>
    <row r="924" spans="1:5">
      <c r="A924" s="578" t="s">
        <v>2637</v>
      </c>
      <c r="B924" s="578" t="s">
        <v>2638</v>
      </c>
      <c r="C924" s="513">
        <v>21010136.760000002</v>
      </c>
      <c r="D924">
        <v>0</v>
      </c>
      <c r="E924">
        <f>VLOOKUP(A924,Ucto_HK_summ!$A$2:H$966,7,FALSE)</f>
        <v>21010136.760000002</v>
      </c>
    </row>
    <row r="925" spans="1:5">
      <c r="A925" s="578" t="s">
        <v>2639</v>
      </c>
      <c r="C925">
        <v>0</v>
      </c>
      <c r="D925">
        <v>0</v>
      </c>
      <c r="E925">
        <f>VLOOKUP(A925,Ucto_HK_summ!$A$2:H$966,7,FALSE)</f>
        <v>0</v>
      </c>
    </row>
    <row r="926" spans="1:5">
      <c r="A926" s="577" t="s">
        <v>2640</v>
      </c>
      <c r="C926" s="369">
        <v>0</v>
      </c>
      <c r="D926" s="369">
        <v>0</v>
      </c>
      <c r="E926">
        <f>VLOOKUP(A926,Ucto_HK_summ!$A$2:H$966,7,FALSE)</f>
        <v>0</v>
      </c>
    </row>
    <row r="927" spans="1:5">
      <c r="A927" s="577" t="s">
        <v>2641</v>
      </c>
      <c r="C927" s="369">
        <v>0</v>
      </c>
      <c r="D927" s="369">
        <v>0</v>
      </c>
      <c r="E927">
        <f>VLOOKUP(A927,Ucto_HK_summ!$A$2:H$966,7,FALSE)</f>
        <v>0</v>
      </c>
    </row>
    <row r="929" spans="1:5">
      <c r="A929" s="577" t="s">
        <v>1158</v>
      </c>
      <c r="C929" s="369">
        <v>0</v>
      </c>
      <c r="D929" s="369">
        <v>0</v>
      </c>
      <c r="E929">
        <f>VLOOKUP(A929,Ucto_HK_summ!$A$2:H$966,7,FALSE)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BBE3-87FB-4E3E-A4CD-A2FFC2873B49}">
  <sheetPr>
    <tabColor theme="6" tint="0.79998168889431442"/>
  </sheetPr>
  <dimension ref="B2:G37"/>
  <sheetViews>
    <sheetView workbookViewId="0"/>
  </sheetViews>
  <sheetFormatPr baseColWidth="10" defaultColWidth="8.83203125" defaultRowHeight="15"/>
  <cols>
    <col min="1" max="1" width="5.6640625" style="63" customWidth="1"/>
    <col min="2" max="2" width="28.1640625" style="63" customWidth="1"/>
    <col min="3" max="6" width="15.5" style="63" customWidth="1"/>
    <col min="7" max="16384" width="8.83203125" style="63"/>
  </cols>
  <sheetData>
    <row r="2" spans="2:6">
      <c r="B2" s="457"/>
      <c r="C2" s="69"/>
      <c r="D2" s="69"/>
      <c r="E2" s="911"/>
    </row>
    <row r="3" spans="2:6" ht="39" customHeight="1">
      <c r="B3" s="1177" t="s">
        <v>3261</v>
      </c>
      <c r="C3" s="1167" t="s">
        <v>3263</v>
      </c>
      <c r="D3" s="1168" t="s">
        <v>3133</v>
      </c>
      <c r="E3" s="1169" t="s">
        <v>3264</v>
      </c>
    </row>
    <row r="4" spans="2:6">
      <c r="B4" s="552" t="s">
        <v>3124</v>
      </c>
      <c r="C4" s="821">
        <f>Scenarios_Summary!C4</f>
        <v>-482193.7002575295</v>
      </c>
      <c r="D4" s="823">
        <f>Scenarios_Summary!D4</f>
        <v>-941657.51170781476</v>
      </c>
      <c r="E4" s="69">
        <f t="shared" ref="E4:E6" si="0">D4-C4</f>
        <v>-459463.81145028525</v>
      </c>
    </row>
    <row r="5" spans="2:6">
      <c r="B5" s="853" t="s">
        <v>3262</v>
      </c>
      <c r="C5" s="854">
        <f>Scenarios_Summary!C5</f>
        <v>-142396.77057639221</v>
      </c>
      <c r="D5" s="856">
        <f>Scenarios_Summary!D5</f>
        <v>-868559.75275271502</v>
      </c>
      <c r="E5" s="855">
        <f t="shared" si="0"/>
        <v>-726162.98217632284</v>
      </c>
    </row>
    <row r="6" spans="2:6">
      <c r="B6" s="1001" t="s">
        <v>3173</v>
      </c>
      <c r="C6" s="1002">
        <f>Scenarios_Summary!C7</f>
        <v>-339796.92968113732</v>
      </c>
      <c r="D6" s="1003">
        <f>Scenarios_Summary!D7</f>
        <v>-73097.758955099736</v>
      </c>
      <c r="E6" s="1004">
        <f t="shared" si="0"/>
        <v>266699.17072603758</v>
      </c>
    </row>
    <row r="9" spans="2:6" ht="32">
      <c r="B9" s="1166" t="s">
        <v>3273</v>
      </c>
      <c r="C9" s="1167" t="s">
        <v>3263</v>
      </c>
      <c r="D9" s="1168" t="s">
        <v>3133</v>
      </c>
      <c r="E9" s="1169" t="s">
        <v>3264</v>
      </c>
    </row>
    <row r="10" spans="2:6">
      <c r="B10" s="552" t="s">
        <v>3141</v>
      </c>
      <c r="C10" s="833">
        <f>Scenarios_Summary!C16</f>
        <v>124694.92273147951</v>
      </c>
      <c r="D10" s="834">
        <f>Scenarios_Summary!D16</f>
        <v>166485.43495034642</v>
      </c>
      <c r="E10" s="69">
        <f t="shared" ref="E10:E14" si="1">D10-C10</f>
        <v>41790.512218866905</v>
      </c>
    </row>
    <row r="11" spans="2:6">
      <c r="B11" s="552" t="s">
        <v>3265</v>
      </c>
      <c r="C11" s="833">
        <f>Scenarios_Summary!C17</f>
        <v>61113.874489582566</v>
      </c>
      <c r="D11" s="834">
        <f>Scenarios_Summary!D17</f>
        <v>93254.045417173023</v>
      </c>
      <c r="E11" s="69">
        <f t="shared" si="1"/>
        <v>32140.170927590458</v>
      </c>
    </row>
    <row r="12" spans="2:6">
      <c r="B12" s="552" t="s">
        <v>3266</v>
      </c>
      <c r="C12" s="833">
        <f>Scenarios_Summary!C18</f>
        <v>-52556.138370872795</v>
      </c>
      <c r="D12" s="834">
        <f>Scenarios_Summary!D18</f>
        <v>-24067.062581507773</v>
      </c>
      <c r="E12" s="69">
        <f t="shared" si="1"/>
        <v>28489.075789365023</v>
      </c>
      <c r="F12" s="1007" t="s">
        <v>3267</v>
      </c>
    </row>
    <row r="13" spans="2:6">
      <c r="B13" s="552" t="s">
        <v>3268</v>
      </c>
      <c r="C13" s="833">
        <f>Scenarios_Summary!C19</f>
        <v>-53783.693700681404</v>
      </c>
      <c r="D13" s="834">
        <f>Scenarios_Summary!D19</f>
        <v>-17649.729181423925</v>
      </c>
      <c r="E13" s="69">
        <f t="shared" si="1"/>
        <v>36133.964519257483</v>
      </c>
    </row>
    <row r="14" spans="2:6">
      <c r="B14" s="1170" t="s">
        <v>3116</v>
      </c>
      <c r="C14" s="254">
        <f>Scenarios_Summary!C20</f>
        <v>-77280.932278025342</v>
      </c>
      <c r="D14" s="918">
        <f>Scenarios_Summary!D20</f>
        <v>-22835.395437413496</v>
      </c>
      <c r="E14" s="254">
        <f t="shared" si="1"/>
        <v>54445.53684061185</v>
      </c>
    </row>
    <row r="17" spans="2:7" ht="64">
      <c r="B17" s="1166" t="s">
        <v>3274</v>
      </c>
      <c r="C17" s="1171" t="s">
        <v>3263</v>
      </c>
      <c r="D17" s="1172" t="s">
        <v>3133</v>
      </c>
      <c r="E17" s="1173" t="s">
        <v>3264</v>
      </c>
      <c r="F17" s="1173" t="s">
        <v>3272</v>
      </c>
      <c r="G17" s="1007" t="s">
        <v>3275</v>
      </c>
    </row>
    <row r="18" spans="2:7">
      <c r="B18" s="552" t="s">
        <v>3269</v>
      </c>
      <c r="C18" s="1005">
        <f>'FTE"0"'!U49</f>
        <v>74.471093954501413</v>
      </c>
      <c r="D18" s="1006">
        <f>'FTE"A"'!U49</f>
        <v>88.672872954889073</v>
      </c>
      <c r="E18" s="625">
        <f t="shared" ref="E18:E20" si="2">D18-C18</f>
        <v>14.20177900038766</v>
      </c>
      <c r="F18" s="625">
        <v>97</v>
      </c>
    </row>
    <row r="19" spans="2:7">
      <c r="B19" s="552" t="s">
        <v>3270</v>
      </c>
      <c r="C19" s="1005">
        <f>'FTE"0"'!U50</f>
        <v>2.1303518851109615</v>
      </c>
      <c r="D19" s="1006">
        <f>'FTE"A"'!U50</f>
        <v>1.9173166965998654</v>
      </c>
      <c r="E19" s="625">
        <f t="shared" si="2"/>
        <v>-0.21303518851109615</v>
      </c>
      <c r="F19" s="625">
        <v>1.65</v>
      </c>
    </row>
    <row r="20" spans="2:7">
      <c r="B20" s="552" t="s">
        <v>3271</v>
      </c>
      <c r="C20" s="833">
        <f>'FTE"0"'!U51</f>
        <v>3915.4690335634104</v>
      </c>
      <c r="D20" s="834">
        <f>'FTE"A"'!U51</f>
        <v>4436.666966234443</v>
      </c>
      <c r="E20" s="69">
        <f t="shared" si="2"/>
        <v>521.1979326710325</v>
      </c>
      <c r="F20" s="69">
        <v>5200</v>
      </c>
    </row>
    <row r="21" spans="2:7">
      <c r="B21" s="552" t="s">
        <v>3168</v>
      </c>
      <c r="C21" s="833">
        <f>Scenarios_Summary!C21</f>
        <v>1249.5</v>
      </c>
      <c r="D21" s="834">
        <f>Scenarios_Summary!D21</f>
        <v>1136</v>
      </c>
      <c r="E21" s="69">
        <f>D21-C21</f>
        <v>-113.5</v>
      </c>
    </row>
    <row r="22" spans="2:7">
      <c r="B22" s="552" t="s">
        <v>259</v>
      </c>
      <c r="C22" s="833">
        <f>Scenarios_Summary!C22</f>
        <v>3441.2419953185367</v>
      </c>
      <c r="D22" s="834">
        <f>Scenarios_Summary!D22</f>
        <v>3466.4725435683245</v>
      </c>
      <c r="E22" s="69">
        <f>D22-C22</f>
        <v>25.230548249787716</v>
      </c>
    </row>
    <row r="23" spans="2:7">
      <c r="B23" s="868" t="s">
        <v>3157</v>
      </c>
      <c r="C23" s="921">
        <f>Scenarios_Summary!C23</f>
        <v>46986.530963576479</v>
      </c>
      <c r="D23" s="869">
        <f>Scenarios_Summary!D23</f>
        <v>60337.764999023537</v>
      </c>
      <c r="E23" s="868">
        <f>D23-C23</f>
        <v>13351.234035447058</v>
      </c>
    </row>
    <row r="24" spans="2:7">
      <c r="B24" s="868" t="s">
        <v>1043</v>
      </c>
      <c r="C24" s="921">
        <f>Scenarios_Summary!C24</f>
        <v>7278.1482689473869</v>
      </c>
      <c r="D24" s="869">
        <f>Scenarios_Summary!D24</f>
        <v>14626.229711767182</v>
      </c>
      <c r="E24" s="868">
        <f>D24-C24</f>
        <v>7348.0814428197955</v>
      </c>
    </row>
    <row r="25" spans="2:7">
      <c r="B25" s="853" t="s">
        <v>3167</v>
      </c>
      <c r="C25" s="919">
        <f>Scenarios_Summary!C25</f>
        <v>54264.679232523864</v>
      </c>
      <c r="D25" s="920">
        <f>Scenarios_Summary!D25</f>
        <v>74963.994710790721</v>
      </c>
      <c r="E25" s="855">
        <f t="shared" ref="E25" si="3">E23+E24</f>
        <v>20699.315478266853</v>
      </c>
    </row>
    <row r="26" spans="2:7">
      <c r="B26" s="681" t="s">
        <v>1045</v>
      </c>
      <c r="C26" s="857">
        <f>Scenarios_Summary!C26</f>
        <v>0.55082043062129804</v>
      </c>
      <c r="D26" s="858">
        <f>Scenarios_Summary!D26</f>
        <v>0.86387766426121948</v>
      </c>
      <c r="E26" s="710">
        <f>D26-C26</f>
        <v>0.31305723363992144</v>
      </c>
      <c r="F26" s="710">
        <v>0.82</v>
      </c>
    </row>
    <row r="28" spans="2:7" ht="16" thickBot="1"/>
    <row r="29" spans="2:7">
      <c r="B29" s="1131"/>
      <c r="C29" s="1132"/>
      <c r="D29" s="1174" t="s">
        <v>3319</v>
      </c>
      <c r="E29" s="1174" t="s">
        <v>3320</v>
      </c>
      <c r="F29" s="1175" t="s">
        <v>3321</v>
      </c>
    </row>
    <row r="30" spans="2:7">
      <c r="B30" s="1590" t="s">
        <v>3171</v>
      </c>
      <c r="C30" s="1591"/>
      <c r="D30" s="1028">
        <f>Scenarios_Summary!F64</f>
        <v>7.9423621296882643E-2</v>
      </c>
      <c r="E30" s="1028">
        <f>Scenarios_Summary!E64</f>
        <v>6.6895285248756417E-2</v>
      </c>
      <c r="F30" s="1133">
        <f>D30-E30</f>
        <v>1.2528336048126226E-2</v>
      </c>
    </row>
    <row r="31" spans="2:7">
      <c r="B31" s="1590" t="s">
        <v>3384</v>
      </c>
      <c r="C31" s="1591"/>
      <c r="D31" s="552">
        <f>Scenarios_Summary!F65</f>
        <v>747317.69915252714</v>
      </c>
      <c r="E31" s="552">
        <f>Scenarios_Summary!E65</f>
        <v>566103.89420961333</v>
      </c>
      <c r="F31" s="1134">
        <f t="shared" ref="F31" si="4">D31-E31</f>
        <v>181213.80494291382</v>
      </c>
    </row>
    <row r="32" spans="2:7" ht="16" thickBot="1">
      <c r="B32" s="1592" t="s">
        <v>3172</v>
      </c>
      <c r="C32" s="1593"/>
      <c r="D32" s="1135">
        <f>Scenarios_Summary!F66</f>
        <v>19</v>
      </c>
      <c r="E32" s="1135" t="str">
        <f>Scenarios_Summary!E66</f>
        <v>VIAC než 20r.</v>
      </c>
      <c r="F32" s="1136" t="str">
        <f>IFERROR(D32-E32,"na")</f>
        <v>na</v>
      </c>
    </row>
    <row r="34" spans="2:6" ht="16" thickBot="1">
      <c r="B34" s="63" t="s">
        <v>3392</v>
      </c>
      <c r="D34" s="1176" t="s">
        <v>3363</v>
      </c>
      <c r="E34" s="1176" t="s">
        <v>3374</v>
      </c>
      <c r="F34" s="1176" t="s">
        <v>3362</v>
      </c>
    </row>
    <row r="35" spans="2:6">
      <c r="B35" s="1594" t="s">
        <v>3171</v>
      </c>
      <c r="C35" s="1595"/>
      <c r="D35" s="1029">
        <f>Scenarios_Summary!E68</f>
        <v>0.14266893267631531</v>
      </c>
      <c r="E35" s="1088">
        <f>Scenarios_Summary!F68</f>
        <v>0.131298166513443</v>
      </c>
      <c r="F35" s="1023">
        <f>Scenarios_Summary!G68</f>
        <v>7.9423621296882643E-2</v>
      </c>
    </row>
    <row r="36" spans="2:6">
      <c r="B36" s="1590" t="s">
        <v>3384</v>
      </c>
      <c r="C36" s="1591"/>
      <c r="D36" s="1030">
        <f>Scenarios_Summary!E69</f>
        <v>622391.73852678342</v>
      </c>
      <c r="E36" s="552">
        <f>Scenarios_Summary!F69</f>
        <v>769949.12951030792</v>
      </c>
      <c r="F36" s="1024">
        <f>Scenarios_Summary!G69</f>
        <v>747317.69915252714</v>
      </c>
    </row>
    <row r="37" spans="2:6" ht="16" thickBot="1">
      <c r="B37" s="1592" t="s">
        <v>3172</v>
      </c>
      <c r="C37" s="1593"/>
      <c r="D37" s="1031">
        <f>Scenarios_Summary!E71</f>
        <v>12</v>
      </c>
      <c r="E37" s="1089">
        <f>Scenarios_Summary!F71</f>
        <v>12</v>
      </c>
      <c r="F37" s="1025">
        <f>Scenarios_Summary!G71</f>
        <v>19</v>
      </c>
    </row>
  </sheetData>
  <mergeCells count="6">
    <mergeCell ref="B37:C37"/>
    <mergeCell ref="B30:C30"/>
    <mergeCell ref="B31:C31"/>
    <mergeCell ref="B32:C32"/>
    <mergeCell ref="B35:C35"/>
    <mergeCell ref="B36:C3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C49D7-CAA0-4664-B506-BFECC4E4B013}">
  <sheetPr>
    <tabColor rgb="FFEAF1DB"/>
  </sheetPr>
  <dimension ref="B2:AE116"/>
  <sheetViews>
    <sheetView workbookViewId="0"/>
  </sheetViews>
  <sheetFormatPr baseColWidth="10" defaultColWidth="8.83203125" defaultRowHeight="15"/>
  <cols>
    <col min="1" max="1" width="5.83203125" style="63" customWidth="1"/>
    <col min="2" max="2" width="35.5" style="63" customWidth="1"/>
    <col min="3" max="4" width="8.83203125" style="63" customWidth="1"/>
    <col min="5" max="19" width="8.83203125" style="63"/>
    <col min="20" max="27" width="8.83203125" style="63" customWidth="1"/>
    <col min="28" max="28" width="12.5" style="63" customWidth="1"/>
    <col min="29" max="16384" width="8.83203125" style="63"/>
  </cols>
  <sheetData>
    <row r="2" spans="2:31" s="69" customFormat="1"/>
    <row r="3" spans="2:31" s="69" customFormat="1">
      <c r="B3" s="1177" t="s">
        <v>3176</v>
      </c>
      <c r="E3" s="1178"/>
      <c r="F3" s="1178"/>
      <c r="G3" s="1178">
        <v>2022</v>
      </c>
      <c r="H3" s="1178">
        <f>G3+1</f>
        <v>2023</v>
      </c>
      <c r="I3" s="1178">
        <f t="shared" ref="I3:AC3" si="0">H3+1</f>
        <v>2024</v>
      </c>
      <c r="J3" s="1178">
        <f t="shared" si="0"/>
        <v>2025</v>
      </c>
      <c r="K3" s="1178">
        <f t="shared" si="0"/>
        <v>2026</v>
      </c>
      <c r="L3" s="1178">
        <f t="shared" si="0"/>
        <v>2027</v>
      </c>
      <c r="M3" s="1178">
        <f t="shared" si="0"/>
        <v>2028</v>
      </c>
      <c r="N3" s="1178">
        <f t="shared" si="0"/>
        <v>2029</v>
      </c>
      <c r="O3" s="1178">
        <f t="shared" si="0"/>
        <v>2030</v>
      </c>
      <c r="P3" s="1178">
        <f t="shared" si="0"/>
        <v>2031</v>
      </c>
      <c r="Q3" s="1178">
        <f t="shared" si="0"/>
        <v>2032</v>
      </c>
      <c r="R3" s="1178">
        <f t="shared" si="0"/>
        <v>2033</v>
      </c>
      <c r="S3" s="1178">
        <f t="shared" si="0"/>
        <v>2034</v>
      </c>
      <c r="T3" s="1178">
        <f t="shared" si="0"/>
        <v>2035</v>
      </c>
      <c r="U3" s="1178">
        <f t="shared" si="0"/>
        <v>2036</v>
      </c>
      <c r="V3" s="1178">
        <f t="shared" si="0"/>
        <v>2037</v>
      </c>
      <c r="W3" s="1178">
        <f t="shared" si="0"/>
        <v>2038</v>
      </c>
      <c r="X3" s="1178">
        <f t="shared" si="0"/>
        <v>2039</v>
      </c>
      <c r="Y3" s="1178">
        <f t="shared" si="0"/>
        <v>2040</v>
      </c>
      <c r="Z3" s="1178">
        <f t="shared" si="0"/>
        <v>2041</v>
      </c>
      <c r="AA3" s="1178">
        <f t="shared" si="0"/>
        <v>2042</v>
      </c>
      <c r="AC3" s="69">
        <f t="shared" si="0"/>
        <v>1</v>
      </c>
    </row>
    <row r="4" spans="2:31" s="69" customFormat="1">
      <c r="B4" s="1179" t="s">
        <v>23</v>
      </c>
      <c r="G4" s="738">
        <f>G56</f>
        <v>44926</v>
      </c>
      <c r="H4" s="738">
        <f t="shared" ref="H4:AC4" si="1">EOMONTH(G4,12)</f>
        <v>45291</v>
      </c>
      <c r="I4" s="738">
        <f t="shared" si="1"/>
        <v>45657</v>
      </c>
      <c r="J4" s="738">
        <f t="shared" si="1"/>
        <v>46022</v>
      </c>
      <c r="K4" s="738">
        <f t="shared" si="1"/>
        <v>46387</v>
      </c>
      <c r="L4" s="738">
        <f t="shared" si="1"/>
        <v>46752</v>
      </c>
      <c r="M4" s="738">
        <f t="shared" si="1"/>
        <v>47118</v>
      </c>
      <c r="N4" s="738">
        <f t="shared" si="1"/>
        <v>47483</v>
      </c>
      <c r="O4" s="738">
        <f t="shared" si="1"/>
        <v>47848</v>
      </c>
      <c r="P4" s="738">
        <f t="shared" si="1"/>
        <v>48213</v>
      </c>
      <c r="Q4" s="738">
        <f t="shared" si="1"/>
        <v>48579</v>
      </c>
      <c r="R4" s="738">
        <f t="shared" si="1"/>
        <v>48944</v>
      </c>
      <c r="S4" s="738">
        <f t="shared" si="1"/>
        <v>49309</v>
      </c>
      <c r="T4" s="738">
        <f t="shared" si="1"/>
        <v>49674</v>
      </c>
      <c r="U4" s="738">
        <f t="shared" si="1"/>
        <v>50040</v>
      </c>
      <c r="V4" s="738">
        <f t="shared" si="1"/>
        <v>50405</v>
      </c>
      <c r="W4" s="738">
        <f t="shared" si="1"/>
        <v>50770</v>
      </c>
      <c r="X4" s="738">
        <f t="shared" si="1"/>
        <v>51135</v>
      </c>
      <c r="Y4" s="738">
        <f t="shared" si="1"/>
        <v>51501</v>
      </c>
      <c r="Z4" s="738">
        <f t="shared" si="1"/>
        <v>51866</v>
      </c>
      <c r="AA4" s="738">
        <f t="shared" si="1"/>
        <v>52231</v>
      </c>
      <c r="AB4" s="738">
        <f>AA4</f>
        <v>52231</v>
      </c>
      <c r="AC4" s="738">
        <f t="shared" si="1"/>
        <v>52596</v>
      </c>
    </row>
    <row r="5" spans="2:31" s="69" customFormat="1">
      <c r="B5" s="1180" t="s">
        <v>3114</v>
      </c>
      <c r="G5" s="237">
        <f t="shared" ref="G5:AA5" si="2">G37-G57</f>
        <v>732.69735670091904</v>
      </c>
      <c r="H5" s="237">
        <f t="shared" si="2"/>
        <v>2145.8349137120022</v>
      </c>
      <c r="I5" s="237">
        <f t="shared" si="2"/>
        <v>1893.0693587838832</v>
      </c>
      <c r="J5" s="237">
        <f t="shared" si="2"/>
        <v>3659.1756310412602</v>
      </c>
      <c r="K5" s="237">
        <f t="shared" si="2"/>
        <v>827.99689271506941</v>
      </c>
      <c r="L5" s="237">
        <f t="shared" si="2"/>
        <v>5107.5380099242611</v>
      </c>
      <c r="M5" s="237">
        <f t="shared" si="2"/>
        <v>8790.9629063758766</v>
      </c>
      <c r="N5" s="237">
        <f t="shared" si="2"/>
        <v>5197.3635438063502</v>
      </c>
      <c r="O5" s="237">
        <f t="shared" si="2"/>
        <v>12576.637413912707</v>
      </c>
      <c r="P5" s="237">
        <f t="shared" si="2"/>
        <v>14431.567743125546</v>
      </c>
      <c r="Q5" s="237">
        <f t="shared" si="2"/>
        <v>16887.59927113865</v>
      </c>
      <c r="R5" s="237">
        <f t="shared" si="2"/>
        <v>25585.195171105392</v>
      </c>
      <c r="S5" s="237">
        <f t="shared" si="2"/>
        <v>26690.525681409104</v>
      </c>
      <c r="T5" s="237">
        <f t="shared" si="2"/>
        <v>27893.635109924049</v>
      </c>
      <c r="U5" s="237">
        <f t="shared" si="2"/>
        <v>37211.772814714655</v>
      </c>
      <c r="V5" s="237">
        <f t="shared" si="2"/>
        <v>38268.52021100618</v>
      </c>
      <c r="W5" s="237">
        <f t="shared" si="2"/>
        <v>39346.826158485252</v>
      </c>
      <c r="X5" s="237">
        <f t="shared" si="2"/>
        <v>40447.133041421766</v>
      </c>
      <c r="Y5" s="237">
        <f t="shared" si="2"/>
        <v>41569.892372102011</v>
      </c>
      <c r="Z5" s="237">
        <f t="shared" si="2"/>
        <v>42715.564980397707</v>
      </c>
      <c r="AA5" s="237">
        <f t="shared" si="2"/>
        <v>43884.621207300697</v>
      </c>
      <c r="AC5" s="237"/>
    </row>
    <row r="6" spans="2:31" s="69" customFormat="1">
      <c r="B6" s="806" t="s">
        <v>3115</v>
      </c>
      <c r="G6" s="239">
        <f t="shared" ref="G6:AA6" si="3">G38-G58</f>
        <v>0</v>
      </c>
      <c r="H6" s="239">
        <f t="shared" si="3"/>
        <v>0</v>
      </c>
      <c r="I6" s="239">
        <f t="shared" si="3"/>
        <v>0</v>
      </c>
      <c r="J6" s="239">
        <f t="shared" si="3"/>
        <v>0</v>
      </c>
      <c r="K6" s="239">
        <f t="shared" si="3"/>
        <v>0</v>
      </c>
      <c r="L6" s="239">
        <f t="shared" si="3"/>
        <v>0</v>
      </c>
      <c r="M6" s="239">
        <f t="shared" si="3"/>
        <v>0</v>
      </c>
      <c r="N6" s="239">
        <f t="shared" si="3"/>
        <v>0</v>
      </c>
      <c r="O6" s="239">
        <f t="shared" si="3"/>
        <v>0</v>
      </c>
      <c r="P6" s="239">
        <f t="shared" si="3"/>
        <v>0</v>
      </c>
      <c r="Q6" s="239">
        <f t="shared" si="3"/>
        <v>0</v>
      </c>
      <c r="R6" s="239">
        <f t="shared" si="3"/>
        <v>0</v>
      </c>
      <c r="S6" s="239">
        <f t="shared" si="3"/>
        <v>0</v>
      </c>
      <c r="T6" s="239">
        <f t="shared" si="3"/>
        <v>0</v>
      </c>
      <c r="U6" s="239">
        <f t="shared" si="3"/>
        <v>0</v>
      </c>
      <c r="V6" s="239">
        <f t="shared" si="3"/>
        <v>0</v>
      </c>
      <c r="W6" s="239">
        <f t="shared" si="3"/>
        <v>0</v>
      </c>
      <c r="X6" s="239">
        <f t="shared" si="3"/>
        <v>0</v>
      </c>
      <c r="Y6" s="239">
        <f t="shared" si="3"/>
        <v>0</v>
      </c>
      <c r="Z6" s="239">
        <f t="shared" si="3"/>
        <v>0</v>
      </c>
      <c r="AA6" s="239">
        <f t="shared" si="3"/>
        <v>0</v>
      </c>
      <c r="AC6" s="239"/>
    </row>
    <row r="7" spans="2:31" s="69" customFormat="1">
      <c r="B7" s="806" t="s">
        <v>3112</v>
      </c>
      <c r="G7" s="239">
        <f t="shared" ref="G7:AA7" si="4">G39-G59</f>
        <v>-269.93746941666723</v>
      </c>
      <c r="H7" s="239">
        <f t="shared" si="4"/>
        <v>-936.45183664098749</v>
      </c>
      <c r="I7" s="239">
        <f t="shared" si="4"/>
        <v>14.808252599312254</v>
      </c>
      <c r="J7" s="239">
        <f t="shared" si="4"/>
        <v>2328.891547626461</v>
      </c>
      <c r="K7" s="239">
        <f t="shared" si="4"/>
        <v>9277.4694813979058</v>
      </c>
      <c r="L7" s="239">
        <f t="shared" si="4"/>
        <v>8889.0574241958566</v>
      </c>
      <c r="M7" s="239">
        <f t="shared" si="4"/>
        <v>11583.308154435821</v>
      </c>
      <c r="N7" s="239">
        <f t="shared" si="4"/>
        <v>20323.038133069833</v>
      </c>
      <c r="O7" s="239">
        <f t="shared" si="4"/>
        <v>19254.779232542711</v>
      </c>
      <c r="P7" s="239">
        <f t="shared" si="4"/>
        <v>18967.006105804488</v>
      </c>
      <c r="Q7" s="239">
        <f t="shared" si="4"/>
        <v>18109.965051001291</v>
      </c>
      <c r="R7" s="239">
        <f t="shared" si="4"/>
        <v>9848.2063223771584</v>
      </c>
      <c r="S7" s="239">
        <f t="shared" si="4"/>
        <v>9443.4388378483673</v>
      </c>
      <c r="T7" s="239">
        <f t="shared" si="4"/>
        <v>8937.2779421597334</v>
      </c>
      <c r="U7" s="239">
        <f t="shared" si="4"/>
        <v>-2315.3318785109732</v>
      </c>
      <c r="V7" s="239">
        <f t="shared" si="4"/>
        <v>-3155.7515319948725</v>
      </c>
      <c r="W7" s="239">
        <f t="shared" si="4"/>
        <v>-4012.9795785484494</v>
      </c>
      <c r="X7" s="239">
        <f t="shared" si="4"/>
        <v>-4887.352186033102</v>
      </c>
      <c r="Y7" s="239">
        <f t="shared" si="4"/>
        <v>-5779.2122456674369</v>
      </c>
      <c r="Z7" s="239">
        <f t="shared" si="4"/>
        <v>-6688.9095064944668</v>
      </c>
      <c r="AA7" s="239">
        <f t="shared" si="4"/>
        <v>-7616.8007125380354</v>
      </c>
      <c r="AC7" s="239"/>
    </row>
    <row r="8" spans="2:31" s="69" customFormat="1">
      <c r="B8" s="247" t="s">
        <v>27</v>
      </c>
      <c r="G8" s="250">
        <f t="shared" ref="G8:AA8" si="5">G40-G60</f>
        <v>-552.16878370619656</v>
      </c>
      <c r="H8" s="250">
        <f t="shared" si="5"/>
        <v>-424.94817798831593</v>
      </c>
      <c r="I8" s="250">
        <f t="shared" si="5"/>
        <v>1725.4252508267368</v>
      </c>
      <c r="J8" s="250">
        <f t="shared" si="5"/>
        <v>2024.1600521523746</v>
      </c>
      <c r="K8" s="250">
        <f t="shared" si="5"/>
        <v>647.12374352814641</v>
      </c>
      <c r="L8" s="250">
        <f t="shared" si="5"/>
        <v>678.57458048498643</v>
      </c>
      <c r="M8" s="250">
        <f t="shared" si="5"/>
        <v>1125.6166926673764</v>
      </c>
      <c r="N8" s="250">
        <f t="shared" si="5"/>
        <v>1975.3180780262628</v>
      </c>
      <c r="O8" s="250">
        <f t="shared" si="5"/>
        <v>-2961.562180649044</v>
      </c>
      <c r="P8" s="250">
        <f t="shared" si="5"/>
        <v>-540.30975454386328</v>
      </c>
      <c r="Q8" s="250">
        <f t="shared" si="5"/>
        <v>-552.97160505439342</v>
      </c>
      <c r="R8" s="250">
        <f t="shared" si="5"/>
        <v>17.838057087532242</v>
      </c>
      <c r="S8" s="250">
        <f t="shared" si="5"/>
        <v>-122.04322197556961</v>
      </c>
      <c r="T8" s="250">
        <f t="shared" si="5"/>
        <v>-126.96643290085717</v>
      </c>
      <c r="U8" s="250">
        <f t="shared" si="5"/>
        <v>278.00495303943848</v>
      </c>
      <c r="V8" s="250">
        <f t="shared" si="5"/>
        <v>-204.60024866234326</v>
      </c>
      <c r="W8" s="250">
        <f t="shared" si="5"/>
        <v>-208.91299083305245</v>
      </c>
      <c r="X8" s="250">
        <f t="shared" si="5"/>
        <v>-213.32216852709837</v>
      </c>
      <c r="Y8" s="250">
        <f t="shared" si="5"/>
        <v>-217.82996497189066</v>
      </c>
      <c r="Z8" s="250">
        <f t="shared" si="5"/>
        <v>-222.43861342245248</v>
      </c>
      <c r="AA8" s="250">
        <f t="shared" si="5"/>
        <v>-227.15039832079597</v>
      </c>
      <c r="AC8" s="250"/>
    </row>
    <row r="9" spans="2:31" s="69" customFormat="1">
      <c r="B9" s="247" t="s">
        <v>12</v>
      </c>
      <c r="G9" s="250">
        <f t="shared" ref="G9:AA9" si="6">G41-G61</f>
        <v>-13635.423300233093</v>
      </c>
      <c r="H9" s="250">
        <f t="shared" si="6"/>
        <v>-111226.35959058019</v>
      </c>
      <c r="I9" s="250">
        <f t="shared" si="6"/>
        <v>-149948.26688075546</v>
      </c>
      <c r="J9" s="250">
        <f t="shared" si="6"/>
        <v>-114502.49701507328</v>
      </c>
      <c r="K9" s="250">
        <f t="shared" si="6"/>
        <v>-58143.214039050115</v>
      </c>
      <c r="L9" s="250">
        <f t="shared" si="6"/>
        <v>-179191.3970045032</v>
      </c>
      <c r="M9" s="250">
        <f t="shared" si="6"/>
        <v>-99515.824346127396</v>
      </c>
      <c r="N9" s="250">
        <f t="shared" si="6"/>
        <v>16695.893534153412</v>
      </c>
      <c r="O9" s="250">
        <f t="shared" si="6"/>
        <v>17029.811404836477</v>
      </c>
      <c r="P9" s="250">
        <f t="shared" si="6"/>
        <v>17370.407632933115</v>
      </c>
      <c r="Q9" s="250">
        <f t="shared" si="6"/>
        <v>17717.815785591894</v>
      </c>
      <c r="R9" s="250">
        <f t="shared" si="6"/>
        <v>18072.172101303739</v>
      </c>
      <c r="S9" s="250">
        <f t="shared" si="6"/>
        <v>18433.615543329892</v>
      </c>
      <c r="T9" s="250">
        <f t="shared" si="6"/>
        <v>18802.287854196438</v>
      </c>
      <c r="U9" s="250">
        <f t="shared" si="6"/>
        <v>19178.333611280344</v>
      </c>
      <c r="V9" s="250">
        <f t="shared" si="6"/>
        <v>19561.900283506027</v>
      </c>
      <c r="W9" s="250">
        <f t="shared" si="6"/>
        <v>19953.138289176124</v>
      </c>
      <c r="X9" s="250">
        <f t="shared" si="6"/>
        <v>20352.201054959685</v>
      </c>
      <c r="Y9" s="250">
        <f t="shared" si="6"/>
        <v>20759.245076058694</v>
      </c>
      <c r="Z9" s="250">
        <f t="shared" si="6"/>
        <v>21174.429977580076</v>
      </c>
      <c r="AA9" s="250">
        <f t="shared" si="6"/>
        <v>21597.918577131692</v>
      </c>
      <c r="AC9" s="250"/>
    </row>
    <row r="10" spans="2:31" s="69" customFormat="1">
      <c r="B10" s="247" t="s">
        <v>28</v>
      </c>
      <c r="G10" s="250">
        <f t="shared" ref="G10:AA10" si="7">G42-G62</f>
        <v>0</v>
      </c>
      <c r="H10" s="250">
        <f t="shared" si="7"/>
        <v>0</v>
      </c>
      <c r="I10" s="250">
        <f t="shared" si="7"/>
        <v>0</v>
      </c>
      <c r="J10" s="250">
        <f t="shared" si="7"/>
        <v>0</v>
      </c>
      <c r="K10" s="250">
        <f t="shared" si="7"/>
        <v>0</v>
      </c>
      <c r="L10" s="250">
        <f t="shared" si="7"/>
        <v>0</v>
      </c>
      <c r="M10" s="250">
        <f t="shared" si="7"/>
        <v>0</v>
      </c>
      <c r="N10" s="250">
        <f t="shared" si="7"/>
        <v>0</v>
      </c>
      <c r="O10" s="250">
        <f t="shared" si="7"/>
        <v>0</v>
      </c>
      <c r="P10" s="250">
        <f t="shared" si="7"/>
        <v>0</v>
      </c>
      <c r="Q10" s="250">
        <f t="shared" si="7"/>
        <v>0</v>
      </c>
      <c r="R10" s="250">
        <f t="shared" si="7"/>
        <v>0</v>
      </c>
      <c r="S10" s="250">
        <f t="shared" si="7"/>
        <v>0</v>
      </c>
      <c r="T10" s="250">
        <f t="shared" si="7"/>
        <v>0</v>
      </c>
      <c r="U10" s="250">
        <f t="shared" si="7"/>
        <v>0</v>
      </c>
      <c r="V10" s="250">
        <f t="shared" si="7"/>
        <v>0</v>
      </c>
      <c r="W10" s="250">
        <f t="shared" si="7"/>
        <v>0</v>
      </c>
      <c r="X10" s="250">
        <f t="shared" si="7"/>
        <v>0</v>
      </c>
      <c r="Y10" s="250">
        <f t="shared" si="7"/>
        <v>0</v>
      </c>
      <c r="Z10" s="250">
        <f t="shared" si="7"/>
        <v>0</v>
      </c>
      <c r="AA10" s="250">
        <f t="shared" si="7"/>
        <v>0</v>
      </c>
      <c r="AC10" s="250"/>
    </row>
    <row r="11" spans="2:31" s="69" customFormat="1">
      <c r="B11" s="808" t="s">
        <v>3113</v>
      </c>
      <c r="G11" s="809">
        <f t="shared" ref="G11:AA11" si="8">G43-G63</f>
        <v>0</v>
      </c>
      <c r="H11" s="809">
        <f t="shared" si="8"/>
        <v>2.9103830456733704E-11</v>
      </c>
      <c r="I11" s="809">
        <f t="shared" si="8"/>
        <v>2.9103830456733704E-11</v>
      </c>
      <c r="J11" s="809">
        <f t="shared" si="8"/>
        <v>2.9103830456733704E-11</v>
      </c>
      <c r="K11" s="809">
        <f t="shared" si="8"/>
        <v>4.3655745685100555E-11</v>
      </c>
      <c r="L11" s="809">
        <f t="shared" si="8"/>
        <v>-4.3655745685100555E-11</v>
      </c>
      <c r="M11" s="809">
        <f t="shared" si="8"/>
        <v>-5.8207660913467407E-11</v>
      </c>
      <c r="N11" s="809">
        <f t="shared" si="8"/>
        <v>-8.7311491370201111E-11</v>
      </c>
      <c r="O11" s="809">
        <f t="shared" si="8"/>
        <v>5.0931703299283981E-11</v>
      </c>
      <c r="P11" s="809">
        <f t="shared" si="8"/>
        <v>9.0949470177292824E-11</v>
      </c>
      <c r="Q11" s="809">
        <f t="shared" si="8"/>
        <v>-4.3655745685100555E-11</v>
      </c>
      <c r="R11" s="809">
        <f t="shared" si="8"/>
        <v>-6.5483618527650833E-11</v>
      </c>
      <c r="S11" s="809">
        <f t="shared" si="8"/>
        <v>5.0931703299283981E-11</v>
      </c>
      <c r="T11" s="809">
        <f t="shared" si="8"/>
        <v>-5.0931703299283981E-11</v>
      </c>
      <c r="U11" s="809">
        <f t="shared" si="8"/>
        <v>3.2741809263825417E-11</v>
      </c>
      <c r="V11" s="809">
        <f t="shared" si="8"/>
        <v>-1.0913936421275139E-10</v>
      </c>
      <c r="W11" s="809">
        <f t="shared" si="8"/>
        <v>1.3096723705530167E-10</v>
      </c>
      <c r="X11" s="809">
        <f t="shared" si="8"/>
        <v>1.4915713109076023E-10</v>
      </c>
      <c r="Y11" s="809">
        <f t="shared" si="8"/>
        <v>-1.127773430198431E-10</v>
      </c>
      <c r="Z11" s="809">
        <f t="shared" si="8"/>
        <v>1.0913936421275139E-11</v>
      </c>
      <c r="AA11" s="809">
        <f t="shared" si="8"/>
        <v>-7.2759576141834259E-12</v>
      </c>
      <c r="AC11" s="809"/>
    </row>
    <row r="12" spans="2:31" s="69" customFormat="1">
      <c r="B12" s="1181" t="s">
        <v>3116</v>
      </c>
      <c r="G12" s="254">
        <f t="shared" ref="G12:AA12" si="9">G44-G64</f>
        <v>-13724.832196655036</v>
      </c>
      <c r="H12" s="254">
        <f t="shared" si="9"/>
        <v>-110441.92469149749</v>
      </c>
      <c r="I12" s="254">
        <f t="shared" si="9"/>
        <v>-146314.96401854552</v>
      </c>
      <c r="J12" s="254">
        <f t="shared" si="9"/>
        <v>-106490.26978425315</v>
      </c>
      <c r="K12" s="254">
        <f t="shared" si="9"/>
        <v>-47390.623921408973</v>
      </c>
      <c r="L12" s="254">
        <f t="shared" si="9"/>
        <v>-164516.22698989813</v>
      </c>
      <c r="M12" s="254">
        <f t="shared" si="9"/>
        <v>-78015.936592648388</v>
      </c>
      <c r="N12" s="254">
        <f t="shared" si="9"/>
        <v>44191.613289055771</v>
      </c>
      <c r="O12" s="254">
        <f t="shared" si="9"/>
        <v>45899.665870642901</v>
      </c>
      <c r="P12" s="254">
        <f t="shared" si="9"/>
        <v>50228.671727319379</v>
      </c>
      <c r="Q12" s="254">
        <f t="shared" si="9"/>
        <v>52162.408502677405</v>
      </c>
      <c r="R12" s="254">
        <f t="shared" si="9"/>
        <v>53523.411651873765</v>
      </c>
      <c r="S12" s="254">
        <f t="shared" si="9"/>
        <v>54445.53684061185</v>
      </c>
      <c r="T12" s="254">
        <f t="shared" si="9"/>
        <v>55506.234473379314</v>
      </c>
      <c r="U12" s="254">
        <f t="shared" si="9"/>
        <v>54352.779500523495</v>
      </c>
      <c r="V12" s="254">
        <f t="shared" si="9"/>
        <v>54470.068713854882</v>
      </c>
      <c r="W12" s="254">
        <f t="shared" si="9"/>
        <v>55078.07187828001</v>
      </c>
      <c r="X12" s="254">
        <f t="shared" si="9"/>
        <v>55698.659741821408</v>
      </c>
      <c r="Y12" s="254">
        <f t="shared" si="9"/>
        <v>56332.095237521258</v>
      </c>
      <c r="Z12" s="254">
        <f t="shared" si="9"/>
        <v>56978.646838060871</v>
      </c>
      <c r="AA12" s="254">
        <f t="shared" si="9"/>
        <v>57638.588673573562</v>
      </c>
      <c r="AB12" s="254">
        <f>(AA44-AA64)/AC12</f>
        <v>1152771.7734714712</v>
      </c>
      <c r="AC12" s="1075">
        <v>0.05</v>
      </c>
    </row>
    <row r="13" spans="2:31" s="69" customFormat="1">
      <c r="B13" s="69">
        <v>2020</v>
      </c>
      <c r="G13" s="69">
        <f>G12</f>
        <v>-13724.832196655036</v>
      </c>
      <c r="H13" s="69">
        <f>G13+H12</f>
        <v>-124166.75688815254</v>
      </c>
      <c r="I13" s="69">
        <f t="shared" ref="I13:AA13" si="10">H13+I12</f>
        <v>-270481.72090669803</v>
      </c>
      <c r="J13" s="69">
        <f t="shared" si="10"/>
        <v>-376971.99069095118</v>
      </c>
      <c r="K13" s="69">
        <f t="shared" si="10"/>
        <v>-424362.61461236014</v>
      </c>
      <c r="L13" s="69">
        <f t="shared" si="10"/>
        <v>-588878.84160225827</v>
      </c>
      <c r="M13" s="69">
        <f t="shared" si="10"/>
        <v>-666894.77819490666</v>
      </c>
      <c r="N13" s="69">
        <f t="shared" si="10"/>
        <v>-622703.16490585089</v>
      </c>
      <c r="O13" s="69">
        <f t="shared" si="10"/>
        <v>-576803.49903520802</v>
      </c>
      <c r="P13" s="69">
        <f t="shared" si="10"/>
        <v>-526574.82730788866</v>
      </c>
      <c r="Q13" s="69">
        <f t="shared" si="10"/>
        <v>-474412.41880521126</v>
      </c>
      <c r="R13" s="69">
        <f t="shared" si="10"/>
        <v>-420889.00715333747</v>
      </c>
      <c r="S13" s="69">
        <f t="shared" si="10"/>
        <v>-366443.47031272564</v>
      </c>
      <c r="T13" s="69">
        <f t="shared" si="10"/>
        <v>-310937.23583934631</v>
      </c>
      <c r="U13" s="69">
        <f t="shared" si="10"/>
        <v>-256584.45633882281</v>
      </c>
      <c r="V13" s="69">
        <f t="shared" si="10"/>
        <v>-202114.38762496793</v>
      </c>
      <c r="W13" s="69">
        <f t="shared" si="10"/>
        <v>-147036.31574668793</v>
      </c>
      <c r="X13" s="69">
        <f t="shared" si="10"/>
        <v>-91337.656004866527</v>
      </c>
      <c r="Y13" s="69">
        <f t="shared" si="10"/>
        <v>-35005.560767345269</v>
      </c>
      <c r="Z13" s="69">
        <f t="shared" si="10"/>
        <v>21973.086070715603</v>
      </c>
      <c r="AA13" s="69">
        <f t="shared" si="10"/>
        <v>79611.674744289165</v>
      </c>
    </row>
    <row r="14" spans="2:31" s="964" customFormat="1">
      <c r="B14" s="1137">
        <f>IF(COUNTIF(G14:AA14,"FALSE")=(COUNT(G3:AA3)),"VIAC než 20r.",COUNTIF(G14:AA14,"FALSE"))</f>
        <v>19</v>
      </c>
      <c r="C14" s="1137"/>
      <c r="D14" s="1137"/>
      <c r="E14" s="1137"/>
      <c r="F14" s="1137"/>
      <c r="G14" s="1137" t="b">
        <f>IF(G3&gt;$B$13,G13&gt;=0,"")</f>
        <v>0</v>
      </c>
      <c r="H14" s="1137" t="b">
        <f t="shared" ref="H14:AA14" si="11">IF(H3&gt;$B$13,H13&gt;=0,"")</f>
        <v>0</v>
      </c>
      <c r="I14" s="1137" t="b">
        <f t="shared" si="11"/>
        <v>0</v>
      </c>
      <c r="J14" s="1137" t="b">
        <f t="shared" si="11"/>
        <v>0</v>
      </c>
      <c r="K14" s="1137" t="b">
        <f t="shared" si="11"/>
        <v>0</v>
      </c>
      <c r="L14" s="1137" t="b">
        <f t="shared" si="11"/>
        <v>0</v>
      </c>
      <c r="M14" s="1137" t="b">
        <f t="shared" si="11"/>
        <v>0</v>
      </c>
      <c r="N14" s="1137" t="b">
        <f t="shared" si="11"/>
        <v>0</v>
      </c>
      <c r="O14" s="1137" t="b">
        <f t="shared" si="11"/>
        <v>0</v>
      </c>
      <c r="P14" s="1137" t="b">
        <f t="shared" si="11"/>
        <v>0</v>
      </c>
      <c r="Q14" s="1137" t="b">
        <f t="shared" si="11"/>
        <v>0</v>
      </c>
      <c r="R14" s="1137" t="b">
        <f t="shared" si="11"/>
        <v>0</v>
      </c>
      <c r="S14" s="1137" t="b">
        <f t="shared" si="11"/>
        <v>0</v>
      </c>
      <c r="T14" s="1137" t="b">
        <f t="shared" si="11"/>
        <v>0</v>
      </c>
      <c r="U14" s="1137" t="b">
        <f t="shared" si="11"/>
        <v>0</v>
      </c>
      <c r="V14" s="1137" t="b">
        <f t="shared" si="11"/>
        <v>0</v>
      </c>
      <c r="W14" s="1137" t="b">
        <f t="shared" si="11"/>
        <v>0</v>
      </c>
      <c r="X14" s="1137" t="b">
        <f t="shared" si="11"/>
        <v>0</v>
      </c>
      <c r="Y14" s="1137" t="b">
        <f t="shared" si="11"/>
        <v>0</v>
      </c>
      <c r="Z14" s="1137" t="b">
        <f t="shared" si="11"/>
        <v>1</v>
      </c>
      <c r="AA14" s="1137" t="b">
        <f t="shared" si="11"/>
        <v>1</v>
      </c>
      <c r="AB14" s="1137"/>
      <c r="AC14" s="1137"/>
      <c r="AD14" s="1137"/>
      <c r="AE14" s="1137"/>
    </row>
    <row r="15" spans="2:31" s="69" customFormat="1"/>
    <row r="16" spans="2:31" s="69" customFormat="1"/>
    <row r="17" spans="2:27" s="69" customFormat="1"/>
    <row r="18" spans="2:27" s="69" customFormat="1">
      <c r="B18" s="1182" t="s">
        <v>3111</v>
      </c>
      <c r="E18" s="1178"/>
      <c r="F18" s="1178"/>
      <c r="G18" s="1183">
        <f t="shared" ref="G18:AA18" si="12">G4</f>
        <v>44926</v>
      </c>
      <c r="H18" s="1183">
        <f t="shared" si="12"/>
        <v>45291</v>
      </c>
      <c r="I18" s="1183">
        <f t="shared" si="12"/>
        <v>45657</v>
      </c>
      <c r="J18" s="1183">
        <f t="shared" si="12"/>
        <v>46022</v>
      </c>
      <c r="K18" s="1183">
        <f t="shared" si="12"/>
        <v>46387</v>
      </c>
      <c r="L18" s="1183">
        <f t="shared" si="12"/>
        <v>46752</v>
      </c>
      <c r="M18" s="1183">
        <f t="shared" si="12"/>
        <v>47118</v>
      </c>
      <c r="N18" s="1183">
        <f t="shared" si="12"/>
        <v>47483</v>
      </c>
      <c r="O18" s="1183">
        <f t="shared" si="12"/>
        <v>47848</v>
      </c>
      <c r="P18" s="1183">
        <f t="shared" si="12"/>
        <v>48213</v>
      </c>
      <c r="Q18" s="1183">
        <f t="shared" si="12"/>
        <v>48579</v>
      </c>
      <c r="R18" s="1183">
        <f t="shared" si="12"/>
        <v>48944</v>
      </c>
      <c r="S18" s="1183">
        <f t="shared" si="12"/>
        <v>49309</v>
      </c>
      <c r="T18" s="1183">
        <f t="shared" si="12"/>
        <v>49674</v>
      </c>
      <c r="U18" s="1183">
        <f t="shared" si="12"/>
        <v>50040</v>
      </c>
      <c r="V18" s="1183">
        <f t="shared" si="12"/>
        <v>50405</v>
      </c>
      <c r="W18" s="1183">
        <f t="shared" si="12"/>
        <v>50770</v>
      </c>
      <c r="X18" s="1183">
        <f t="shared" si="12"/>
        <v>51135</v>
      </c>
      <c r="Y18" s="1183">
        <f t="shared" si="12"/>
        <v>51501</v>
      </c>
      <c r="Z18" s="1183">
        <f t="shared" si="12"/>
        <v>51866</v>
      </c>
      <c r="AA18" s="1183">
        <f t="shared" si="12"/>
        <v>52231</v>
      </c>
    </row>
    <row r="19" spans="2:27" s="69" customFormat="1">
      <c r="B19" s="1184" t="s">
        <v>3117</v>
      </c>
      <c r="G19" s="1185">
        <f t="shared" ref="G19:AA19" si="13">G47-G67</f>
        <v>-74.791506715759169</v>
      </c>
      <c r="H19" s="1185">
        <f t="shared" si="13"/>
        <v>435.47511171366205</v>
      </c>
      <c r="I19" s="1185">
        <f t="shared" si="13"/>
        <v>4592.1220897551975</v>
      </c>
      <c r="J19" s="1185">
        <f t="shared" si="13"/>
        <v>12438.951655346667</v>
      </c>
      <c r="K19" s="1185">
        <f t="shared" si="13"/>
        <v>17689.491218258481</v>
      </c>
      <c r="L19" s="1185">
        <f t="shared" si="13"/>
        <v>22778.011743585434</v>
      </c>
      <c r="M19" s="1185">
        <f t="shared" si="13"/>
        <v>30512.83469320825</v>
      </c>
      <c r="N19" s="1185">
        <f t="shared" si="13"/>
        <v>38713.909565918642</v>
      </c>
      <c r="O19" s="1185">
        <f t="shared" si="13"/>
        <v>39339.022165942544</v>
      </c>
      <c r="P19" s="1185">
        <f t="shared" si="13"/>
        <v>39950.8014552034</v>
      </c>
      <c r="Q19" s="1185">
        <f t="shared" si="13"/>
        <v>40571.537900434792</v>
      </c>
      <c r="R19" s="1185">
        <f t="shared" si="13"/>
        <v>41188.587468320795</v>
      </c>
      <c r="S19" s="1185">
        <f t="shared" si="13"/>
        <v>41790.512218866905</v>
      </c>
      <c r="T19" s="1185">
        <f t="shared" si="13"/>
        <v>42382.244974549831</v>
      </c>
      <c r="U19" s="1185">
        <f t="shared" si="13"/>
        <v>40222.122744954264</v>
      </c>
      <c r="V19" s="1185">
        <f t="shared" si="13"/>
        <v>40208.154081531145</v>
      </c>
      <c r="W19" s="1185">
        <f t="shared" si="13"/>
        <v>40194.185418108013</v>
      </c>
      <c r="X19" s="1185">
        <f t="shared" si="13"/>
        <v>40180.216754684894</v>
      </c>
      <c r="Y19" s="1185">
        <f t="shared" si="13"/>
        <v>40166.24809126179</v>
      </c>
      <c r="Z19" s="1185">
        <f t="shared" si="13"/>
        <v>40152.279427838672</v>
      </c>
      <c r="AA19" s="1185">
        <f t="shared" si="13"/>
        <v>40138.310764415539</v>
      </c>
    </row>
    <row r="20" spans="2:27" s="69" customFormat="1">
      <c r="B20" s="816" t="s">
        <v>3118</v>
      </c>
      <c r="G20" s="1186">
        <f t="shared" ref="G20:AA20" si="14">G48-G68</f>
        <v>462.75988728425</v>
      </c>
      <c r="H20" s="1186">
        <f t="shared" si="14"/>
        <v>1361.7155241003202</v>
      </c>
      <c r="I20" s="1186">
        <f t="shared" si="14"/>
        <v>4264.390141363896</v>
      </c>
      <c r="J20" s="1186">
        <f t="shared" si="14"/>
        <v>9520.2576529333455</v>
      </c>
      <c r="K20" s="1186">
        <f t="shared" si="14"/>
        <v>13136.473344658021</v>
      </c>
      <c r="L20" s="1186">
        <f t="shared" si="14"/>
        <v>16643.309226719313</v>
      </c>
      <c r="M20" s="1186">
        <f t="shared" si="14"/>
        <v>21854.913755891284</v>
      </c>
      <c r="N20" s="1186">
        <f t="shared" si="14"/>
        <v>27386.128206406109</v>
      </c>
      <c r="O20" s="1186">
        <f t="shared" si="14"/>
        <v>29371.949820231115</v>
      </c>
      <c r="P20" s="1186">
        <f t="shared" si="14"/>
        <v>30057.039204327302</v>
      </c>
      <c r="Q20" s="1186">
        <f t="shared" si="14"/>
        <v>30752.841535759653</v>
      </c>
      <c r="R20" s="1186">
        <f t="shared" si="14"/>
        <v>31449.629708910921</v>
      </c>
      <c r="S20" s="1186">
        <f t="shared" si="14"/>
        <v>32140.170927590458</v>
      </c>
      <c r="T20" s="1186">
        <f t="shared" si="14"/>
        <v>32827.637300582253</v>
      </c>
      <c r="U20" s="1186">
        <f t="shared" si="14"/>
        <v>30854.130649955339</v>
      </c>
      <c r="V20" s="1186">
        <f t="shared" si="14"/>
        <v>31030.763973482513</v>
      </c>
      <c r="W20" s="1186">
        <f t="shared" si="14"/>
        <v>31211.472819197057</v>
      </c>
      <c r="X20" s="1186">
        <f t="shared" si="14"/>
        <v>31396.348318240067</v>
      </c>
      <c r="Y20" s="1186">
        <f t="shared" si="14"/>
        <v>31585.483664892796</v>
      </c>
      <c r="Z20" s="1186">
        <f t="shared" si="14"/>
        <v>31778.974163852487</v>
      </c>
      <c r="AA20" s="1186">
        <f t="shared" si="14"/>
        <v>31976.917278604051</v>
      </c>
    </row>
    <row r="21" spans="2:27" s="69" customFormat="1">
      <c r="B21" s="816" t="s">
        <v>3119</v>
      </c>
      <c r="G21" s="1186">
        <f t="shared" ref="G21:AA21" si="15">G49-G69</f>
        <v>462.75988728425</v>
      </c>
      <c r="H21" s="1186">
        <f t="shared" si="15"/>
        <v>1190.6246657934462</v>
      </c>
      <c r="I21" s="1186">
        <f t="shared" si="15"/>
        <v>1472.5392113767084</v>
      </c>
      <c r="J21" s="1186">
        <f t="shared" si="15"/>
        <v>4726.3886165050717</v>
      </c>
      <c r="K21" s="1186">
        <f t="shared" si="15"/>
        <v>8231.9616295859669</v>
      </c>
      <c r="L21" s="1186">
        <f t="shared" si="15"/>
        <v>11521.251848254054</v>
      </c>
      <c r="M21" s="1186">
        <f t="shared" si="15"/>
        <v>16453.853925332987</v>
      </c>
      <c r="N21" s="1186">
        <f t="shared" si="15"/>
        <v>20102.227890295162</v>
      </c>
      <c r="O21" s="1186">
        <f t="shared" si="15"/>
        <v>24919.277055365328</v>
      </c>
      <c r="P21" s="1186">
        <f t="shared" si="15"/>
        <v>26303.739810845444</v>
      </c>
      <c r="Q21" s="1186">
        <f t="shared" si="15"/>
        <v>27717.227765334486</v>
      </c>
      <c r="R21" s="1186">
        <f t="shared" si="15"/>
        <v>27971.139472981267</v>
      </c>
      <c r="S21" s="1186">
        <f t="shared" si="15"/>
        <v>28489.075789365023</v>
      </c>
      <c r="T21" s="1186">
        <f t="shared" si="15"/>
        <v>29003.295526575126</v>
      </c>
      <c r="U21" s="1186">
        <f t="shared" si="15"/>
        <v>27041.857667539982</v>
      </c>
      <c r="V21" s="1186">
        <f t="shared" si="15"/>
        <v>27230.559782658915</v>
      </c>
      <c r="W21" s="1186">
        <f t="shared" si="15"/>
        <v>27423.337419965275</v>
      </c>
      <c r="X21" s="1186">
        <f t="shared" si="15"/>
        <v>27620.281710600058</v>
      </c>
      <c r="Y21" s="1186">
        <f t="shared" si="15"/>
        <v>27821.485848844524</v>
      </c>
      <c r="Z21" s="1186">
        <f t="shared" si="15"/>
        <v>28027.04513939601</v>
      </c>
      <c r="AA21" s="1186">
        <f t="shared" si="15"/>
        <v>28237.057045739348</v>
      </c>
    </row>
    <row r="22" spans="2:27" s="69" customFormat="1">
      <c r="B22" s="816" t="s">
        <v>3120</v>
      </c>
      <c r="G22" s="1186">
        <f t="shared" ref="G22:AA22" si="16">G50-G70</f>
        <v>462.75988728425</v>
      </c>
      <c r="H22" s="1186">
        <f t="shared" si="16"/>
        <v>1209.3830770710192</v>
      </c>
      <c r="I22" s="1186">
        <f t="shared" si="16"/>
        <v>1907.8776113831991</v>
      </c>
      <c r="J22" s="1186">
        <f t="shared" si="16"/>
        <v>5988.0671786677194</v>
      </c>
      <c r="K22" s="1186">
        <f t="shared" si="16"/>
        <v>10105.466374112977</v>
      </c>
      <c r="L22" s="1186">
        <f t="shared" si="16"/>
        <v>13996.595434120129</v>
      </c>
      <c r="M22" s="1186">
        <f t="shared" si="16"/>
        <v>20374.27106081169</v>
      </c>
      <c r="N22" s="1186">
        <f t="shared" si="16"/>
        <v>25520.401676876176</v>
      </c>
      <c r="O22" s="1186">
        <f t="shared" si="16"/>
        <v>31831.416646455422</v>
      </c>
      <c r="P22" s="1186">
        <f t="shared" si="16"/>
        <v>33398.57384893002</v>
      </c>
      <c r="Q22" s="1186">
        <f t="shared" si="16"/>
        <v>34997.564322139937</v>
      </c>
      <c r="R22" s="1186">
        <f t="shared" si="16"/>
        <v>35433.401493482554</v>
      </c>
      <c r="S22" s="1186">
        <f t="shared" si="16"/>
        <v>36133.964519257483</v>
      </c>
      <c r="T22" s="1186">
        <f t="shared" si="16"/>
        <v>36830.913052083786</v>
      </c>
      <c r="U22" s="1186">
        <f t="shared" si="16"/>
        <v>34896.440936203682</v>
      </c>
      <c r="V22" s="1186">
        <f t="shared" si="16"/>
        <v>35112.7686790113</v>
      </c>
      <c r="W22" s="1186">
        <f t="shared" si="16"/>
        <v>35333.846579936813</v>
      </c>
      <c r="X22" s="1186">
        <f t="shared" si="16"/>
        <v>35559.780855388664</v>
      </c>
      <c r="Y22" s="1186">
        <f t="shared" si="16"/>
        <v>35790.68012643457</v>
      </c>
      <c r="Z22" s="1186">
        <f t="shared" si="16"/>
        <v>36026.655473903229</v>
      </c>
      <c r="AA22" s="1186">
        <f t="shared" si="16"/>
        <v>36267.820494762665</v>
      </c>
    </row>
    <row r="23" spans="2:27" s="69" customFormat="1">
      <c r="B23" s="816" t="s">
        <v>3121</v>
      </c>
      <c r="G23" s="1186">
        <f t="shared" ref="G23:AA23" si="17">G51-G71</f>
        <v>0</v>
      </c>
      <c r="H23" s="1186">
        <f t="shared" si="17"/>
        <v>0</v>
      </c>
      <c r="I23" s="1186">
        <f t="shared" si="17"/>
        <v>0</v>
      </c>
      <c r="J23" s="1186">
        <f t="shared" si="17"/>
        <v>0</v>
      </c>
      <c r="K23" s="1186">
        <f t="shared" si="17"/>
        <v>0</v>
      </c>
      <c r="L23" s="1186">
        <f t="shared" si="17"/>
        <v>0</v>
      </c>
      <c r="M23" s="1186">
        <f t="shared" si="17"/>
        <v>0</v>
      </c>
      <c r="N23" s="1186">
        <f t="shared" si="17"/>
        <v>0</v>
      </c>
      <c r="O23" s="1186">
        <f t="shared" si="17"/>
        <v>0</v>
      </c>
      <c r="P23" s="1186">
        <f t="shared" si="17"/>
        <v>0</v>
      </c>
      <c r="Q23" s="1186">
        <f t="shared" si="17"/>
        <v>0</v>
      </c>
      <c r="R23" s="1186">
        <f t="shared" si="17"/>
        <v>0</v>
      </c>
      <c r="S23" s="1186">
        <f t="shared" si="17"/>
        <v>0</v>
      </c>
      <c r="T23" s="1186">
        <f t="shared" si="17"/>
        <v>0</v>
      </c>
      <c r="U23" s="1186">
        <f t="shared" si="17"/>
        <v>0</v>
      </c>
      <c r="V23" s="1186">
        <f t="shared" si="17"/>
        <v>0</v>
      </c>
      <c r="W23" s="1186">
        <f t="shared" si="17"/>
        <v>0</v>
      </c>
      <c r="X23" s="1186">
        <f t="shared" si="17"/>
        <v>0</v>
      </c>
      <c r="Y23" s="1186">
        <f t="shared" si="17"/>
        <v>0</v>
      </c>
      <c r="Z23" s="1186">
        <f t="shared" si="17"/>
        <v>0</v>
      </c>
      <c r="AA23" s="1186">
        <f t="shared" si="17"/>
        <v>0</v>
      </c>
    </row>
    <row r="24" spans="2:27" s="69" customFormat="1">
      <c r="B24" s="816" t="s">
        <v>3122</v>
      </c>
      <c r="G24" s="1186">
        <f t="shared" ref="G24:AA24" si="18">G52-G72</f>
        <v>462.75988728425</v>
      </c>
      <c r="H24" s="1186">
        <f t="shared" si="18"/>
        <v>1209.3830770710192</v>
      </c>
      <c r="I24" s="1186">
        <f t="shared" si="18"/>
        <v>1907.8776113831991</v>
      </c>
      <c r="J24" s="1186">
        <f t="shared" si="18"/>
        <v>5988.0671786677194</v>
      </c>
      <c r="K24" s="1186">
        <f t="shared" si="18"/>
        <v>10105.466374112977</v>
      </c>
      <c r="L24" s="1186">
        <f t="shared" si="18"/>
        <v>13996.595434120129</v>
      </c>
      <c r="M24" s="1186">
        <f t="shared" si="18"/>
        <v>20374.27106081169</v>
      </c>
      <c r="N24" s="1186">
        <f t="shared" si="18"/>
        <v>25520.401676876176</v>
      </c>
      <c r="O24" s="1186">
        <f t="shared" si="18"/>
        <v>31831.416646455422</v>
      </c>
      <c r="P24" s="1186">
        <f t="shared" si="18"/>
        <v>33398.57384893002</v>
      </c>
      <c r="Q24" s="1186">
        <f t="shared" si="18"/>
        <v>34997.564322139937</v>
      </c>
      <c r="R24" s="1186">
        <f t="shared" si="18"/>
        <v>35433.401493482554</v>
      </c>
      <c r="S24" s="1186">
        <f t="shared" si="18"/>
        <v>36133.964519257483</v>
      </c>
      <c r="T24" s="1186">
        <f t="shared" si="18"/>
        <v>36830.913052083786</v>
      </c>
      <c r="U24" s="1186">
        <f t="shared" si="18"/>
        <v>34896.440936203682</v>
      </c>
      <c r="V24" s="1186">
        <f t="shared" si="18"/>
        <v>35112.7686790113</v>
      </c>
      <c r="W24" s="1186">
        <f t="shared" si="18"/>
        <v>35333.846579936813</v>
      </c>
      <c r="X24" s="1186">
        <f t="shared" si="18"/>
        <v>35559.780855388664</v>
      </c>
      <c r="Y24" s="1186">
        <f t="shared" si="18"/>
        <v>35790.68012643457</v>
      </c>
      <c r="Z24" s="1186">
        <f t="shared" si="18"/>
        <v>36026.655473903229</v>
      </c>
      <c r="AA24" s="1186">
        <f t="shared" si="18"/>
        <v>36267.820494762665</v>
      </c>
    </row>
    <row r="25" spans="2:27" s="69" customFormat="1">
      <c r="B25" s="817" t="s">
        <v>25</v>
      </c>
      <c r="G25" s="1187">
        <f t="shared" ref="G25:AA25" si="19">G53-G73</f>
        <v>732.69735670091904</v>
      </c>
      <c r="H25" s="1187">
        <f t="shared" si="19"/>
        <v>2145.8349137120022</v>
      </c>
      <c r="I25" s="1187">
        <f t="shared" si="19"/>
        <v>1893.0693587838832</v>
      </c>
      <c r="J25" s="1187">
        <f t="shared" si="19"/>
        <v>3659.1756310412602</v>
      </c>
      <c r="K25" s="1187">
        <f t="shared" si="19"/>
        <v>827.99689271506941</v>
      </c>
      <c r="L25" s="1187">
        <f t="shared" si="19"/>
        <v>5107.5380099242611</v>
      </c>
      <c r="M25" s="1187">
        <f t="shared" si="19"/>
        <v>8790.9629063758766</v>
      </c>
      <c r="N25" s="1187">
        <f t="shared" si="19"/>
        <v>5197.3635438063502</v>
      </c>
      <c r="O25" s="1187">
        <f t="shared" si="19"/>
        <v>12576.637413912707</v>
      </c>
      <c r="P25" s="1187">
        <f t="shared" si="19"/>
        <v>14431.567743125546</v>
      </c>
      <c r="Q25" s="1187">
        <f t="shared" si="19"/>
        <v>16887.59927113865</v>
      </c>
      <c r="R25" s="1187">
        <f t="shared" si="19"/>
        <v>25585.195171105392</v>
      </c>
      <c r="S25" s="1187">
        <f t="shared" si="19"/>
        <v>26690.525681409104</v>
      </c>
      <c r="T25" s="1187">
        <f t="shared" si="19"/>
        <v>27893.635109924049</v>
      </c>
      <c r="U25" s="1187">
        <f t="shared" si="19"/>
        <v>37211.772814714655</v>
      </c>
      <c r="V25" s="1187">
        <f t="shared" si="19"/>
        <v>38268.52021100618</v>
      </c>
      <c r="W25" s="1187">
        <f t="shared" si="19"/>
        <v>39346.826158485252</v>
      </c>
      <c r="X25" s="1187">
        <f t="shared" si="19"/>
        <v>40447.133041421766</v>
      </c>
      <c r="Y25" s="1187">
        <f t="shared" si="19"/>
        <v>41569.892372102011</v>
      </c>
      <c r="Z25" s="1187">
        <f t="shared" si="19"/>
        <v>42715.564980397707</v>
      </c>
      <c r="AA25" s="1187">
        <f t="shared" si="19"/>
        <v>43884.621207300697</v>
      </c>
    </row>
    <row r="26" spans="2:27" s="69" customFormat="1"/>
    <row r="27" spans="2:27" s="868" customFormat="1">
      <c r="B27" s="877">
        <f>XIRR(Scenarios_Operating!G12:AB12,Scenarios_Operating!G4:AB4)</f>
        <v>7.9423621296882643E-2</v>
      </c>
    </row>
    <row r="28" spans="2:27" s="69" customFormat="1"/>
    <row r="29" spans="2:27" s="69" customFormat="1"/>
    <row r="30" spans="2:27" s="69" customFormat="1"/>
    <row r="31" spans="2:27" s="69" customFormat="1"/>
    <row r="32" spans="2:27" s="69" customFormat="1"/>
    <row r="33" spans="2:28" s="69" customFormat="1"/>
    <row r="34" spans="2:28" s="69" customFormat="1"/>
    <row r="35" spans="2:28" s="69" customFormat="1">
      <c r="B35" s="1188" t="s">
        <v>3175</v>
      </c>
      <c r="AA35" s="813"/>
    </row>
    <row r="36" spans="2:28" s="69" customFormat="1">
      <c r="B36" s="1189" t="s">
        <v>23</v>
      </c>
      <c r="C36" s="1190">
        <v>43465</v>
      </c>
      <c r="D36" s="1190">
        <f t="shared" ref="D36:AB36" si="20">EOMONTH(C36,12)</f>
        <v>43830</v>
      </c>
      <c r="E36" s="1190">
        <f t="shared" si="20"/>
        <v>44196</v>
      </c>
      <c r="F36" s="1191">
        <f t="shared" si="20"/>
        <v>44561</v>
      </c>
      <c r="G36" s="1190">
        <f t="shared" si="20"/>
        <v>44926</v>
      </c>
      <c r="H36" s="1190">
        <f t="shared" si="20"/>
        <v>45291</v>
      </c>
      <c r="I36" s="1190">
        <f t="shared" si="20"/>
        <v>45657</v>
      </c>
      <c r="J36" s="1190">
        <f t="shared" si="20"/>
        <v>46022</v>
      </c>
      <c r="K36" s="1190">
        <f t="shared" si="20"/>
        <v>46387</v>
      </c>
      <c r="L36" s="1190">
        <f t="shared" si="20"/>
        <v>46752</v>
      </c>
      <c r="M36" s="1190">
        <f t="shared" si="20"/>
        <v>47118</v>
      </c>
      <c r="N36" s="1190">
        <f t="shared" si="20"/>
        <v>47483</v>
      </c>
      <c r="O36" s="1190">
        <f t="shared" si="20"/>
        <v>47848</v>
      </c>
      <c r="P36" s="1190">
        <f t="shared" si="20"/>
        <v>48213</v>
      </c>
      <c r="Q36" s="1190">
        <f t="shared" si="20"/>
        <v>48579</v>
      </c>
      <c r="R36" s="1190">
        <f t="shared" si="20"/>
        <v>48944</v>
      </c>
      <c r="S36" s="1190">
        <f t="shared" si="20"/>
        <v>49309</v>
      </c>
      <c r="T36" s="1190">
        <f t="shared" si="20"/>
        <v>49674</v>
      </c>
      <c r="U36" s="1190">
        <f t="shared" si="20"/>
        <v>50040</v>
      </c>
      <c r="V36" s="1190">
        <f t="shared" si="20"/>
        <v>50405</v>
      </c>
      <c r="W36" s="1190">
        <f t="shared" si="20"/>
        <v>50770</v>
      </c>
      <c r="X36" s="1190">
        <f t="shared" si="20"/>
        <v>51135</v>
      </c>
      <c r="Y36" s="1190">
        <f t="shared" si="20"/>
        <v>51501</v>
      </c>
      <c r="Z36" s="1190">
        <f t="shared" si="20"/>
        <v>51866</v>
      </c>
      <c r="AA36" s="1191">
        <f t="shared" si="20"/>
        <v>52231</v>
      </c>
      <c r="AB36" s="1191">
        <f t="shared" si="20"/>
        <v>52596</v>
      </c>
    </row>
    <row r="37" spans="2:28" s="69" customFormat="1">
      <c r="B37" s="1180" t="s">
        <v>3114</v>
      </c>
      <c r="C37" s="237">
        <f>'CF"A"'!D7/1000-C38</f>
        <v>-18262.680700000004</v>
      </c>
      <c r="D37" s="237">
        <f>'CF"A"'!E7/1000-D38</f>
        <v>-22120.914419999983</v>
      </c>
      <c r="E37" s="237">
        <f>'CF"A"'!F7/1000-E38</f>
        <v>-34684.752489999999</v>
      </c>
      <c r="F37" s="1192">
        <f>'CF"A"'!G7/1000-F38</f>
        <v>-51260.783119999935</v>
      </c>
      <c r="G37" s="237">
        <f>'CF"A"'!H7/1000-G38</f>
        <v>-49921.76975812624</v>
      </c>
      <c r="H37" s="237">
        <f>'CF"A"'!I7/1000-H38</f>
        <v>-50228.211327922385</v>
      </c>
      <c r="I37" s="237">
        <f>'CF"A"'!J7/1000-I38</f>
        <v>-53008.400073576719</v>
      </c>
      <c r="J37" s="237">
        <f>'CF"A"'!K7/1000-J38</f>
        <v>-54592.611667923185</v>
      </c>
      <c r="K37" s="237">
        <f>'CF"A"'!L7/1000-K38</f>
        <v>-60825.07592003444</v>
      </c>
      <c r="L37" s="237">
        <f>'CF"A"'!M7/1000-L38</f>
        <v>-59697.361780353815</v>
      </c>
      <c r="M37" s="237">
        <f>'CF"A"'!N7/1000-M38</f>
        <v>-59101.780144131539</v>
      </c>
      <c r="N37" s="237">
        <f>'CF"A"'!O7/1000-N38</f>
        <v>-65827.743589300007</v>
      </c>
      <c r="O37" s="237">
        <f>'CF"A"'!P7/1000-O38</f>
        <v>-59820.833800317887</v>
      </c>
      <c r="P37" s="237">
        <f>'CF"A"'!Q7/1000-P38</f>
        <v>-57560.39449856423</v>
      </c>
      <c r="Q37" s="237">
        <f>'CF"A"'!R7/1000-Q38</f>
        <v>-56723.734063596086</v>
      </c>
      <c r="R37" s="237">
        <f>'CF"A"'!S7/1000-R38</f>
        <v>-48530.282694537244</v>
      </c>
      <c r="S37" s="237">
        <f>'CF"A"'!T7/1000-S38</f>
        <v>-48240.947860013599</v>
      </c>
      <c r="T37" s="237">
        <f>'CF"A"'!U7/1000-T38</f>
        <v>-47962.06753701713</v>
      </c>
      <c r="U37" s="237">
        <f>'CF"A"'!V7/1000-U38</f>
        <v>-39715.865717979032</v>
      </c>
      <c r="V37" s="237">
        <f>'CF"A"'!W7/1000-V38</f>
        <v>-39752.84637070047</v>
      </c>
      <c r="W37" s="237">
        <f>'CF"A"'!X7/1000-W38</f>
        <v>-39166.523478512325</v>
      </c>
      <c r="X37" s="237">
        <f>'CF"A"'!Y7/1000-X38</f>
        <v>-38275.649309316374</v>
      </c>
      <c r="Y37" s="237">
        <f>'CF"A"'!Z7/1000-Y38</f>
        <v>-38314.712243172515</v>
      </c>
      <c r="Z37" s="237">
        <f>'CF"A"'!AA7/1000-Z38</f>
        <v>-38354.497217741729</v>
      </c>
      <c r="AA37" s="1192">
        <f>'CF"A"'!AB7/1000-AA38</f>
        <v>-38395.018673838327</v>
      </c>
    </row>
    <row r="38" spans="2:28" s="69" customFormat="1">
      <c r="B38" s="806" t="s">
        <v>3115</v>
      </c>
      <c r="C38" s="239">
        <f>'PL"A"'!E72/1000</f>
        <v>20648.961090000001</v>
      </c>
      <c r="D38" s="239">
        <f>'PL"A"'!F72/1000</f>
        <v>21845.035459999999</v>
      </c>
      <c r="E38" s="239">
        <f>'PL"A"'!G72/1000</f>
        <v>9606.0287399999943</v>
      </c>
      <c r="F38" s="240">
        <f>'PL"A"'!H72/1000</f>
        <v>31853.314860000006</v>
      </c>
      <c r="G38" s="239">
        <f>'PL"A"'!I72/1000</f>
        <v>0</v>
      </c>
      <c r="H38" s="239">
        <f>'PL"A"'!J72/1000</f>
        <v>0</v>
      </c>
      <c r="I38" s="239">
        <f>'PL"A"'!K72/1000</f>
        <v>0</v>
      </c>
      <c r="J38" s="239">
        <f>'PL"A"'!L72/1000</f>
        <v>0</v>
      </c>
      <c r="K38" s="239">
        <f>'PL"A"'!M72/1000</f>
        <v>0</v>
      </c>
      <c r="L38" s="239">
        <f>'PL"A"'!N72/1000</f>
        <v>0</v>
      </c>
      <c r="M38" s="239">
        <f>'PL"A"'!O72/1000</f>
        <v>0</v>
      </c>
      <c r="N38" s="239">
        <f>'PL"A"'!P72/1000</f>
        <v>0</v>
      </c>
      <c r="O38" s="239">
        <f>'PL"A"'!Q72/1000</f>
        <v>0</v>
      </c>
      <c r="P38" s="239">
        <f>'PL"A"'!R72/1000</f>
        <v>0</v>
      </c>
      <c r="Q38" s="239">
        <f>'PL"A"'!S72/1000</f>
        <v>0</v>
      </c>
      <c r="R38" s="239">
        <f>'PL"A"'!T72/1000</f>
        <v>0</v>
      </c>
      <c r="S38" s="239">
        <f>'PL"A"'!U72/1000</f>
        <v>0</v>
      </c>
      <c r="T38" s="239">
        <f>'PL"A"'!V72/1000</f>
        <v>0</v>
      </c>
      <c r="U38" s="239">
        <f>'PL"A"'!W72/1000</f>
        <v>0</v>
      </c>
      <c r="V38" s="239">
        <f>'PL"A"'!X72/1000</f>
        <v>0</v>
      </c>
      <c r="W38" s="239">
        <f>'PL"A"'!Y72/1000</f>
        <v>0</v>
      </c>
      <c r="X38" s="239">
        <f>'PL"A"'!Z72/1000</f>
        <v>0</v>
      </c>
      <c r="Y38" s="239">
        <f>'PL"A"'!AA72/1000</f>
        <v>0</v>
      </c>
      <c r="Z38" s="239">
        <f>'PL"A"'!AB72/1000</f>
        <v>0</v>
      </c>
      <c r="AA38" s="240">
        <f>'PL"A"'!AC72/1000</f>
        <v>0</v>
      </c>
    </row>
    <row r="39" spans="2:28" s="69" customFormat="1">
      <c r="B39" s="806" t="s">
        <v>3112</v>
      </c>
      <c r="C39" s="239">
        <f>'CF"A"'!D8/1000</f>
        <v>5035.20417</v>
      </c>
      <c r="D39" s="239">
        <f>'CF"A"'!E8/1000</f>
        <v>3655.1966499999999</v>
      </c>
      <c r="E39" s="239">
        <f>'CF"A"'!F8/1000</f>
        <v>20986.746999999996</v>
      </c>
      <c r="F39" s="240">
        <f>'CF"A"'!G8/1000</f>
        <v>13896.113980000002</v>
      </c>
      <c r="G39" s="239">
        <f>'CF"A"'!H8/1000</f>
        <v>4693.8859914500017</v>
      </c>
      <c r="H39" s="239">
        <f>'CF"A"'!I8/1000</f>
        <v>5336.9915588748727</v>
      </c>
      <c r="I39" s="239">
        <f>'CF"A"'!J8/1000</f>
        <v>8666.4702187966395</v>
      </c>
      <c r="J39" s="239">
        <f>'CF"A"'!K8/1000</f>
        <v>13360.944863463392</v>
      </c>
      <c r="K39" s="239">
        <f>'CF"A"'!L8/1000</f>
        <v>22692.548664278012</v>
      </c>
      <c r="L39" s="239">
        <f>'CF"A"'!M8/1000</f>
        <v>24698.726737707755</v>
      </c>
      <c r="M39" s="239">
        <f>'CF"A"'!N8/1000</f>
        <v>29714.171921282115</v>
      </c>
      <c r="N39" s="239">
        <f>'CF"A"'!O8/1000</f>
        <v>40713.178406378989</v>
      </c>
      <c r="O39" s="239">
        <f>'CF"A"'!P8/1000</f>
        <v>40005.027422713843</v>
      </c>
      <c r="P39" s="239">
        <f>'CF"A"'!Q8/1000</f>
        <v>38283.445772775376</v>
      </c>
      <c r="Q39" s="239">
        <f>'CF"A"'!R8/1000</f>
        <v>37992.896751889079</v>
      </c>
      <c r="R39" s="239">
        <f>'CF"A"'!S8/1000</f>
        <v>30343.554751390355</v>
      </c>
      <c r="S39" s="239">
        <f>'CF"A"'!T8/1000</f>
        <v>30591.218678589667</v>
      </c>
      <c r="T39" s="239">
        <f>'CF"A"'!U8/1000</f>
        <v>30843.835884332959</v>
      </c>
      <c r="U39" s="239">
        <f>'CF"A"'!V8/1000</f>
        <v>20448.519600921445</v>
      </c>
      <c r="V39" s="239">
        <f>'CF"A"'!W8/1000</f>
        <v>20482.539355441924</v>
      </c>
      <c r="W39" s="239">
        <f>'CF"A"'!X8/1000</f>
        <v>19893.255565052823</v>
      </c>
      <c r="X39" s="239">
        <f>'CF"A"'!Y8/1000</f>
        <v>18999.420497655916</v>
      </c>
      <c r="Y39" s="239">
        <f>'CF"A"'!Z8/1000</f>
        <v>19035.522533311087</v>
      </c>
      <c r="Z39" s="239">
        <f>'CF"A"'!AA8/1000</f>
        <v>19072.346609679356</v>
      </c>
      <c r="AA39" s="240">
        <f>'CF"A"'!AB8/1000</f>
        <v>19109.907167574995</v>
      </c>
    </row>
    <row r="40" spans="2:28" s="69" customFormat="1">
      <c r="B40" s="247" t="s">
        <v>27</v>
      </c>
      <c r="C40" s="250">
        <f>'CF"A"'!D14/1000</f>
        <v>-4687.9858799999893</v>
      </c>
      <c r="D40" s="250">
        <f>'CF"A"'!E14/1000</f>
        <v>-14426.099500000004</v>
      </c>
      <c r="E40" s="250">
        <f>'CF"A"'!F14/1000</f>
        <v>7037.6024399999969</v>
      </c>
      <c r="F40" s="251">
        <f>'CF"A"'!G14/1000</f>
        <v>13735.636419999992</v>
      </c>
      <c r="G40" s="250">
        <f>'CF"A"'!H14/1000</f>
        <v>1552.2280418738658</v>
      </c>
      <c r="H40" s="250">
        <f>'CF"A"'!I14/1000</f>
        <v>-583.71646308111588</v>
      </c>
      <c r="I40" s="250">
        <f>'CF"A"'!J14/1000</f>
        <v>1925.6732371887761</v>
      </c>
      <c r="J40" s="250">
        <f>'CF"A"'!K14/1000</f>
        <v>2636.2828053449894</v>
      </c>
      <c r="K40" s="250">
        <f>'CF"A"'!L14/1000</f>
        <v>1524.0968958552946</v>
      </c>
      <c r="L40" s="250">
        <f>'CF"A"'!M14/1000</f>
        <v>-850.12509062910635</v>
      </c>
      <c r="M40" s="250">
        <f>'CF"A"'!N14/1000</f>
        <v>-88.712018197754404</v>
      </c>
      <c r="N40" s="250">
        <f>'CF"A"'!O14/1000</f>
        <v>1672.2691788435661</v>
      </c>
      <c r="O40" s="250">
        <f>'CF"A"'!P14/1000</f>
        <v>-2357.6234333641723</v>
      </c>
      <c r="P40" s="250">
        <f>'CF"A"'!Q14/1000</f>
        <v>40.984960383605213</v>
      </c>
      <c r="Q40" s="250">
        <f>'CF"A"'!R14/1000</f>
        <v>56.880537469528619</v>
      </c>
      <c r="R40" s="250">
        <f>'CF"A"'!S14/1000</f>
        <v>32.273609154692849</v>
      </c>
      <c r="S40" s="250">
        <f>'CF"A"'!T14/1000</f>
        <v>-16.193784423798324</v>
      </c>
      <c r="T40" s="250">
        <f>'CF"A"'!U14/1000</f>
        <v>-53.274055312695914</v>
      </c>
      <c r="U40" s="250">
        <f>'CF"A"'!V14/1000</f>
        <v>478.38676072135104</v>
      </c>
      <c r="V40" s="250">
        <f>'CF"A"'!W14/1000</f>
        <v>0</v>
      </c>
      <c r="W40" s="250">
        <f>'CF"A"'!X14/1000</f>
        <v>0</v>
      </c>
      <c r="X40" s="250">
        <f>'CF"A"'!Y14/1000</f>
        <v>0</v>
      </c>
      <c r="Y40" s="250">
        <f>'CF"A"'!Z14/1000</f>
        <v>0</v>
      </c>
      <c r="Z40" s="250">
        <f>'CF"A"'!AA14/1000</f>
        <v>0</v>
      </c>
      <c r="AA40" s="251">
        <f>'CF"A"'!AB14/1000</f>
        <v>0</v>
      </c>
    </row>
    <row r="41" spans="2:28" s="69" customFormat="1">
      <c r="B41" s="247" t="s">
        <v>12</v>
      </c>
      <c r="C41" s="250">
        <f>'CF"A"'!D24/1000</f>
        <v>-1617.0010599999987</v>
      </c>
      <c r="D41" s="250">
        <f>'CF"A"'!E24/1000</f>
        <v>-9193.5878300000022</v>
      </c>
      <c r="E41" s="250">
        <f>'CF"A"'!F24/1000</f>
        <v>-8168.9208399999961</v>
      </c>
      <c r="F41" s="251">
        <f>'CF"A"'!G24/1000</f>
        <v>-3317.8210600000211</v>
      </c>
      <c r="G41" s="250">
        <f>'CF"A"'!H24/1000</f>
        <v>-25724.222696994842</v>
      </c>
      <c r="H41" s="250">
        <f>'CF"A"'!I24/1000</f>
        <v>-133179.14639687067</v>
      </c>
      <c r="I41" s="250">
        <f>'CF"A"'!J24/1000</f>
        <v>-171921.11010819799</v>
      </c>
      <c r="J41" s="250">
        <f>'CF"A"'!K24/1000</f>
        <v>-136499.65886470259</v>
      </c>
      <c r="K41" s="250">
        <f>'CF"A"'!L24/1000</f>
        <v>-80247.12293718975</v>
      </c>
      <c r="L41" s="250">
        <f>'CF"A"'!M24/1000</f>
        <v>-200617.80734297453</v>
      </c>
      <c r="M41" s="250">
        <f>'CF"A"'!N24/1000</f>
        <v>-120370.6844057846</v>
      </c>
      <c r="N41" s="250">
        <f>'CF"A"'!O24/1000</f>
        <v>-4576.0637266969161</v>
      </c>
      <c r="O41" s="250">
        <f>'CF"A"'!P24/1000</f>
        <v>-4667.5850012308656</v>
      </c>
      <c r="P41" s="250">
        <f>'CF"A"'!Q24/1000</f>
        <v>-4760.9367012555822</v>
      </c>
      <c r="Q41" s="250">
        <f>'CF"A"'!R24/1000</f>
        <v>-4856.1554352805915</v>
      </c>
      <c r="R41" s="250">
        <f>'CF"A"'!S24/1000</f>
        <v>-4953.2785439861636</v>
      </c>
      <c r="S41" s="250">
        <f>'CF"A"'!T24/1000</f>
        <v>-5052.3441148658094</v>
      </c>
      <c r="T41" s="250">
        <f>'CF"A"'!U24/1000</f>
        <v>-5153.3909971631838</v>
      </c>
      <c r="U41" s="250">
        <f>'CF"A"'!V24/1000</f>
        <v>-5256.4588171064815</v>
      </c>
      <c r="V41" s="250">
        <f>'CF"A"'!W24/1000</f>
        <v>-5361.5879934485556</v>
      </c>
      <c r="W41" s="250">
        <f>'CF"A"'!X24/1000</f>
        <v>-5468.8197533174944</v>
      </c>
      <c r="X41" s="250">
        <f>'CF"A"'!Y24/1000</f>
        <v>-5578.1961483838486</v>
      </c>
      <c r="Y41" s="250">
        <f>'CF"A"'!Z24/1000</f>
        <v>-5689.7600713516695</v>
      </c>
      <c r="Z41" s="250">
        <f>'CF"A"'!AA24/1000</f>
        <v>-5803.5552727785298</v>
      </c>
      <c r="AA41" s="251">
        <f>'CF"A"'!AB24/1000</f>
        <v>-5919.6263782340848</v>
      </c>
      <c r="AB41" s="457">
        <f>SUM(G41:AA41)</f>
        <v>-941657.51170781476</v>
      </c>
    </row>
    <row r="42" spans="2:28" s="69" customFormat="1">
      <c r="B42" s="247" t="s">
        <v>28</v>
      </c>
      <c r="C42" s="250">
        <f>SUM('CF"A"'!D27,'CF"A"'!D23)/1000-C41</f>
        <v>1846.5037999999988</v>
      </c>
      <c r="D42" s="250">
        <f>SUM('CF"A"'!E27,'CF"A"'!E23)/1000-D41</f>
        <v>27742.710200000009</v>
      </c>
      <c r="E42" s="250">
        <f>SUM('CF"A"'!F27,'CF"A"'!F23)/1000-E41</f>
        <v>6944.4122299999963</v>
      </c>
      <c r="F42" s="251">
        <f>SUM('CF"A"'!G27,'CF"A"'!G23)/1000-F41</f>
        <v>12922.480280000003</v>
      </c>
      <c r="G42" s="250">
        <f>SUM('CF"A"'!H27,'CF"A"'!H23)/1000-G41</f>
        <v>0</v>
      </c>
      <c r="H42" s="250">
        <f>SUM('CF"A"'!I27,'CF"A"'!I23)/1000-H41</f>
        <v>0</v>
      </c>
      <c r="I42" s="250">
        <f>SUM('CF"A"'!J27,'CF"A"'!J23)/1000-I41</f>
        <v>0</v>
      </c>
      <c r="J42" s="250">
        <f>SUM('CF"A"'!K27,'CF"A"'!K23)/1000-J41</f>
        <v>0</v>
      </c>
      <c r="K42" s="250">
        <f>SUM('CF"A"'!L27,'CF"A"'!L23)/1000-K41</f>
        <v>0</v>
      </c>
      <c r="L42" s="250">
        <f>SUM('CF"A"'!M27,'CF"A"'!M23)/1000-L41</f>
        <v>0</v>
      </c>
      <c r="M42" s="250">
        <f>SUM('CF"A"'!N27,'CF"A"'!N23)/1000-M41</f>
        <v>0</v>
      </c>
      <c r="N42" s="250">
        <f>SUM('CF"A"'!O27,'CF"A"'!O23)/1000-N41</f>
        <v>0</v>
      </c>
      <c r="O42" s="250">
        <f>SUM('CF"A"'!P27,'CF"A"'!P23)/1000-O41</f>
        <v>0</v>
      </c>
      <c r="P42" s="250">
        <f>SUM('CF"A"'!Q27,'CF"A"'!Q23)/1000-P41</f>
        <v>0</v>
      </c>
      <c r="Q42" s="250">
        <f>SUM('CF"A"'!R27,'CF"A"'!R23)/1000-Q41</f>
        <v>0</v>
      </c>
      <c r="R42" s="250">
        <f>SUM('CF"A"'!S27,'CF"A"'!S23)/1000-R41</f>
        <v>0</v>
      </c>
      <c r="S42" s="250">
        <f>SUM('CF"A"'!T27,'CF"A"'!T23)/1000-S41</f>
        <v>0</v>
      </c>
      <c r="T42" s="250">
        <f>SUM('CF"A"'!U27,'CF"A"'!U23)/1000-T41</f>
        <v>0</v>
      </c>
      <c r="U42" s="250">
        <f>SUM('CF"A"'!V27,'CF"A"'!V23)/1000-U41</f>
        <v>0</v>
      </c>
      <c r="V42" s="250">
        <f>SUM('CF"A"'!W27,'CF"A"'!W23)/1000-V41</f>
        <v>0</v>
      </c>
      <c r="W42" s="250">
        <f>SUM('CF"A"'!X27,'CF"A"'!X23)/1000-W41</f>
        <v>0</v>
      </c>
      <c r="X42" s="250">
        <f>SUM('CF"A"'!Y27,'CF"A"'!Y23)/1000-X41</f>
        <v>0</v>
      </c>
      <c r="Y42" s="250">
        <f>SUM('CF"A"'!Z27,'CF"A"'!Z23)/1000-Y41</f>
        <v>0</v>
      </c>
      <c r="Z42" s="250">
        <f>SUM('CF"A"'!AA27,'CF"A"'!AA23)/1000-Z41</f>
        <v>0</v>
      </c>
      <c r="AA42" s="251">
        <f>SUM('CF"A"'!AB27,'CF"A"'!AB23)/1000-AA41</f>
        <v>0</v>
      </c>
    </row>
    <row r="43" spans="2:28" s="69" customFormat="1">
      <c r="B43" s="808" t="s">
        <v>3113</v>
      </c>
      <c r="C43" s="809">
        <f>'CF"A"'!D31/1000-SUM(C37:C42)</f>
        <v>-1340.9273799999962</v>
      </c>
      <c r="D43" s="809">
        <f>'CF"A"'!E31/1000-SUM(D37:D42)</f>
        <v>29.066309999991972</v>
      </c>
      <c r="E43" s="809">
        <f>'CF"A"'!F31/1000-SUM(E37:E42)</f>
        <v>-883.05604999998559</v>
      </c>
      <c r="F43" s="810">
        <f>'CF"A"'!G31/1000-SUM(F37:F42)</f>
        <v>-571.69259000000966</v>
      </c>
      <c r="G43" s="809">
        <f>'CF"A"'!H31/1000-SUM(G37:G42)+'FCFs"A"'!C33/1000</f>
        <v>-117.12835669999185</v>
      </c>
      <c r="H43" s="809">
        <f>'CF"A"'!I31/1000-SUM(H37:H42)+'FCFs"A"'!D33/1000</f>
        <v>-117.1283566999773</v>
      </c>
      <c r="I43" s="809">
        <f>'CF"A"'!J31/1000-SUM(I37:I42)+'FCFs"A"'!E33/1000</f>
        <v>-117.1283566999773</v>
      </c>
      <c r="J43" s="809">
        <f>'CF"A"'!K31/1000-SUM(J37:J42)+'FCFs"A"'!F33/1000</f>
        <v>-117.1283566999773</v>
      </c>
      <c r="K43" s="809">
        <f>'CF"A"'!L31/1000-SUM(K37:K42)+'FCFs"A"'!G33/1000</f>
        <v>-117.12835669999185</v>
      </c>
      <c r="L43" s="809">
        <f>'CF"A"'!M31/1000-SUM(L37:L42)+'FCFs"A"'!H33/1000</f>
        <v>-117.12835670000641</v>
      </c>
      <c r="M43" s="809">
        <f>'CF"A"'!N31/1000-SUM(M37:M42)+'FCFs"A"'!I33/1000</f>
        <v>-117.12835670006461</v>
      </c>
      <c r="N43" s="809">
        <f>'CF"A"'!O31/1000-SUM(N37:N42)+'FCFs"A"'!J33/1000</f>
        <v>-117.12835670006461</v>
      </c>
      <c r="O43" s="809">
        <f>'CF"A"'!P31/1000-SUM(O37:O42)+'FCFs"A"'!K33/1000</f>
        <v>-117.12835669998458</v>
      </c>
      <c r="P43" s="809">
        <f>'CF"A"'!Q31/1000-SUM(P37:P42)+'FCFs"A"'!L33/1000</f>
        <v>-117.12835669991546</v>
      </c>
      <c r="Q43" s="809">
        <f>'CF"A"'!R31/1000-SUM(Q37:Q42)+'FCFs"A"'!M33/1000</f>
        <v>-117.12835670005006</v>
      </c>
      <c r="R43" s="809">
        <f>'CF"A"'!S31/1000-SUM(R37:R42)+'FCFs"A"'!N33/1000</f>
        <v>-117.12835670005734</v>
      </c>
      <c r="S43" s="809">
        <f>'CF"A"'!T31/1000-SUM(S37:S42)+'FCFs"A"'!O33/1000</f>
        <v>-117.12835669995548</v>
      </c>
      <c r="T43" s="809">
        <f>'CF"A"'!U31/1000-SUM(T37:T42)+'FCFs"A"'!P33/1000</f>
        <v>-117.12835670005734</v>
      </c>
      <c r="U43" s="809">
        <f>'CF"A"'!V31/1000-SUM(U37:U42)+'FCFs"A"'!Q33/1000</f>
        <v>-117.12835669997366</v>
      </c>
      <c r="V43" s="809">
        <f>'CF"A"'!W31/1000-SUM(V37:V42)+'FCFs"A"'!R33/1000</f>
        <v>-117.12835670004279</v>
      </c>
      <c r="W43" s="809">
        <f>'CF"A"'!X31/1000-SUM(W37:W42)+'FCFs"A"'!S33/1000</f>
        <v>-117.12835670000641</v>
      </c>
      <c r="X43" s="809">
        <f>'CF"A"'!Y31/1000-SUM(X37:X42)+'FCFs"A"'!T33/1000</f>
        <v>-117.12835669995911</v>
      </c>
      <c r="Y43" s="809">
        <f>'CF"A"'!Z31/1000-SUM(Y37:Y42)+'FCFs"A"'!U33/1000</f>
        <v>-117.12835670001732</v>
      </c>
      <c r="Z43" s="809">
        <f>'CF"A"'!AA31/1000-SUM(Z37:Z42)+'FCFs"A"'!V33/1000</f>
        <v>-117.12835669989363</v>
      </c>
      <c r="AA43" s="810">
        <f>'CF"A"'!AB31/1000-SUM(AA37:AA42)+'FCFs"A"'!W33/1000</f>
        <v>-117.12835669999913</v>
      </c>
    </row>
    <row r="44" spans="2:28" s="69" customFormat="1">
      <c r="B44" s="807" t="s">
        <v>3116</v>
      </c>
      <c r="C44" s="254">
        <f t="shared" ref="C44:AA44" si="21">SUM(C37:C43)</f>
        <v>1622.0740400000107</v>
      </c>
      <c r="D44" s="254">
        <f t="shared" si="21"/>
        <v>7531.4068700000107</v>
      </c>
      <c r="E44" s="254">
        <f t="shared" si="21"/>
        <v>838.06103000000257</v>
      </c>
      <c r="F44" s="255">
        <f t="shared" si="21"/>
        <v>17257.248770000038</v>
      </c>
      <c r="G44" s="254">
        <f t="shared" si="21"/>
        <v>-69517.006778497205</v>
      </c>
      <c r="H44" s="254">
        <f t="shared" si="21"/>
        <v>-178771.21098569929</v>
      </c>
      <c r="I44" s="254">
        <f t="shared" si="21"/>
        <v>-214454.49508248927</v>
      </c>
      <c r="J44" s="254">
        <f t="shared" si="21"/>
        <v>-175212.17122051737</v>
      </c>
      <c r="K44" s="254">
        <f t="shared" si="21"/>
        <v>-116972.68165379089</v>
      </c>
      <c r="L44" s="254">
        <f t="shared" si="21"/>
        <v>-236583.69583294971</v>
      </c>
      <c r="M44" s="254">
        <f t="shared" si="21"/>
        <v>-149964.13300353184</v>
      </c>
      <c r="N44" s="254">
        <f t="shared" si="21"/>
        <v>-28135.488087474434</v>
      </c>
      <c r="O44" s="254">
        <f t="shared" si="21"/>
        <v>-26958.143168899067</v>
      </c>
      <c r="P44" s="254">
        <f t="shared" si="21"/>
        <v>-24114.028823360746</v>
      </c>
      <c r="Q44" s="254">
        <f t="shared" si="21"/>
        <v>-23647.240566218119</v>
      </c>
      <c r="R44" s="254">
        <f t="shared" si="21"/>
        <v>-23224.861234678414</v>
      </c>
      <c r="S44" s="254">
        <f t="shared" si="21"/>
        <v>-22835.395437413496</v>
      </c>
      <c r="T44" s="254">
        <f t="shared" si="21"/>
        <v>-22442.025061860109</v>
      </c>
      <c r="U44" s="254">
        <f t="shared" si="21"/>
        <v>-24162.546530142692</v>
      </c>
      <c r="V44" s="254">
        <f t="shared" si="21"/>
        <v>-24749.023365407145</v>
      </c>
      <c r="W44" s="254">
        <f t="shared" si="21"/>
        <v>-24859.216023477002</v>
      </c>
      <c r="X44" s="254">
        <f t="shared" si="21"/>
        <v>-24971.553316744266</v>
      </c>
      <c r="Y44" s="254">
        <f t="shared" si="21"/>
        <v>-25086.078137913115</v>
      </c>
      <c r="Z44" s="254">
        <f t="shared" si="21"/>
        <v>-25202.834237540796</v>
      </c>
      <c r="AA44" s="255">
        <f t="shared" si="21"/>
        <v>-25321.866241197415</v>
      </c>
      <c r="AB44" s="457">
        <f>SUM(G44:AA44)</f>
        <v>-1487185.6947898024</v>
      </c>
    </row>
    <row r="45" spans="2:28" s="69" customFormat="1">
      <c r="AA45" s="813"/>
    </row>
    <row r="46" spans="2:28" s="69" customFormat="1">
      <c r="B46" s="1182" t="s">
        <v>3111</v>
      </c>
      <c r="C46" s="1193">
        <f t="shared" ref="C46:AA46" si="22">C36</f>
        <v>43465</v>
      </c>
      <c r="D46" s="1193">
        <f t="shared" si="22"/>
        <v>43830</v>
      </c>
      <c r="E46" s="1183">
        <f t="shared" si="22"/>
        <v>44196</v>
      </c>
      <c r="F46" s="1194">
        <f t="shared" si="22"/>
        <v>44561</v>
      </c>
      <c r="G46" s="1183">
        <f t="shared" si="22"/>
        <v>44926</v>
      </c>
      <c r="H46" s="1183">
        <f t="shared" si="22"/>
        <v>45291</v>
      </c>
      <c r="I46" s="1183">
        <f t="shared" si="22"/>
        <v>45657</v>
      </c>
      <c r="J46" s="1183">
        <f t="shared" si="22"/>
        <v>46022</v>
      </c>
      <c r="K46" s="1183">
        <f t="shared" si="22"/>
        <v>46387</v>
      </c>
      <c r="L46" s="1183">
        <f t="shared" si="22"/>
        <v>46752</v>
      </c>
      <c r="M46" s="1183">
        <f t="shared" si="22"/>
        <v>47118</v>
      </c>
      <c r="N46" s="1183">
        <f t="shared" si="22"/>
        <v>47483</v>
      </c>
      <c r="O46" s="1183">
        <f t="shared" si="22"/>
        <v>47848</v>
      </c>
      <c r="P46" s="1183">
        <f t="shared" si="22"/>
        <v>48213</v>
      </c>
      <c r="Q46" s="1183">
        <f t="shared" si="22"/>
        <v>48579</v>
      </c>
      <c r="R46" s="1183">
        <f t="shared" si="22"/>
        <v>48944</v>
      </c>
      <c r="S46" s="1183">
        <f t="shared" si="22"/>
        <v>49309</v>
      </c>
      <c r="T46" s="1183">
        <f t="shared" si="22"/>
        <v>49674</v>
      </c>
      <c r="U46" s="1183">
        <f t="shared" si="22"/>
        <v>50040</v>
      </c>
      <c r="V46" s="1183">
        <f t="shared" si="22"/>
        <v>50405</v>
      </c>
      <c r="W46" s="1183">
        <f t="shared" si="22"/>
        <v>50770</v>
      </c>
      <c r="X46" s="1183">
        <f t="shared" si="22"/>
        <v>51135</v>
      </c>
      <c r="Y46" s="1183">
        <f t="shared" si="22"/>
        <v>51501</v>
      </c>
      <c r="Z46" s="1183">
        <f t="shared" si="22"/>
        <v>51866</v>
      </c>
      <c r="AA46" s="1194">
        <f t="shared" si="22"/>
        <v>52231</v>
      </c>
    </row>
    <row r="47" spans="2:28" s="69" customFormat="1">
      <c r="B47" s="1195" t="s">
        <v>3117</v>
      </c>
      <c r="C47" s="1185">
        <f>'PL"A"'!E9/1000</f>
        <v>96802.267170000006</v>
      </c>
      <c r="D47" s="1185">
        <f>'PL"A"'!F9/1000</f>
        <v>106428.02478000001</v>
      </c>
      <c r="E47" s="1185">
        <f>'PL"A"'!G9/1000</f>
        <v>111377.66652</v>
      </c>
      <c r="F47" s="1196">
        <f>'PL"A"'!H9/1000</f>
        <v>127538.10919000002</v>
      </c>
      <c r="G47" s="1185">
        <f>'PL"A"'!I9/1000</f>
        <v>134245.2017906371</v>
      </c>
      <c r="H47" s="1185">
        <f>'PL"A"'!J9/1000</f>
        <v>133482.66787711042</v>
      </c>
      <c r="I47" s="1185">
        <f>'PL"A"'!K9/1000</f>
        <v>137760.86892274008</v>
      </c>
      <c r="J47" s="1185">
        <f>'PL"A"'!L9/1000</f>
        <v>145755.08407734256</v>
      </c>
      <c r="K47" s="1185">
        <f>'PL"A"'!M9/1000</f>
        <v>151652.57544940765</v>
      </c>
      <c r="L47" s="1185">
        <f>'PL"A"'!N9/1000</f>
        <v>152635.04409795726</v>
      </c>
      <c r="M47" s="1185">
        <f>'PL"A"'!O9/1000</f>
        <v>156905.92596385788</v>
      </c>
      <c r="N47" s="1185">
        <f>'PL"A"'!P9/1000</f>
        <v>163430.84738203124</v>
      </c>
      <c r="O47" s="1185">
        <f>'PL"A"'!Q9/1000</f>
        <v>164125.35895947096</v>
      </c>
      <c r="P47" s="1185">
        <f>'PL"A"'!R9/1000</f>
        <v>164739.22683284216</v>
      </c>
      <c r="Q47" s="1185">
        <f>'PL"A"'!S9/1000</f>
        <v>165392.71541812186</v>
      </c>
      <c r="R47" s="1185">
        <f>'PL"A"'!T9/1000</f>
        <v>165993.26976627766</v>
      </c>
      <c r="S47" s="1185">
        <f>'PL"A"'!U9/1000</f>
        <v>166485.43495034642</v>
      </c>
      <c r="T47" s="1185">
        <f>'PL"A"'!V9/1000</f>
        <v>166894.44979598888</v>
      </c>
      <c r="U47" s="1185">
        <f>'PL"A"'!W9/1000</f>
        <v>164748.29622981645</v>
      </c>
      <c r="V47" s="1185">
        <f>'PL"A"'!X9/1000</f>
        <v>164748.29622981645</v>
      </c>
      <c r="W47" s="1185">
        <f>'PL"A"'!Y9/1000</f>
        <v>164748.29622981645</v>
      </c>
      <c r="X47" s="1185">
        <f>'PL"A"'!Z9/1000</f>
        <v>164748.29622981645</v>
      </c>
      <c r="Y47" s="1185">
        <f>'PL"A"'!AA9/1000</f>
        <v>164748.29622981645</v>
      </c>
      <c r="Z47" s="1185">
        <f>'PL"A"'!AB9/1000</f>
        <v>164748.29622981645</v>
      </c>
      <c r="AA47" s="1196">
        <f>'PL"A"'!AC9/1000</f>
        <v>164748.29622981645</v>
      </c>
      <c r="AB47" s="69">
        <f t="shared" ref="AB47:AB53" si="23">AA47-G47</f>
        <v>30503.094439179345</v>
      </c>
    </row>
    <row r="48" spans="2:28" s="69" customFormat="1">
      <c r="B48" s="348" t="s">
        <v>3118</v>
      </c>
      <c r="C48" s="1186">
        <f>'PL"A"'!E69/1000</f>
        <v>52123.523549999998</v>
      </c>
      <c r="D48" s="1186">
        <f>'PL"A"'!F69/1000</f>
        <v>53880.461810000001</v>
      </c>
      <c r="E48" s="1186">
        <f>'PL"A"'!G69/1000</f>
        <v>55924.988559999998</v>
      </c>
      <c r="F48" s="1197">
        <f>'PL"A"'!H69/1000</f>
        <v>65819.233030000018</v>
      </c>
      <c r="G48" s="1186">
        <f>'PL"A"'!I69/1000</f>
        <v>69767.577371053456</v>
      </c>
      <c r="H48" s="1186">
        <f>'PL"A"'!J69/1000</f>
        <v>69396.645725712166</v>
      </c>
      <c r="I48" s="1186">
        <f>'PL"A"'!K69/1000</f>
        <v>72235.272600558426</v>
      </c>
      <c r="J48" s="1186">
        <f>'PL"A"'!L69/1000</f>
        <v>77453.093513569547</v>
      </c>
      <c r="K48" s="1186">
        <f>'PL"A"'!M69/1000</f>
        <v>81345.647687376098</v>
      </c>
      <c r="L48" s="1186">
        <f>'PL"A"'!N69/1000</f>
        <v>82104.519743638928</v>
      </c>
      <c r="M48" s="1186">
        <f>'PL"A"'!O69/1000</f>
        <v>84972.421289773716</v>
      </c>
      <c r="N48" s="1186">
        <f>'PL"A"'!P69/1000</f>
        <v>89292.69582791545</v>
      </c>
      <c r="O48" s="1186">
        <f>'PL"A"'!Q69/1000</f>
        <v>91173.838519081939</v>
      </c>
      <c r="P48" s="1186">
        <f>'PL"A"'!R69/1000</f>
        <v>91707.946191359471</v>
      </c>
      <c r="Q48" s="1186">
        <f>'PL"A"'!S69/1000</f>
        <v>92268.684812968131</v>
      </c>
      <c r="R48" s="1186">
        <f>'PL"A"'!T69/1000</f>
        <v>92796.105435834019</v>
      </c>
      <c r="S48" s="1186">
        <f>'PL"A"'!U69/1000</f>
        <v>93254.045417173023</v>
      </c>
      <c r="T48" s="1186">
        <f>'PL"A"'!V69/1000</f>
        <v>93658.648196939845</v>
      </c>
      <c r="U48" s="1186">
        <f>'PL"A"'!W69/1000</f>
        <v>91512.494630767396</v>
      </c>
      <c r="V48" s="1186">
        <f>'PL"A"'!X69/1000</f>
        <v>91512.494630767396</v>
      </c>
      <c r="W48" s="1186">
        <f>'PL"A"'!Y69/1000</f>
        <v>91512.494630767396</v>
      </c>
      <c r="X48" s="1186">
        <f>'PL"A"'!Z69/1000</f>
        <v>91512.494630767396</v>
      </c>
      <c r="Y48" s="1186">
        <f>'PL"A"'!AA69/1000</f>
        <v>91512.494630767396</v>
      </c>
      <c r="Z48" s="1186">
        <f>'PL"A"'!AB69/1000</f>
        <v>91512.494630767396</v>
      </c>
      <c r="AA48" s="1197">
        <f>'PL"A"'!AC69/1000</f>
        <v>91512.494630767396</v>
      </c>
      <c r="AB48" s="69">
        <f t="shared" si="23"/>
        <v>21744.91725971394</v>
      </c>
    </row>
    <row r="49" spans="2:28" s="69" customFormat="1">
      <c r="B49" s="348" t="s">
        <v>3119</v>
      </c>
      <c r="C49" s="1186">
        <f>'PL"A"'!E70/1000</f>
        <v>-16214.837650000007</v>
      </c>
      <c r="D49" s="1186">
        <f>'PL"A"'!F70/1000</f>
        <v>-21820.373419999985</v>
      </c>
      <c r="E49" s="1186">
        <f>'PL"A"'!G70/1000</f>
        <v>-31157.771750000007</v>
      </c>
      <c r="F49" s="1197">
        <f>'PL"A"'!H70/1000</f>
        <v>-48252.732550000001</v>
      </c>
      <c r="G49" s="1186">
        <f>'PL"A"'!I70/1000</f>
        <v>-44304.388208946526</v>
      </c>
      <c r="H49" s="1186">
        <f>'PL"A"'!J70/1000</f>
        <v>-43966.873418429597</v>
      </c>
      <c r="I49" s="1186">
        <f>'PL"A"'!K70/1000</f>
        <v>-43810.952078476745</v>
      </c>
      <c r="J49" s="1186">
        <f>'PL"A"'!L70/1000</f>
        <v>-41500.528095227586</v>
      </c>
      <c r="K49" s="1186">
        <f>'PL"A"'!M70/1000</f>
        <v>-38985.004670426948</v>
      </c>
      <c r="L49" s="1186">
        <f>'PL"A"'!N70/1000</f>
        <v>-36435.019724384052</v>
      </c>
      <c r="M49" s="1186">
        <f>'PL"A"'!O70/1000</f>
        <v>-32249.235062263906</v>
      </c>
      <c r="N49" s="1186">
        <f>'PL"A"'!P70/1000</f>
        <v>-29449.490154701783</v>
      </c>
      <c r="O49" s="1186">
        <f>'PL"A"'!Q70/1000</f>
        <v>-25615.578729190125</v>
      </c>
      <c r="P49" s="1186">
        <f>'PL"A"'!R70/1000</f>
        <v>-25229.820547865151</v>
      </c>
      <c r="Q49" s="1186">
        <f>'PL"A"'!S70/1000</f>
        <v>-24838.894537457018</v>
      </c>
      <c r="R49" s="1186">
        <f>'PL"A"'!T70/1000</f>
        <v>-24449.723459893583</v>
      </c>
      <c r="S49" s="1186">
        <f>'PL"A"'!U70/1000</f>
        <v>-24067.062581507773</v>
      </c>
      <c r="T49" s="1186">
        <f>'PL"A"'!V70/1000</f>
        <v>-23689.53485977912</v>
      </c>
      <c r="U49" s="1186">
        <f>'PL"A"'!W70/1000</f>
        <v>-25835.688425951572</v>
      </c>
      <c r="V49" s="1186">
        <f>'PL"A"'!X70/1000</f>
        <v>-25835.688425951572</v>
      </c>
      <c r="W49" s="1186">
        <f>'PL"A"'!Y70/1000</f>
        <v>-25835.688425951572</v>
      </c>
      <c r="X49" s="1186">
        <f>'PL"A"'!Z70/1000</f>
        <v>-25835.688425951572</v>
      </c>
      <c r="Y49" s="1186">
        <f>'PL"A"'!AA70/1000</f>
        <v>-25835.688425951572</v>
      </c>
      <c r="Z49" s="1186">
        <f>'PL"A"'!AB70/1000</f>
        <v>-25835.688425951572</v>
      </c>
      <c r="AA49" s="1197">
        <f>'PL"A"'!AC70/1000</f>
        <v>-25835.688425951572</v>
      </c>
      <c r="AB49" s="69">
        <f t="shared" si="23"/>
        <v>18468.699782994954</v>
      </c>
    </row>
    <row r="50" spans="2:28" s="69" customFormat="1">
      <c r="B50" s="348" t="s">
        <v>3120</v>
      </c>
      <c r="C50" s="1186">
        <f>'PL"A"'!E71/1000</f>
        <v>-14927.512350000001</v>
      </c>
      <c r="D50" s="1186">
        <f>'PL"A"'!F71/1000</f>
        <v>-18588.192059999983</v>
      </c>
      <c r="E50" s="1186">
        <f>'PL"A"'!G71/1000</f>
        <v>-30631.528329999997</v>
      </c>
      <c r="F50" s="1197">
        <f>'PL"A"'!H71/1000</f>
        <v>-46647.903800000007</v>
      </c>
      <c r="G50" s="1186">
        <f>'PL"A"'!I71/1000</f>
        <v>-45227.883766676234</v>
      </c>
      <c r="H50" s="1186">
        <f>'PL"A"'!J71/1000</f>
        <v>-44891.219769047508</v>
      </c>
      <c r="I50" s="1186">
        <f>'PL"A"'!K71/1000</f>
        <v>-44341.929854780079</v>
      </c>
      <c r="J50" s="1186">
        <f>'PL"A"'!L71/1000</f>
        <v>-41231.66680445979</v>
      </c>
      <c r="K50" s="1186">
        <f>'PL"A"'!M71/1000</f>
        <v>-38132.527255756424</v>
      </c>
      <c r="L50" s="1186">
        <f>'PL"A"'!N71/1000</f>
        <v>-34998.635042646049</v>
      </c>
      <c r="M50" s="1186">
        <f>'PL"A"'!O71/1000</f>
        <v>-29387.60822284942</v>
      </c>
      <c r="N50" s="1186">
        <f>'PL"A"'!P71/1000</f>
        <v>-25114.565182921022</v>
      </c>
      <c r="O50" s="1186">
        <f>'PL"A"'!Q71/1000</f>
        <v>-19815.806377604036</v>
      </c>
      <c r="P50" s="1186">
        <f>'PL"A"'!R71/1000</f>
        <v>-19276.948725788854</v>
      </c>
      <c r="Q50" s="1186">
        <f>'PL"A"'!S71/1000</f>
        <v>-18730.837311707004</v>
      </c>
      <c r="R50" s="1186">
        <f>'PL"A"'!T71/1000</f>
        <v>-18186.727943146885</v>
      </c>
      <c r="S50" s="1186">
        <f>'PL"A"'!U71/1000</f>
        <v>-17649.729181423925</v>
      </c>
      <c r="T50" s="1186">
        <f>'PL"A"'!V71/1000</f>
        <v>-17118.231652684168</v>
      </c>
      <c r="U50" s="1186">
        <f>'PL"A"'!W71/1000</f>
        <v>-19267.346117057579</v>
      </c>
      <c r="V50" s="1186">
        <f>'PL"A"'!X71/1000</f>
        <v>-19270.307015258542</v>
      </c>
      <c r="W50" s="1186">
        <f>'PL"A"'!Y71/1000</f>
        <v>-19273.267913459498</v>
      </c>
      <c r="X50" s="1186">
        <f>'PL"A"'!Z71/1000</f>
        <v>-19276.228811660454</v>
      </c>
      <c r="Y50" s="1186">
        <f>'PL"A"'!AA71/1000</f>
        <v>-19279.189709861421</v>
      </c>
      <c r="Z50" s="1186">
        <f>'PL"A"'!AB71/1000</f>
        <v>-19282.150608062369</v>
      </c>
      <c r="AA50" s="1197">
        <f>'PL"A"'!AC71/1000</f>
        <v>-19285.111506263325</v>
      </c>
      <c r="AB50" s="69">
        <f t="shared" si="23"/>
        <v>25942.772260412909</v>
      </c>
    </row>
    <row r="51" spans="2:28" s="69" customFormat="1">
      <c r="B51" s="348" t="s">
        <v>3121</v>
      </c>
      <c r="C51" s="1186">
        <f>'PL"A"'!E72/1000</f>
        <v>20648.961090000001</v>
      </c>
      <c r="D51" s="1186">
        <f>'PL"A"'!F72/1000</f>
        <v>21845.035459999999</v>
      </c>
      <c r="E51" s="1186">
        <f>'PL"A"'!G72/1000</f>
        <v>9606.0287399999943</v>
      </c>
      <c r="F51" s="1197">
        <f>'PL"A"'!H72/1000</f>
        <v>31853.314860000006</v>
      </c>
      <c r="G51" s="1186">
        <f>'PL"A"'!I72/1000</f>
        <v>0</v>
      </c>
      <c r="H51" s="1186">
        <f>'PL"A"'!J72/1000</f>
        <v>0</v>
      </c>
      <c r="I51" s="1186">
        <f>'PL"A"'!K72/1000</f>
        <v>0</v>
      </c>
      <c r="J51" s="1186">
        <f>'PL"A"'!L72/1000</f>
        <v>0</v>
      </c>
      <c r="K51" s="1186">
        <f>'PL"A"'!M72/1000</f>
        <v>0</v>
      </c>
      <c r="L51" s="1186">
        <f>'PL"A"'!N72/1000</f>
        <v>0</v>
      </c>
      <c r="M51" s="1186">
        <f>'PL"A"'!O72/1000</f>
        <v>0</v>
      </c>
      <c r="N51" s="1186">
        <f>'PL"A"'!P72/1000</f>
        <v>0</v>
      </c>
      <c r="O51" s="1186">
        <f>'PL"A"'!Q72/1000</f>
        <v>0</v>
      </c>
      <c r="P51" s="1186">
        <f>'PL"A"'!R72/1000</f>
        <v>0</v>
      </c>
      <c r="Q51" s="1186">
        <f>'PL"A"'!S72/1000</f>
        <v>0</v>
      </c>
      <c r="R51" s="1186">
        <f>'PL"A"'!T72/1000</f>
        <v>0</v>
      </c>
      <c r="S51" s="1186">
        <f>'PL"A"'!U72/1000</f>
        <v>0</v>
      </c>
      <c r="T51" s="1186">
        <f>'PL"A"'!V72/1000</f>
        <v>0</v>
      </c>
      <c r="U51" s="1186">
        <f>'PL"A"'!W72/1000</f>
        <v>0</v>
      </c>
      <c r="V51" s="1186">
        <f>'PL"A"'!X72/1000</f>
        <v>0</v>
      </c>
      <c r="W51" s="1186">
        <f>'PL"A"'!Y72/1000</f>
        <v>0</v>
      </c>
      <c r="X51" s="1186">
        <f>'PL"A"'!Z72/1000</f>
        <v>0</v>
      </c>
      <c r="Y51" s="1186">
        <f>'PL"A"'!AA72/1000</f>
        <v>0</v>
      </c>
      <c r="Z51" s="1186">
        <f>'PL"A"'!AB72/1000</f>
        <v>0</v>
      </c>
      <c r="AA51" s="1197">
        <f>'PL"A"'!AC72/1000</f>
        <v>0</v>
      </c>
      <c r="AB51" s="69">
        <f t="shared" si="23"/>
        <v>0</v>
      </c>
    </row>
    <row r="52" spans="2:28" s="69" customFormat="1">
      <c r="B52" s="348" t="s">
        <v>3122</v>
      </c>
      <c r="C52" s="1186">
        <f>'PL"A"'!E58/1000</f>
        <v>5721.4487399999971</v>
      </c>
      <c r="D52" s="1186">
        <f>'PL"A"'!F58/1000</f>
        <v>3256.8434000000157</v>
      </c>
      <c r="E52" s="1186">
        <f>'PL"A"'!G58/1000</f>
        <v>-21025.499590000003</v>
      </c>
      <c r="F52" s="1197">
        <f>'PL"A"'!H58/1000</f>
        <v>-14794.588939999998</v>
      </c>
      <c r="G52" s="1186">
        <f>'PL"A"'!I58/1000</f>
        <v>-45227.883766676234</v>
      </c>
      <c r="H52" s="1186">
        <f>'PL"A"'!J58/1000</f>
        <v>-44891.219769047508</v>
      </c>
      <c r="I52" s="1186">
        <f>'PL"A"'!K58/1000</f>
        <v>-44341.929854780079</v>
      </c>
      <c r="J52" s="1186">
        <f>'PL"A"'!L58/1000</f>
        <v>-41231.66680445979</v>
      </c>
      <c r="K52" s="1186">
        <f>'PL"A"'!M58/1000</f>
        <v>-38132.527255756424</v>
      </c>
      <c r="L52" s="1186">
        <f>'PL"A"'!N58/1000</f>
        <v>-34998.635042646049</v>
      </c>
      <c r="M52" s="1186">
        <f>'PL"A"'!O58/1000</f>
        <v>-29387.60822284942</v>
      </c>
      <c r="N52" s="1186">
        <f>'PL"A"'!P58/1000</f>
        <v>-25114.565182921022</v>
      </c>
      <c r="O52" s="1186">
        <f>'PL"A"'!Q58/1000</f>
        <v>-19815.806377604036</v>
      </c>
      <c r="P52" s="1186">
        <f>'PL"A"'!R58/1000</f>
        <v>-19276.948725788854</v>
      </c>
      <c r="Q52" s="1186">
        <f>'PL"A"'!S58/1000</f>
        <v>-18730.837311707004</v>
      </c>
      <c r="R52" s="1186">
        <f>'PL"A"'!T58/1000</f>
        <v>-18186.727943146885</v>
      </c>
      <c r="S52" s="1186">
        <f>'PL"A"'!U58/1000</f>
        <v>-17649.729181423925</v>
      </c>
      <c r="T52" s="1186">
        <f>'PL"A"'!V58/1000</f>
        <v>-17118.231652684168</v>
      </c>
      <c r="U52" s="1186">
        <f>'PL"A"'!W58/1000</f>
        <v>-19267.346117057579</v>
      </c>
      <c r="V52" s="1186">
        <f>'PL"A"'!X58/1000</f>
        <v>-19270.307015258542</v>
      </c>
      <c r="W52" s="1186">
        <f>'PL"A"'!Y58/1000</f>
        <v>-19273.267913459498</v>
      </c>
      <c r="X52" s="1186">
        <f>'PL"A"'!Z58/1000</f>
        <v>-19276.228811660454</v>
      </c>
      <c r="Y52" s="1186">
        <f>'PL"A"'!AA58/1000</f>
        <v>-19279.189709861421</v>
      </c>
      <c r="Z52" s="1186">
        <f>'PL"A"'!AB58/1000</f>
        <v>-19282.150608062369</v>
      </c>
      <c r="AA52" s="1197">
        <f>'PL"A"'!AC58/1000</f>
        <v>-19285.111506263325</v>
      </c>
      <c r="AB52" s="69">
        <f t="shared" si="23"/>
        <v>25942.772260412909</v>
      </c>
    </row>
    <row r="53" spans="2:28" s="69" customFormat="1">
      <c r="B53" s="811" t="s">
        <v>25</v>
      </c>
      <c r="C53" s="1187">
        <f>'PL"A"'!E55/1000</f>
        <v>2378.1376799999975</v>
      </c>
      <c r="D53" s="1187">
        <f>'PL"A"'!F55/1000</f>
        <v>-341.66330999998439</v>
      </c>
      <c r="E53" s="1187">
        <f>'PL"A"'!G55/1000</f>
        <v>-25080.301080000001</v>
      </c>
      <c r="F53" s="1198">
        <f>'PL"A"'!H55/1000</f>
        <v>-19407.468259999998</v>
      </c>
      <c r="G53" s="1187">
        <f>'PL"A"'!I55/1000</f>
        <v>-49921.76975812624</v>
      </c>
      <c r="H53" s="1187">
        <f>'PL"A"'!J55/1000</f>
        <v>-50228.211327922385</v>
      </c>
      <c r="I53" s="1187">
        <f>'PL"A"'!K55/1000</f>
        <v>-53008.400073576719</v>
      </c>
      <c r="J53" s="1187">
        <f>'PL"A"'!L55/1000</f>
        <v>-54592.611667923185</v>
      </c>
      <c r="K53" s="1187">
        <f>'PL"A"'!M55/1000</f>
        <v>-60825.07592003444</v>
      </c>
      <c r="L53" s="1187">
        <f>'PL"A"'!N55/1000</f>
        <v>-59697.361780353815</v>
      </c>
      <c r="M53" s="1187">
        <f>'PL"A"'!O55/1000</f>
        <v>-59101.780144131539</v>
      </c>
      <c r="N53" s="1187">
        <f>'PL"A"'!P55/1000</f>
        <v>-65827.743589300007</v>
      </c>
      <c r="O53" s="1187">
        <f>'PL"A"'!Q55/1000</f>
        <v>-59820.833800317887</v>
      </c>
      <c r="P53" s="1187">
        <f>'PL"A"'!R55/1000</f>
        <v>-57560.39449856423</v>
      </c>
      <c r="Q53" s="1187">
        <f>'PL"A"'!S55/1000</f>
        <v>-56723.734063596086</v>
      </c>
      <c r="R53" s="1187">
        <f>'PL"A"'!T55/1000</f>
        <v>-48530.282694537244</v>
      </c>
      <c r="S53" s="1187">
        <f>'PL"A"'!U55/1000</f>
        <v>-48240.947860013599</v>
      </c>
      <c r="T53" s="1187">
        <f>'PL"A"'!V55/1000</f>
        <v>-47962.06753701713</v>
      </c>
      <c r="U53" s="1187">
        <f>'PL"A"'!W55/1000</f>
        <v>-39715.865717979032</v>
      </c>
      <c r="V53" s="1187">
        <f>'PL"A"'!X55/1000</f>
        <v>-39752.84637070047</v>
      </c>
      <c r="W53" s="1187">
        <f>'PL"A"'!Y55/1000</f>
        <v>-39166.523478512325</v>
      </c>
      <c r="X53" s="1187">
        <f>'PL"A"'!Z55/1000</f>
        <v>-38275.649309316374</v>
      </c>
      <c r="Y53" s="1187">
        <f>'PL"A"'!AA55/1000</f>
        <v>-38314.712243172515</v>
      </c>
      <c r="Z53" s="1187">
        <f>'PL"A"'!AB55/1000</f>
        <v>-38354.497217741729</v>
      </c>
      <c r="AA53" s="1198">
        <f>'PL"A"'!AC55/1000</f>
        <v>-38395.018673838327</v>
      </c>
      <c r="AB53" s="69">
        <f t="shared" si="23"/>
        <v>11526.751084287913</v>
      </c>
    </row>
    <row r="55" spans="2:28" s="69" customFormat="1">
      <c r="B55" s="1199" t="s">
        <v>3174</v>
      </c>
    </row>
    <row r="56" spans="2:28" s="69" customFormat="1">
      <c r="B56" s="1189" t="s">
        <v>23</v>
      </c>
      <c r="C56" s="1190">
        <v>43465</v>
      </c>
      <c r="D56" s="1190">
        <f t="shared" ref="D56:AB56" si="24">EOMONTH(C56,12)</f>
        <v>43830</v>
      </c>
      <c r="E56" s="1190">
        <f t="shared" si="24"/>
        <v>44196</v>
      </c>
      <c r="F56" s="1191">
        <f t="shared" si="24"/>
        <v>44561</v>
      </c>
      <c r="G56" s="1190">
        <f t="shared" si="24"/>
        <v>44926</v>
      </c>
      <c r="H56" s="1190">
        <f t="shared" si="24"/>
        <v>45291</v>
      </c>
      <c r="I56" s="1190">
        <f t="shared" si="24"/>
        <v>45657</v>
      </c>
      <c r="J56" s="1190">
        <f t="shared" si="24"/>
        <v>46022</v>
      </c>
      <c r="K56" s="1190">
        <f t="shared" si="24"/>
        <v>46387</v>
      </c>
      <c r="L56" s="1190">
        <f t="shared" si="24"/>
        <v>46752</v>
      </c>
      <c r="M56" s="1190">
        <f t="shared" si="24"/>
        <v>47118</v>
      </c>
      <c r="N56" s="1190">
        <f t="shared" si="24"/>
        <v>47483</v>
      </c>
      <c r="O56" s="1190">
        <f t="shared" si="24"/>
        <v>47848</v>
      </c>
      <c r="P56" s="1190">
        <f t="shared" si="24"/>
        <v>48213</v>
      </c>
      <c r="Q56" s="1190">
        <f t="shared" si="24"/>
        <v>48579</v>
      </c>
      <c r="R56" s="1190">
        <f t="shared" si="24"/>
        <v>48944</v>
      </c>
      <c r="S56" s="1190">
        <f t="shared" si="24"/>
        <v>49309</v>
      </c>
      <c r="T56" s="1190">
        <f t="shared" si="24"/>
        <v>49674</v>
      </c>
      <c r="U56" s="1190">
        <f t="shared" si="24"/>
        <v>50040</v>
      </c>
      <c r="V56" s="1190">
        <f t="shared" si="24"/>
        <v>50405</v>
      </c>
      <c r="W56" s="1190">
        <f t="shared" si="24"/>
        <v>50770</v>
      </c>
      <c r="X56" s="1190">
        <f t="shared" si="24"/>
        <v>51135</v>
      </c>
      <c r="Y56" s="1190">
        <f t="shared" si="24"/>
        <v>51501</v>
      </c>
      <c r="Z56" s="1190">
        <f t="shared" si="24"/>
        <v>51866</v>
      </c>
      <c r="AA56" s="1191">
        <f t="shared" si="24"/>
        <v>52231</v>
      </c>
      <c r="AB56" s="1191">
        <f t="shared" si="24"/>
        <v>52596</v>
      </c>
    </row>
    <row r="57" spans="2:28" s="69" customFormat="1">
      <c r="B57" s="1180" t="s">
        <v>3114</v>
      </c>
      <c r="C57" s="237">
        <f>'CF"0"'!D7/1000-C58</f>
        <v>-18262.680700000004</v>
      </c>
      <c r="D57" s="237">
        <f>'CF"0"'!E7/1000-D58</f>
        <v>-22120.914419999983</v>
      </c>
      <c r="E57" s="237">
        <f>'CF"0"'!F7/1000-E58</f>
        <v>-34684.752489999999</v>
      </c>
      <c r="F57" s="1192">
        <f>'CF"0"'!G7/1000-F58</f>
        <v>-51260.783119999935</v>
      </c>
      <c r="G57" s="237">
        <f>'CF"0"'!H7/1000-G58</f>
        <v>-50654.467114827159</v>
      </c>
      <c r="H57" s="237">
        <f>'CF"0"'!I7/1000-H58</f>
        <v>-52374.046241634387</v>
      </c>
      <c r="I57" s="237">
        <f>'CF"0"'!J7/1000-I58</f>
        <v>-54901.469432360602</v>
      </c>
      <c r="J57" s="237">
        <f>'CF"0"'!K7/1000-J58</f>
        <v>-58251.787298964446</v>
      </c>
      <c r="K57" s="237">
        <f>'CF"0"'!L7/1000-K58</f>
        <v>-61653.072812749509</v>
      </c>
      <c r="L57" s="237">
        <f>'CF"0"'!M7/1000-L58</f>
        <v>-64804.899790278076</v>
      </c>
      <c r="M57" s="237">
        <f>'CF"0"'!N7/1000-M58</f>
        <v>-67892.743050507415</v>
      </c>
      <c r="N57" s="237">
        <f>'CF"0"'!O7/1000-N58</f>
        <v>-71025.107133106358</v>
      </c>
      <c r="O57" s="237">
        <f>'CF"0"'!P7/1000-O58</f>
        <v>-72397.471214230594</v>
      </c>
      <c r="P57" s="237">
        <f>'CF"0"'!Q7/1000-P58</f>
        <v>-71991.962241689776</v>
      </c>
      <c r="Q57" s="237">
        <f>'CF"0"'!R7/1000-Q58</f>
        <v>-73611.333334734736</v>
      </c>
      <c r="R57" s="237">
        <f>'CF"0"'!S7/1000-R58</f>
        <v>-74115.477865642635</v>
      </c>
      <c r="S57" s="237">
        <f>'CF"0"'!T7/1000-S58</f>
        <v>-74931.473541422703</v>
      </c>
      <c r="T57" s="237">
        <f>'CF"0"'!U7/1000-T58</f>
        <v>-75855.702646941179</v>
      </c>
      <c r="U57" s="237">
        <f>'CF"0"'!V7/1000-U58</f>
        <v>-76927.638532693687</v>
      </c>
      <c r="V57" s="237">
        <f>'CF"0"'!W7/1000-V58</f>
        <v>-78021.36658170665</v>
      </c>
      <c r="W57" s="237">
        <f>'CF"0"'!X7/1000-W58</f>
        <v>-78513.349636997576</v>
      </c>
      <c r="X57" s="237">
        <f>'CF"0"'!Y7/1000-X58</f>
        <v>-78722.78235073814</v>
      </c>
      <c r="Y57" s="237">
        <f>'CF"0"'!Z7/1000-Y58</f>
        <v>-79884.604615274526</v>
      </c>
      <c r="Z57" s="237">
        <f>'CF"0"'!AA7/1000-Z58</f>
        <v>-81070.062198139436</v>
      </c>
      <c r="AA57" s="1192">
        <f>'CF"0"'!AB7/1000-AA58</f>
        <v>-82279.639881139025</v>
      </c>
    </row>
    <row r="58" spans="2:28" s="69" customFormat="1">
      <c r="B58" s="806" t="s">
        <v>3115</v>
      </c>
      <c r="C58" s="239">
        <f>'PL"0"'!E71/1000</f>
        <v>20648.961090000001</v>
      </c>
      <c r="D58" s="239">
        <f>'PL"0"'!F71/1000</f>
        <v>21845.035459999999</v>
      </c>
      <c r="E58" s="239">
        <f>'PL"0"'!G71/1000</f>
        <v>9606.0287399999943</v>
      </c>
      <c r="F58" s="240">
        <f>'PL"0"'!H71/1000</f>
        <v>31853.314860000006</v>
      </c>
      <c r="G58" s="239">
        <f>'PL"0"'!I71/1000</f>
        <v>0</v>
      </c>
      <c r="H58" s="239">
        <f>'PL"0"'!J71/1000</f>
        <v>0</v>
      </c>
      <c r="I58" s="239">
        <f>'PL"0"'!K71/1000</f>
        <v>0</v>
      </c>
      <c r="J58" s="239">
        <f>'PL"0"'!L71/1000</f>
        <v>0</v>
      </c>
      <c r="K58" s="239">
        <f>'PL"0"'!M71/1000</f>
        <v>0</v>
      </c>
      <c r="L58" s="239">
        <f>'PL"0"'!N71/1000</f>
        <v>0</v>
      </c>
      <c r="M58" s="239">
        <f>'PL"0"'!O71/1000</f>
        <v>0</v>
      </c>
      <c r="N58" s="239">
        <f>'PL"0"'!P71/1000</f>
        <v>0</v>
      </c>
      <c r="O58" s="239">
        <f>'PL"0"'!Q71/1000</f>
        <v>0</v>
      </c>
      <c r="P58" s="239">
        <f>'PL"0"'!R71/1000</f>
        <v>0</v>
      </c>
      <c r="Q58" s="239">
        <f>'PL"0"'!S71/1000</f>
        <v>0</v>
      </c>
      <c r="R58" s="239">
        <f>'PL"0"'!T71/1000</f>
        <v>0</v>
      </c>
      <c r="S58" s="239">
        <f>'PL"0"'!U71/1000</f>
        <v>0</v>
      </c>
      <c r="T58" s="239">
        <f>'PL"0"'!V71/1000</f>
        <v>0</v>
      </c>
      <c r="U58" s="239">
        <f>'PL"0"'!W71/1000</f>
        <v>0</v>
      </c>
      <c r="V58" s="239">
        <f>'PL"0"'!X71/1000</f>
        <v>0</v>
      </c>
      <c r="W58" s="239">
        <f>'PL"0"'!Y71/1000</f>
        <v>0</v>
      </c>
      <c r="X58" s="239">
        <f>'PL"0"'!Z71/1000</f>
        <v>0</v>
      </c>
      <c r="Y58" s="239">
        <f>'PL"0"'!AA71/1000</f>
        <v>0</v>
      </c>
      <c r="Z58" s="239">
        <f>'PL"0"'!AB71/1000</f>
        <v>0</v>
      </c>
      <c r="AA58" s="240">
        <f>'PL"0"'!AC71/1000</f>
        <v>0</v>
      </c>
    </row>
    <row r="59" spans="2:28" s="69" customFormat="1">
      <c r="B59" s="806" t="s">
        <v>3112</v>
      </c>
      <c r="C59" s="239">
        <f>'CF"0"'!D8/1000</f>
        <v>5035.20417</v>
      </c>
      <c r="D59" s="239">
        <f>'CF"0"'!E8/1000</f>
        <v>3655.1966499999999</v>
      </c>
      <c r="E59" s="239">
        <f>'CF"0"'!F8/1000</f>
        <v>20986.746999999996</v>
      </c>
      <c r="F59" s="240">
        <f>'CF"0"'!G8/1000</f>
        <v>13896.113980000002</v>
      </c>
      <c r="G59" s="239">
        <f>'CF"0"'!H8/1000</f>
        <v>4963.8234608666689</v>
      </c>
      <c r="H59" s="239">
        <f>'CF"0"'!I8/1000</f>
        <v>6273.4433955158602</v>
      </c>
      <c r="I59" s="239">
        <f>'CF"0"'!J8/1000</f>
        <v>8651.6619661973273</v>
      </c>
      <c r="J59" s="239">
        <f>'CF"0"'!K8/1000</f>
        <v>11032.053315836931</v>
      </c>
      <c r="K59" s="239">
        <f>'CF"0"'!L8/1000</f>
        <v>13415.079182880107</v>
      </c>
      <c r="L59" s="239">
        <f>'CF"0"'!M8/1000</f>
        <v>15809.669313511899</v>
      </c>
      <c r="M59" s="239">
        <f>'CF"0"'!N8/1000</f>
        <v>18130.863766846294</v>
      </c>
      <c r="N59" s="239">
        <f>'CF"0"'!O8/1000</f>
        <v>20390.140273309156</v>
      </c>
      <c r="O59" s="239">
        <f>'CF"0"'!P8/1000</f>
        <v>20750.248190171133</v>
      </c>
      <c r="P59" s="239">
        <f>'CF"0"'!Q8/1000</f>
        <v>19316.439666970888</v>
      </c>
      <c r="Q59" s="239">
        <f>'CF"0"'!R8/1000</f>
        <v>19882.931700887788</v>
      </c>
      <c r="R59" s="239">
        <f>'CF"0"'!S8/1000</f>
        <v>20495.348429013196</v>
      </c>
      <c r="S59" s="239">
        <f>'CF"0"'!T8/1000</f>
        <v>21147.779840741299</v>
      </c>
      <c r="T59" s="239">
        <f>'CF"0"'!U8/1000</f>
        <v>21906.557942173225</v>
      </c>
      <c r="U59" s="239">
        <f>'CF"0"'!V8/1000</f>
        <v>22763.851479432418</v>
      </c>
      <c r="V59" s="239">
        <f>'CF"0"'!W8/1000</f>
        <v>23638.290887436797</v>
      </c>
      <c r="W59" s="239">
        <f>'CF"0"'!X8/1000</f>
        <v>23906.235143601272</v>
      </c>
      <c r="X59" s="239">
        <f>'CF"0"'!Y8/1000</f>
        <v>23886.772683689018</v>
      </c>
      <c r="Y59" s="239">
        <f>'CF"0"'!Z8/1000</f>
        <v>24814.734778978524</v>
      </c>
      <c r="Z59" s="239">
        <f>'CF"0"'!AA8/1000</f>
        <v>25761.256116173823</v>
      </c>
      <c r="AA59" s="240">
        <f>'CF"0"'!AB8/1000</f>
        <v>26726.70788011303</v>
      </c>
    </row>
    <row r="60" spans="2:28" s="69" customFormat="1">
      <c r="B60" s="247" t="s">
        <v>27</v>
      </c>
      <c r="C60" s="250">
        <f>'CF"0"'!D14/1000</f>
        <v>-4687.9858799999893</v>
      </c>
      <c r="D60" s="250">
        <f>'CF"0"'!E14/1000</f>
        <v>-14426.099500000004</v>
      </c>
      <c r="E60" s="250">
        <f>'CF"0"'!F14/1000</f>
        <v>7037.6024399999969</v>
      </c>
      <c r="F60" s="251">
        <f>'CF"0"'!G14/1000</f>
        <v>13735.636419999992</v>
      </c>
      <c r="G60" s="250">
        <f>'CF"0"'!H14/1000</f>
        <v>2104.3968255800623</v>
      </c>
      <c r="H60" s="250">
        <f>'CF"0"'!I14/1000</f>
        <v>-158.76828509279991</v>
      </c>
      <c r="I60" s="250">
        <f>'CF"0"'!J14/1000</f>
        <v>200.24798636203911</v>
      </c>
      <c r="J60" s="250">
        <f>'CF"0"'!K14/1000</f>
        <v>612.12275319261471</v>
      </c>
      <c r="K60" s="250">
        <f>'CF"0"'!L14/1000</f>
        <v>876.97315232714823</v>
      </c>
      <c r="L60" s="250">
        <f>'CF"0"'!M14/1000</f>
        <v>-1528.6996711140928</v>
      </c>
      <c r="M60" s="250">
        <f>'CF"0"'!N14/1000</f>
        <v>-1214.3287108651307</v>
      </c>
      <c r="N60" s="250">
        <f>'CF"0"'!O14/1000</f>
        <v>-303.0488991826968</v>
      </c>
      <c r="O60" s="250">
        <f>'CF"0"'!P14/1000</f>
        <v>603.93874728487151</v>
      </c>
      <c r="P60" s="250">
        <f>'CF"0"'!Q14/1000</f>
        <v>581.29471492746848</v>
      </c>
      <c r="Q60" s="250">
        <f>'CF"0"'!R14/1000</f>
        <v>609.852142523922</v>
      </c>
      <c r="R60" s="250">
        <f>'CF"0"'!S14/1000</f>
        <v>14.435552067160607</v>
      </c>
      <c r="S60" s="250">
        <f>'CF"0"'!T14/1000</f>
        <v>105.84943755177129</v>
      </c>
      <c r="T60" s="250">
        <f>'CF"0"'!U14/1000</f>
        <v>73.692377588161264</v>
      </c>
      <c r="U60" s="250">
        <f>'CF"0"'!V14/1000</f>
        <v>200.38180768191256</v>
      </c>
      <c r="V60" s="250">
        <f>'CF"0"'!W14/1000</f>
        <v>204.60024866234326</v>
      </c>
      <c r="W60" s="250">
        <f>'CF"0"'!X14/1000</f>
        <v>208.91299083305245</v>
      </c>
      <c r="X60" s="250">
        <f>'CF"0"'!Y14/1000</f>
        <v>213.32216852709837</v>
      </c>
      <c r="Y60" s="250">
        <f>'CF"0"'!Z14/1000</f>
        <v>217.82996497189066</v>
      </c>
      <c r="Z60" s="250">
        <f>'CF"0"'!AA14/1000</f>
        <v>222.43861342245248</v>
      </c>
      <c r="AA60" s="251">
        <f>'CF"0"'!AB14/1000</f>
        <v>227.15039832079597</v>
      </c>
    </row>
    <row r="61" spans="2:28" s="69" customFormat="1">
      <c r="B61" s="247" t="s">
        <v>12</v>
      </c>
      <c r="C61" s="250">
        <f>'CF"0"'!D24/1000</f>
        <v>-1617.0010599999987</v>
      </c>
      <c r="D61" s="250">
        <f>'CF"0"'!E24/1000</f>
        <v>-9193.5878300000022</v>
      </c>
      <c r="E61" s="250">
        <f>'CF"0"'!F24/1000</f>
        <v>-8168.9208399999961</v>
      </c>
      <c r="F61" s="251">
        <f>'CF"0"'!G24/1000</f>
        <v>-3317.8210600000211</v>
      </c>
      <c r="G61" s="250">
        <f>'CF"0"'!H24/1000</f>
        <v>-12088.799396761749</v>
      </c>
      <c r="H61" s="250">
        <f>'CF"0"'!I24/1000</f>
        <v>-21952.786806290467</v>
      </c>
      <c r="I61" s="250">
        <f>'CF"0"'!J24/1000</f>
        <v>-21972.843227442521</v>
      </c>
      <c r="J61" s="250">
        <f>'CF"0"'!K24/1000</f>
        <v>-21997.161849629312</v>
      </c>
      <c r="K61" s="250">
        <f>'CF"0"'!L24/1000</f>
        <v>-22103.908898139634</v>
      </c>
      <c r="L61" s="250">
        <f>'CF"0"'!M24/1000</f>
        <v>-21426.410338471331</v>
      </c>
      <c r="M61" s="250">
        <f>'CF"0"'!N24/1000</f>
        <v>-20854.8600596572</v>
      </c>
      <c r="N61" s="250">
        <f>'CF"0"'!O24/1000</f>
        <v>-21271.957260850329</v>
      </c>
      <c r="O61" s="250">
        <f>'CF"0"'!P24/1000</f>
        <v>-21697.396406067342</v>
      </c>
      <c r="P61" s="250">
        <f>'CF"0"'!Q24/1000</f>
        <v>-22131.344334188696</v>
      </c>
      <c r="Q61" s="250">
        <f>'CF"0"'!R24/1000</f>
        <v>-22573.971220872485</v>
      </c>
      <c r="R61" s="250">
        <f>'CF"0"'!S24/1000</f>
        <v>-23025.450645289904</v>
      </c>
      <c r="S61" s="250">
        <f>'CF"0"'!T24/1000</f>
        <v>-23485.959658195701</v>
      </c>
      <c r="T61" s="250">
        <f>'CF"0"'!U24/1000</f>
        <v>-23955.678851359622</v>
      </c>
      <c r="U61" s="250">
        <f>'CF"0"'!V24/1000</f>
        <v>-24434.792428386827</v>
      </c>
      <c r="V61" s="250">
        <f>'CF"0"'!W24/1000</f>
        <v>-24923.488276954584</v>
      </c>
      <c r="W61" s="250">
        <f>'CF"0"'!X24/1000</f>
        <v>-25421.958042493618</v>
      </c>
      <c r="X61" s="250">
        <f>'CF"0"'!Y24/1000</f>
        <v>-25930.397203343535</v>
      </c>
      <c r="Y61" s="250">
        <f>'CF"0"'!Z24/1000</f>
        <v>-26449.005147410364</v>
      </c>
      <c r="Z61" s="250">
        <f>'CF"0"'!AA24/1000</f>
        <v>-26977.985250358604</v>
      </c>
      <c r="AA61" s="251">
        <f>'CF"0"'!AB24/1000</f>
        <v>-27517.544955365778</v>
      </c>
      <c r="AB61" s="457">
        <f>SUM(G61:AA61)</f>
        <v>-482193.7002575295</v>
      </c>
    </row>
    <row r="62" spans="2:28" s="69" customFormat="1">
      <c r="B62" s="247" t="s">
        <v>28</v>
      </c>
      <c r="C62" s="250">
        <f>SUM('CF"0"'!D27,'CF"0"'!D23)/1000-C61</f>
        <v>1846.5037999999988</v>
      </c>
      <c r="D62" s="250">
        <f>SUM('CF"0"'!E27,'CF"0"'!E23)/1000-D61</f>
        <v>27742.710200000009</v>
      </c>
      <c r="E62" s="250">
        <f>SUM('CF"0"'!F27,'CF"0"'!F23)/1000-E61</f>
        <v>6944.4122299999963</v>
      </c>
      <c r="F62" s="251">
        <f>SUM('CF"0"'!G27,'CF"0"'!G23)/1000-F61</f>
        <v>12922.480280000003</v>
      </c>
      <c r="G62" s="250">
        <f>SUM('CF"0"'!H27,'CF"0"'!H23)/1000-G61</f>
        <v>0</v>
      </c>
      <c r="H62" s="250">
        <f>SUM('CF"0"'!I27,'CF"0"'!I23)/1000-H61</f>
        <v>0</v>
      </c>
      <c r="I62" s="250">
        <f>SUM('CF"0"'!J27,'CF"0"'!J23)/1000-I61</f>
        <v>0</v>
      </c>
      <c r="J62" s="250">
        <f>SUM('CF"0"'!K27,'CF"0"'!K23)/1000-J61</f>
        <v>0</v>
      </c>
      <c r="K62" s="250">
        <f>SUM('CF"0"'!L27,'CF"0"'!L23)/1000-K61</f>
        <v>0</v>
      </c>
      <c r="L62" s="250">
        <f>SUM('CF"0"'!M27,'CF"0"'!M23)/1000-L61</f>
        <v>0</v>
      </c>
      <c r="M62" s="250">
        <f>SUM('CF"0"'!N27,'CF"0"'!N23)/1000-M61</f>
        <v>0</v>
      </c>
      <c r="N62" s="250">
        <f>SUM('CF"0"'!O27,'CF"0"'!O23)/1000-N61</f>
        <v>0</v>
      </c>
      <c r="O62" s="250">
        <f>SUM('CF"0"'!P27,'CF"0"'!P23)/1000-O61</f>
        <v>0</v>
      </c>
      <c r="P62" s="250">
        <f>SUM('CF"0"'!Q27,'CF"0"'!Q23)/1000-P61</f>
        <v>0</v>
      </c>
      <c r="Q62" s="250">
        <f>SUM('CF"0"'!R27,'CF"0"'!R23)/1000-Q61</f>
        <v>0</v>
      </c>
      <c r="R62" s="250">
        <f>SUM('CF"0"'!S27,'CF"0"'!S23)/1000-R61</f>
        <v>0</v>
      </c>
      <c r="S62" s="250">
        <f>SUM('CF"0"'!T27,'CF"0"'!T23)/1000-S61</f>
        <v>0</v>
      </c>
      <c r="T62" s="250">
        <f>SUM('CF"0"'!U27,'CF"0"'!U23)/1000-T61</f>
        <v>0</v>
      </c>
      <c r="U62" s="250">
        <f>SUM('CF"0"'!V27,'CF"0"'!V23)/1000-U61</f>
        <v>0</v>
      </c>
      <c r="V62" s="250">
        <f>SUM('CF"0"'!W27,'CF"0"'!W23)/1000-V61</f>
        <v>0</v>
      </c>
      <c r="W62" s="250">
        <f>SUM('CF"0"'!X27,'CF"0"'!X23)/1000-W61</f>
        <v>0</v>
      </c>
      <c r="X62" s="250">
        <f>SUM('CF"0"'!Y27,'CF"0"'!Y23)/1000-X61</f>
        <v>0</v>
      </c>
      <c r="Y62" s="250">
        <f>SUM('CF"0"'!Z27,'CF"0"'!Z23)/1000-Y61</f>
        <v>0</v>
      </c>
      <c r="Z62" s="250">
        <f>SUM('CF"0"'!AA27,'CF"0"'!AA23)/1000-Z61</f>
        <v>0</v>
      </c>
      <c r="AA62" s="251">
        <f>SUM('CF"0"'!AB27,'CF"0"'!AB23)/1000-AA61</f>
        <v>0</v>
      </c>
    </row>
    <row r="63" spans="2:28" s="69" customFormat="1">
      <c r="B63" s="808" t="s">
        <v>3113</v>
      </c>
      <c r="C63" s="809">
        <f>'CF"0"'!D31/1000-SUM(C57:C62)</f>
        <v>-1340.9273799999962</v>
      </c>
      <c r="D63" s="809">
        <f>'CF"0"'!E31/1000-SUM(D57:D62)</f>
        <v>29.066309999991972</v>
      </c>
      <c r="E63" s="809">
        <f>'CF"0"'!F31/1000-SUM(E57:E62)</f>
        <v>-883.05604999998559</v>
      </c>
      <c r="F63" s="810">
        <f>'CF"0"'!G31/1000-SUM(F57:F62)</f>
        <v>-571.69259000000966</v>
      </c>
      <c r="G63" s="809">
        <f>'CF"0"'!H31/1000-SUM(G57:G62)+'FCFs"0"'!C31/1000</f>
        <v>-117.12835669999185</v>
      </c>
      <c r="H63" s="809">
        <f>'CF"0"'!I31/1000-SUM(H57:H62)+'FCFs"0"'!D31/1000</f>
        <v>-117.12835670000641</v>
      </c>
      <c r="I63" s="809">
        <f>'CF"0"'!J31/1000-SUM(I57:I62)+'FCFs"0"'!E31/1000</f>
        <v>-117.12835670000641</v>
      </c>
      <c r="J63" s="809">
        <f>'CF"0"'!K31/1000-SUM(J57:J62)+'FCFs"0"'!F31/1000</f>
        <v>-117.12835670000641</v>
      </c>
      <c r="K63" s="809">
        <f>'CF"0"'!L31/1000-SUM(K57:K62)+'FCFs"0"'!G31/1000</f>
        <v>-117.12835670003551</v>
      </c>
      <c r="L63" s="809">
        <f>'CF"0"'!M31/1000-SUM(L57:L62)+'FCFs"0"'!H31/1000</f>
        <v>-117.12835669996275</v>
      </c>
      <c r="M63" s="809">
        <f>'CF"0"'!N31/1000-SUM(M57:M62)+'FCFs"0"'!I31/1000</f>
        <v>-117.12835670000641</v>
      </c>
      <c r="N63" s="809">
        <f>'CF"0"'!O31/1000-SUM(N57:N62)+'FCFs"0"'!J31/1000</f>
        <v>-117.1283566999773</v>
      </c>
      <c r="O63" s="809">
        <f>'CF"0"'!P31/1000-SUM(O57:O62)+'FCFs"0"'!K31/1000</f>
        <v>-117.12835670003551</v>
      </c>
      <c r="P63" s="809">
        <f>'CF"0"'!Q31/1000-SUM(P57:P62)+'FCFs"0"'!L31/1000</f>
        <v>-117.12835670000641</v>
      </c>
      <c r="Q63" s="809">
        <f>'CF"0"'!R31/1000-SUM(Q57:Q62)+'FCFs"0"'!M31/1000</f>
        <v>-117.12835670000641</v>
      </c>
      <c r="R63" s="809">
        <f>'CF"0"'!S31/1000-SUM(R57:R62)+'FCFs"0"'!N31/1000</f>
        <v>-117.12835669999185</v>
      </c>
      <c r="S63" s="809">
        <f>'CF"0"'!T31/1000-SUM(S57:S62)+'FCFs"0"'!O31/1000</f>
        <v>-117.12835670000641</v>
      </c>
      <c r="T63" s="809">
        <f>'CF"0"'!U31/1000-SUM(T57:T62)+'FCFs"0"'!P31/1000</f>
        <v>-117.12835670000641</v>
      </c>
      <c r="U63" s="809">
        <f>'CF"0"'!V31/1000-SUM(U57:U62)+'FCFs"0"'!Q31/1000</f>
        <v>-117.12835670000641</v>
      </c>
      <c r="V63" s="809">
        <f>'CF"0"'!W31/1000-SUM(V57:V62)+'FCFs"0"'!R31/1000</f>
        <v>-117.12835669993365</v>
      </c>
      <c r="W63" s="809">
        <f>'CF"0"'!X31/1000-SUM(W57:W62)+'FCFs"0"'!S31/1000</f>
        <v>-117.12835670013737</v>
      </c>
      <c r="X63" s="809">
        <f>'CF"0"'!Y31/1000-SUM(X57:X62)+'FCFs"0"'!T31/1000</f>
        <v>-117.12835670010827</v>
      </c>
      <c r="Y63" s="809">
        <f>'CF"0"'!Z31/1000-SUM(Y57:Y62)+'FCFs"0"'!U31/1000</f>
        <v>-117.12835669990454</v>
      </c>
      <c r="Z63" s="809">
        <f>'CF"0"'!AA31/1000-SUM(Z57:Z62)+'FCFs"0"'!V31/1000</f>
        <v>-117.12835669990454</v>
      </c>
      <c r="AA63" s="810">
        <f>'CF"0"'!AB31/1000-SUM(AA57:AA62)+'FCFs"0"'!W31/1000</f>
        <v>-117.12835669999185</v>
      </c>
    </row>
    <row r="64" spans="2:28" s="69" customFormat="1">
      <c r="B64" s="807" t="s">
        <v>3116</v>
      </c>
      <c r="C64" s="254">
        <f t="shared" ref="C64:AA64" si="25">SUM(C57:C63)</f>
        <v>1622.0740400000107</v>
      </c>
      <c r="D64" s="254">
        <f t="shared" si="25"/>
        <v>7531.4068700000107</v>
      </c>
      <c r="E64" s="254">
        <f t="shared" si="25"/>
        <v>838.06103000000257</v>
      </c>
      <c r="F64" s="255">
        <f t="shared" si="25"/>
        <v>17257.248770000038</v>
      </c>
      <c r="G64" s="254">
        <f t="shared" si="25"/>
        <v>-55792.17458184217</v>
      </c>
      <c r="H64" s="254">
        <f t="shared" si="25"/>
        <v>-68329.286294201796</v>
      </c>
      <c r="I64" s="254">
        <f t="shared" si="25"/>
        <v>-68139.531063943752</v>
      </c>
      <c r="J64" s="254">
        <f t="shared" si="25"/>
        <v>-68721.901436264219</v>
      </c>
      <c r="K64" s="254">
        <f t="shared" si="25"/>
        <v>-69582.057732381916</v>
      </c>
      <c r="L64" s="254">
        <f t="shared" si="25"/>
        <v>-72067.468843051567</v>
      </c>
      <c r="M64" s="254">
        <f t="shared" si="25"/>
        <v>-71948.196410883451</v>
      </c>
      <c r="N64" s="254">
        <f t="shared" si="25"/>
        <v>-72327.101376530205</v>
      </c>
      <c r="O64" s="254">
        <f t="shared" si="25"/>
        <v>-72857.809039541971</v>
      </c>
      <c r="P64" s="254">
        <f t="shared" si="25"/>
        <v>-74342.700550680122</v>
      </c>
      <c r="Q64" s="254">
        <f t="shared" si="25"/>
        <v>-75809.649068895524</v>
      </c>
      <c r="R64" s="254">
        <f t="shared" si="25"/>
        <v>-76748.272886552179</v>
      </c>
      <c r="S64" s="254">
        <f t="shared" si="25"/>
        <v>-77280.932278025342</v>
      </c>
      <c r="T64" s="254">
        <f t="shared" si="25"/>
        <v>-77948.259535239427</v>
      </c>
      <c r="U64" s="254">
        <f t="shared" si="25"/>
        <v>-78515.326030666183</v>
      </c>
      <c r="V64" s="254">
        <f t="shared" si="25"/>
        <v>-79219.092079262031</v>
      </c>
      <c r="W64" s="254">
        <f t="shared" si="25"/>
        <v>-79937.287901757009</v>
      </c>
      <c r="X64" s="254">
        <f t="shared" si="25"/>
        <v>-80670.213058565671</v>
      </c>
      <c r="Y64" s="254">
        <f t="shared" si="25"/>
        <v>-81418.173375434373</v>
      </c>
      <c r="Z64" s="254">
        <f t="shared" si="25"/>
        <v>-82181.481075601667</v>
      </c>
      <c r="AA64" s="255">
        <f t="shared" si="25"/>
        <v>-82960.454914770977</v>
      </c>
      <c r="AB64" s="457">
        <f>SUM(G64:AA64)</f>
        <v>-1566797.3695340918</v>
      </c>
    </row>
    <row r="65" spans="2:28" s="69" customFormat="1">
      <c r="AA65" s="813"/>
    </row>
    <row r="66" spans="2:28" s="69" customFormat="1">
      <c r="B66" s="1182" t="s">
        <v>3111</v>
      </c>
      <c r="C66" s="1193">
        <f t="shared" ref="C66:AA66" si="26">C56</f>
        <v>43465</v>
      </c>
      <c r="D66" s="1193">
        <f t="shared" si="26"/>
        <v>43830</v>
      </c>
      <c r="E66" s="1183">
        <f t="shared" si="26"/>
        <v>44196</v>
      </c>
      <c r="F66" s="1194">
        <f t="shared" si="26"/>
        <v>44561</v>
      </c>
      <c r="G66" s="1183">
        <f t="shared" si="26"/>
        <v>44926</v>
      </c>
      <c r="H66" s="1183">
        <f t="shared" si="26"/>
        <v>45291</v>
      </c>
      <c r="I66" s="1183">
        <f t="shared" si="26"/>
        <v>45657</v>
      </c>
      <c r="J66" s="1183">
        <f t="shared" si="26"/>
        <v>46022</v>
      </c>
      <c r="K66" s="1183">
        <f t="shared" si="26"/>
        <v>46387</v>
      </c>
      <c r="L66" s="1183">
        <f t="shared" si="26"/>
        <v>46752</v>
      </c>
      <c r="M66" s="1183">
        <f t="shared" si="26"/>
        <v>47118</v>
      </c>
      <c r="N66" s="1183">
        <f t="shared" si="26"/>
        <v>47483</v>
      </c>
      <c r="O66" s="1183">
        <f t="shared" si="26"/>
        <v>47848</v>
      </c>
      <c r="P66" s="1183">
        <f t="shared" si="26"/>
        <v>48213</v>
      </c>
      <c r="Q66" s="1183">
        <f t="shared" si="26"/>
        <v>48579</v>
      </c>
      <c r="R66" s="1183">
        <f t="shared" si="26"/>
        <v>48944</v>
      </c>
      <c r="S66" s="1183">
        <f t="shared" si="26"/>
        <v>49309</v>
      </c>
      <c r="T66" s="1183">
        <f t="shared" si="26"/>
        <v>49674</v>
      </c>
      <c r="U66" s="1183">
        <f t="shared" si="26"/>
        <v>50040</v>
      </c>
      <c r="V66" s="1183">
        <f t="shared" si="26"/>
        <v>50405</v>
      </c>
      <c r="W66" s="1183">
        <f t="shared" si="26"/>
        <v>50770</v>
      </c>
      <c r="X66" s="1183">
        <f t="shared" si="26"/>
        <v>51135</v>
      </c>
      <c r="Y66" s="1183">
        <f t="shared" si="26"/>
        <v>51501</v>
      </c>
      <c r="Z66" s="1183">
        <f t="shared" si="26"/>
        <v>51866</v>
      </c>
      <c r="AA66" s="1194">
        <f t="shared" si="26"/>
        <v>52231</v>
      </c>
    </row>
    <row r="67" spans="2:28" s="69" customFormat="1">
      <c r="B67" s="1195" t="s">
        <v>3117</v>
      </c>
      <c r="C67" s="1185">
        <f>'PL"0"'!E9/1000</f>
        <v>96802.267170000006</v>
      </c>
      <c r="D67" s="1185">
        <f>'PL"0"'!F9/1000</f>
        <v>106428.02478000001</v>
      </c>
      <c r="E67" s="1185">
        <f>'PL"0"'!G9/1000</f>
        <v>111377.66652</v>
      </c>
      <c r="F67" s="1196">
        <f>'PL"0"'!H9/1000</f>
        <v>127538.10919000002</v>
      </c>
      <c r="G67" s="1185">
        <f>'PL"0"'!I9/1000</f>
        <v>134319.99329735286</v>
      </c>
      <c r="H67" s="1185">
        <f>'PL"0"'!J9/1000</f>
        <v>133047.19276539676</v>
      </c>
      <c r="I67" s="1185">
        <f>'PL"0"'!K9/1000</f>
        <v>133168.74683298488</v>
      </c>
      <c r="J67" s="1185">
        <f>'PL"0"'!L9/1000</f>
        <v>133316.13242199589</v>
      </c>
      <c r="K67" s="1185">
        <f>'PL"0"'!M9/1000</f>
        <v>133963.08423114917</v>
      </c>
      <c r="L67" s="1185">
        <f>'PL"0"'!N9/1000</f>
        <v>129857.03235437183</v>
      </c>
      <c r="M67" s="1185">
        <f>'PL"0"'!O9/1000</f>
        <v>126393.09127064963</v>
      </c>
      <c r="N67" s="1185">
        <f>'PL"0"'!P9/1000</f>
        <v>124716.93781611259</v>
      </c>
      <c r="O67" s="1185">
        <f>'PL"0"'!Q9/1000</f>
        <v>124786.33679352842</v>
      </c>
      <c r="P67" s="1185">
        <f>'PL"0"'!R9/1000</f>
        <v>124788.42537763876</v>
      </c>
      <c r="Q67" s="1185">
        <f>'PL"0"'!S9/1000</f>
        <v>124821.17751768707</v>
      </c>
      <c r="R67" s="1185">
        <f>'PL"0"'!T9/1000</f>
        <v>124804.68229795687</v>
      </c>
      <c r="S67" s="1185">
        <f>'PL"0"'!U9/1000</f>
        <v>124694.92273147951</v>
      </c>
      <c r="T67" s="1185">
        <f>'PL"0"'!V9/1000</f>
        <v>124512.20482143905</v>
      </c>
      <c r="U67" s="1185">
        <f>'PL"0"'!W9/1000</f>
        <v>124526.17348486219</v>
      </c>
      <c r="V67" s="1185">
        <f>'PL"0"'!X9/1000</f>
        <v>124540.1421482853</v>
      </c>
      <c r="W67" s="1185">
        <f>'PL"0"'!Y9/1000</f>
        <v>124554.11081170844</v>
      </c>
      <c r="X67" s="1185">
        <f>'PL"0"'!Z9/1000</f>
        <v>124568.07947513156</v>
      </c>
      <c r="Y67" s="1185">
        <f>'PL"0"'!AA9/1000</f>
        <v>124582.04813855466</v>
      </c>
      <c r="Z67" s="1185">
        <f>'PL"0"'!AB9/1000</f>
        <v>124596.01680197778</v>
      </c>
      <c r="AA67" s="1196">
        <f>'PL"0"'!AC9/1000</f>
        <v>124609.98546540091</v>
      </c>
      <c r="AB67" s="69">
        <f t="shared" ref="AB67:AB73" si="27">AA67-G67</f>
        <v>-9710.0078319519525</v>
      </c>
    </row>
    <row r="68" spans="2:28" s="69" customFormat="1">
      <c r="B68" s="348" t="s">
        <v>3118</v>
      </c>
      <c r="C68" s="1186">
        <f>'PL"0"'!E68/1000</f>
        <v>52123.523549999998</v>
      </c>
      <c r="D68" s="1186">
        <f>'PL"0"'!F68/1000</f>
        <v>53880.461810000001</v>
      </c>
      <c r="E68" s="1186">
        <f>'PL"0"'!G68/1000</f>
        <v>55924.988559999998</v>
      </c>
      <c r="F68" s="1197">
        <f>'PL"0"'!H68/1000</f>
        <v>65819.233030000018</v>
      </c>
      <c r="G68" s="1186">
        <f>'PL"0"'!I68/1000</f>
        <v>69304.817483769206</v>
      </c>
      <c r="H68" s="1186">
        <f>'PL"0"'!J68/1000</f>
        <v>68034.930201611845</v>
      </c>
      <c r="I68" s="1186">
        <f>'PL"0"'!K68/1000</f>
        <v>67970.88245919453</v>
      </c>
      <c r="J68" s="1186">
        <f>'PL"0"'!L68/1000</f>
        <v>67932.835860636202</v>
      </c>
      <c r="K68" s="1186">
        <f>'PL"0"'!M68/1000</f>
        <v>68209.174342718077</v>
      </c>
      <c r="L68" s="1186">
        <f>'PL"0"'!N68/1000</f>
        <v>65461.210516919615</v>
      </c>
      <c r="M68" s="1186">
        <f>'PL"0"'!O68/1000</f>
        <v>63117.507533882432</v>
      </c>
      <c r="N68" s="1186">
        <f>'PL"0"'!P68/1000</f>
        <v>61906.567621509341</v>
      </c>
      <c r="O68" s="1186">
        <f>'PL"0"'!Q68/1000</f>
        <v>61801.888698850824</v>
      </c>
      <c r="P68" s="1186">
        <f>'PL"0"'!R68/1000</f>
        <v>61650.906987032169</v>
      </c>
      <c r="Q68" s="1186">
        <f>'PL"0"'!S68/1000</f>
        <v>61515.843277208478</v>
      </c>
      <c r="R68" s="1186">
        <f>'PL"0"'!T68/1000</f>
        <v>61346.475726923098</v>
      </c>
      <c r="S68" s="1186">
        <f>'PL"0"'!U68/1000</f>
        <v>61113.874489582566</v>
      </c>
      <c r="T68" s="1186">
        <f>'PL"0"'!V68/1000</f>
        <v>60831.010896357591</v>
      </c>
      <c r="U68" s="1186">
        <f>'PL"0"'!W68/1000</f>
        <v>60658.363980812057</v>
      </c>
      <c r="V68" s="1186">
        <f>'PL"0"'!X68/1000</f>
        <v>60481.730657284883</v>
      </c>
      <c r="W68" s="1186">
        <f>'PL"0"'!Y68/1000</f>
        <v>60301.021811570339</v>
      </c>
      <c r="X68" s="1186">
        <f>'PL"0"'!Z68/1000</f>
        <v>60116.146312527329</v>
      </c>
      <c r="Y68" s="1186">
        <f>'PL"0"'!AA68/1000</f>
        <v>59927.010965874601</v>
      </c>
      <c r="Z68" s="1186">
        <f>'PL"0"'!AB68/1000</f>
        <v>59733.52046691491</v>
      </c>
      <c r="AA68" s="1197">
        <f>'PL"0"'!AC68/1000</f>
        <v>59535.577352163345</v>
      </c>
      <c r="AB68" s="69">
        <f t="shared" si="27"/>
        <v>-9769.2401316058604</v>
      </c>
    </row>
    <row r="69" spans="2:28" s="69" customFormat="1">
      <c r="B69" s="348" t="s">
        <v>3119</v>
      </c>
      <c r="C69" s="1186">
        <f>'PL"0"'!E69/1000</f>
        <v>-16214.837650000007</v>
      </c>
      <c r="D69" s="1186">
        <f>'PL"0"'!F69/1000</f>
        <v>-21820.373419999985</v>
      </c>
      <c r="E69" s="1186">
        <f>'PL"0"'!G69/1000</f>
        <v>-31157.771750000007</v>
      </c>
      <c r="F69" s="1197">
        <f>'PL"0"'!H69/1000</f>
        <v>-48252.732550000001</v>
      </c>
      <c r="G69" s="1186">
        <f>'PL"0"'!I69/1000</f>
        <v>-44767.148096230776</v>
      </c>
      <c r="H69" s="1186">
        <f>'PL"0"'!J69/1000</f>
        <v>-45157.498084223043</v>
      </c>
      <c r="I69" s="1186">
        <f>'PL"0"'!K69/1000</f>
        <v>-45283.491289853453</v>
      </c>
      <c r="J69" s="1186">
        <f>'PL"0"'!L69/1000</f>
        <v>-46226.916711732658</v>
      </c>
      <c r="K69" s="1186">
        <f>'PL"0"'!M69/1000</f>
        <v>-47216.966300012915</v>
      </c>
      <c r="L69" s="1186">
        <f>'PL"0"'!N69/1000</f>
        <v>-47956.271572638107</v>
      </c>
      <c r="M69" s="1186">
        <f>'PL"0"'!O69/1000</f>
        <v>-48703.088987596893</v>
      </c>
      <c r="N69" s="1186">
        <f>'PL"0"'!P69/1000</f>
        <v>-49551.718044996946</v>
      </c>
      <c r="O69" s="1186">
        <f>'PL"0"'!Q69/1000</f>
        <v>-50534.855784555453</v>
      </c>
      <c r="P69" s="1186">
        <f>'PL"0"'!R69/1000</f>
        <v>-51533.560358710594</v>
      </c>
      <c r="Q69" s="1186">
        <f>'PL"0"'!S69/1000</f>
        <v>-52556.122302791504</v>
      </c>
      <c r="R69" s="1186">
        <f>'PL"0"'!T69/1000</f>
        <v>-52420.86293287485</v>
      </c>
      <c r="S69" s="1186">
        <f>'PL"0"'!U69/1000</f>
        <v>-52556.138370872795</v>
      </c>
      <c r="T69" s="1186">
        <f>'PL"0"'!V69/1000</f>
        <v>-52692.830386354246</v>
      </c>
      <c r="U69" s="1186">
        <f>'PL"0"'!W69/1000</f>
        <v>-52877.546093491554</v>
      </c>
      <c r="V69" s="1186">
        <f>'PL"0"'!X69/1000</f>
        <v>-53066.248208610486</v>
      </c>
      <c r="W69" s="1186">
        <f>'PL"0"'!Y69/1000</f>
        <v>-53259.025845916847</v>
      </c>
      <c r="X69" s="1186">
        <f>'PL"0"'!Z69/1000</f>
        <v>-53455.97013655163</v>
      </c>
      <c r="Y69" s="1186">
        <f>'PL"0"'!AA69/1000</f>
        <v>-53657.174274796096</v>
      </c>
      <c r="Z69" s="1186">
        <f>'PL"0"'!AB69/1000</f>
        <v>-53862.733565347582</v>
      </c>
      <c r="AA69" s="1197">
        <f>'PL"0"'!AC69/1000</f>
        <v>-54072.74547169092</v>
      </c>
      <c r="AB69" s="69">
        <f t="shared" si="27"/>
        <v>-9305.5973754601437</v>
      </c>
    </row>
    <row r="70" spans="2:28" s="69" customFormat="1">
      <c r="B70" s="348" t="s">
        <v>3120</v>
      </c>
      <c r="C70" s="1186">
        <f>'PL"0"'!E70/1000</f>
        <v>-14927.512350000001</v>
      </c>
      <c r="D70" s="1186">
        <f>'PL"0"'!F70/1000</f>
        <v>-18588.192059999983</v>
      </c>
      <c r="E70" s="1186">
        <f>'PL"0"'!G70/1000</f>
        <v>-30631.528329999997</v>
      </c>
      <c r="F70" s="1197">
        <f>'PL"0"'!H70/1000</f>
        <v>-46647.903800000007</v>
      </c>
      <c r="G70" s="1186">
        <f>'PL"0"'!I70/1000</f>
        <v>-45690.643653960484</v>
      </c>
      <c r="H70" s="1186">
        <f>'PL"0"'!J70/1000</f>
        <v>-46100.602846118527</v>
      </c>
      <c r="I70" s="1186">
        <f>'PL"0"'!K70/1000</f>
        <v>-46249.807466163278</v>
      </c>
      <c r="J70" s="1186">
        <f>'PL"0"'!L70/1000</f>
        <v>-47219.733983127509</v>
      </c>
      <c r="K70" s="1186">
        <f>'PL"0"'!M70/1000</f>
        <v>-48237.993629869401</v>
      </c>
      <c r="L70" s="1186">
        <f>'PL"0"'!N70/1000</f>
        <v>-48995.230476766177</v>
      </c>
      <c r="M70" s="1186">
        <f>'PL"0"'!O70/1000</f>
        <v>-49761.87928366111</v>
      </c>
      <c r="N70" s="1186">
        <f>'PL"0"'!P70/1000</f>
        <v>-50634.966859797198</v>
      </c>
      <c r="O70" s="1186">
        <f>'PL"0"'!Q70/1000</f>
        <v>-51647.223024059458</v>
      </c>
      <c r="P70" s="1186">
        <f>'PL"0"'!R70/1000</f>
        <v>-52675.522574718874</v>
      </c>
      <c r="Q70" s="1186">
        <f>'PL"0"'!S70/1000</f>
        <v>-53728.401633846945</v>
      </c>
      <c r="R70" s="1186">
        <f>'PL"0"'!T70/1000</f>
        <v>-53620.129436629439</v>
      </c>
      <c r="S70" s="1186">
        <f>'PL"0"'!U70/1000</f>
        <v>-53783.693700681404</v>
      </c>
      <c r="T70" s="1186">
        <f>'PL"0"'!V70/1000</f>
        <v>-53949.144704767954</v>
      </c>
      <c r="U70" s="1186">
        <f>'PL"0"'!W70/1000</f>
        <v>-54163.787053261265</v>
      </c>
      <c r="V70" s="1186">
        <f>'PL"0"'!X70/1000</f>
        <v>-54383.075694269843</v>
      </c>
      <c r="W70" s="1186">
        <f>'PL"0"'!Y70/1000</f>
        <v>-54607.114493396308</v>
      </c>
      <c r="X70" s="1186">
        <f>'PL"0"'!Z70/1000</f>
        <v>-54836.009667049118</v>
      </c>
      <c r="Y70" s="1186">
        <f>'PL"0"'!AA70/1000</f>
        <v>-55069.869836295991</v>
      </c>
      <c r="Z70" s="1186">
        <f>'PL"0"'!AB70/1000</f>
        <v>-55308.806081965602</v>
      </c>
      <c r="AA70" s="1197">
        <f>'PL"0"'!AC70/1000</f>
        <v>-55552.932001025991</v>
      </c>
      <c r="AB70" s="69">
        <f t="shared" si="27"/>
        <v>-9862.288347065507</v>
      </c>
    </row>
    <row r="71" spans="2:28" s="69" customFormat="1">
      <c r="B71" s="348" t="s">
        <v>3121</v>
      </c>
      <c r="C71" s="1186">
        <f>'PL"0"'!E71/1000</f>
        <v>20648.961090000001</v>
      </c>
      <c r="D71" s="1186">
        <f>'PL"0"'!F71/1000</f>
        <v>21845.035459999999</v>
      </c>
      <c r="E71" s="1186">
        <f>'PL"0"'!G71/1000</f>
        <v>9606.0287399999943</v>
      </c>
      <c r="F71" s="1197">
        <f>'PL"0"'!H71/1000</f>
        <v>31853.314860000006</v>
      </c>
      <c r="G71" s="1186">
        <f>'PL"0"'!I71/1000</f>
        <v>0</v>
      </c>
      <c r="H71" s="1186">
        <f>'PL"0"'!J71/1000</f>
        <v>0</v>
      </c>
      <c r="I71" s="1186">
        <f>'PL"0"'!K71/1000</f>
        <v>0</v>
      </c>
      <c r="J71" s="1186">
        <f>'PL"0"'!L71/1000</f>
        <v>0</v>
      </c>
      <c r="K71" s="1186">
        <f>'PL"0"'!M71/1000</f>
        <v>0</v>
      </c>
      <c r="L71" s="1186">
        <f>'PL"0"'!N71/1000</f>
        <v>0</v>
      </c>
      <c r="M71" s="1186">
        <f>'PL"0"'!O71/1000</f>
        <v>0</v>
      </c>
      <c r="N71" s="1186">
        <f>'PL"0"'!P71/1000</f>
        <v>0</v>
      </c>
      <c r="O71" s="1186">
        <f>'PL"0"'!Q71/1000</f>
        <v>0</v>
      </c>
      <c r="P71" s="1186">
        <f>'PL"0"'!R71/1000</f>
        <v>0</v>
      </c>
      <c r="Q71" s="1186">
        <f>'PL"0"'!S71/1000</f>
        <v>0</v>
      </c>
      <c r="R71" s="1186">
        <f>'PL"0"'!T71/1000</f>
        <v>0</v>
      </c>
      <c r="S71" s="1186">
        <f>'PL"0"'!U71/1000</f>
        <v>0</v>
      </c>
      <c r="T71" s="1186">
        <f>'PL"0"'!V71/1000</f>
        <v>0</v>
      </c>
      <c r="U71" s="1186">
        <f>'PL"0"'!W71/1000</f>
        <v>0</v>
      </c>
      <c r="V71" s="1186">
        <f>'PL"0"'!X71/1000</f>
        <v>0</v>
      </c>
      <c r="W71" s="1186">
        <f>'PL"0"'!Y71/1000</f>
        <v>0</v>
      </c>
      <c r="X71" s="1186">
        <f>'PL"0"'!Z71/1000</f>
        <v>0</v>
      </c>
      <c r="Y71" s="1186">
        <f>'PL"0"'!AA71/1000</f>
        <v>0</v>
      </c>
      <c r="Z71" s="1186">
        <f>'PL"0"'!AB71/1000</f>
        <v>0</v>
      </c>
      <c r="AA71" s="1197">
        <f>'PL"0"'!AC71/1000</f>
        <v>0</v>
      </c>
      <c r="AB71" s="69">
        <f t="shared" si="27"/>
        <v>0</v>
      </c>
    </row>
    <row r="72" spans="2:28" s="69" customFormat="1">
      <c r="B72" s="348" t="s">
        <v>3122</v>
      </c>
      <c r="C72" s="1186">
        <f>'PL"0"'!E57/1000</f>
        <v>5721.4487399999971</v>
      </c>
      <c r="D72" s="1186">
        <f>'PL"0"'!F57/1000</f>
        <v>3256.8434000000157</v>
      </c>
      <c r="E72" s="1186">
        <f>'PL"0"'!G57/1000</f>
        <v>-21025.499590000003</v>
      </c>
      <c r="F72" s="1197">
        <f>'PL"0"'!H57/1000</f>
        <v>-14794.588939999998</v>
      </c>
      <c r="G72" s="1186">
        <f>'PL"0"'!I57/1000</f>
        <v>-45690.643653960484</v>
      </c>
      <c r="H72" s="1186">
        <f>'PL"0"'!J57/1000</f>
        <v>-46100.602846118527</v>
      </c>
      <c r="I72" s="1186">
        <f>'PL"0"'!K57/1000</f>
        <v>-46249.807466163278</v>
      </c>
      <c r="J72" s="1186">
        <f>'PL"0"'!L57/1000</f>
        <v>-47219.733983127509</v>
      </c>
      <c r="K72" s="1186">
        <f>'PL"0"'!M57/1000</f>
        <v>-48237.993629869401</v>
      </c>
      <c r="L72" s="1186">
        <f>'PL"0"'!N57/1000</f>
        <v>-48995.230476766177</v>
      </c>
      <c r="M72" s="1186">
        <f>'PL"0"'!O57/1000</f>
        <v>-49761.87928366111</v>
      </c>
      <c r="N72" s="1186">
        <f>'PL"0"'!P57/1000</f>
        <v>-50634.966859797198</v>
      </c>
      <c r="O72" s="1186">
        <f>'PL"0"'!Q57/1000</f>
        <v>-51647.223024059458</v>
      </c>
      <c r="P72" s="1186">
        <f>'PL"0"'!R57/1000</f>
        <v>-52675.522574718874</v>
      </c>
      <c r="Q72" s="1186">
        <f>'PL"0"'!S57/1000</f>
        <v>-53728.401633846945</v>
      </c>
      <c r="R72" s="1186">
        <f>'PL"0"'!T57/1000</f>
        <v>-53620.129436629439</v>
      </c>
      <c r="S72" s="1186">
        <f>'PL"0"'!U57/1000</f>
        <v>-53783.693700681404</v>
      </c>
      <c r="T72" s="1186">
        <f>'PL"0"'!V57/1000</f>
        <v>-53949.144704767954</v>
      </c>
      <c r="U72" s="1186">
        <f>'PL"0"'!W57/1000</f>
        <v>-54163.787053261265</v>
      </c>
      <c r="V72" s="1186">
        <f>'PL"0"'!X57/1000</f>
        <v>-54383.075694269843</v>
      </c>
      <c r="W72" s="1186">
        <f>'PL"0"'!Y57/1000</f>
        <v>-54607.114493396308</v>
      </c>
      <c r="X72" s="1186">
        <f>'PL"0"'!Z57/1000</f>
        <v>-54836.009667049118</v>
      </c>
      <c r="Y72" s="1186">
        <f>'PL"0"'!AA57/1000</f>
        <v>-55069.869836295991</v>
      </c>
      <c r="Z72" s="1186">
        <f>'PL"0"'!AB57/1000</f>
        <v>-55308.806081965602</v>
      </c>
      <c r="AA72" s="1197">
        <f>'PL"0"'!AC57/1000</f>
        <v>-55552.932001025991</v>
      </c>
      <c r="AB72" s="69">
        <f t="shared" si="27"/>
        <v>-9862.288347065507</v>
      </c>
    </row>
    <row r="73" spans="2:28" s="69" customFormat="1">
      <c r="B73" s="811" t="s">
        <v>25</v>
      </c>
      <c r="C73" s="1187">
        <f>'PL"0"'!E54/1000</f>
        <v>2378.1376799999975</v>
      </c>
      <c r="D73" s="1187">
        <f>'PL"0"'!F54/1000</f>
        <v>-341.66330999998439</v>
      </c>
      <c r="E73" s="1187">
        <f>'PL"0"'!G54/1000</f>
        <v>-25080.301080000001</v>
      </c>
      <c r="F73" s="1198">
        <f>'PL"0"'!H54/1000</f>
        <v>-19407.468259999998</v>
      </c>
      <c r="G73" s="1187">
        <f>'PL"0"'!I54/1000</f>
        <v>-50654.467114827159</v>
      </c>
      <c r="H73" s="1187">
        <f>'PL"0"'!J54/1000</f>
        <v>-52374.046241634387</v>
      </c>
      <c r="I73" s="1187">
        <f>'PL"0"'!K54/1000</f>
        <v>-54901.469432360602</v>
      </c>
      <c r="J73" s="1187">
        <f>'PL"0"'!L54/1000</f>
        <v>-58251.787298964446</v>
      </c>
      <c r="K73" s="1187">
        <f>'PL"0"'!M54/1000</f>
        <v>-61653.072812749509</v>
      </c>
      <c r="L73" s="1187">
        <f>'PL"0"'!N54/1000</f>
        <v>-64804.899790278076</v>
      </c>
      <c r="M73" s="1187">
        <f>'PL"0"'!O54/1000</f>
        <v>-67892.743050507415</v>
      </c>
      <c r="N73" s="1187">
        <f>'PL"0"'!P54/1000</f>
        <v>-71025.107133106358</v>
      </c>
      <c r="O73" s="1187">
        <f>'PL"0"'!Q54/1000</f>
        <v>-72397.471214230594</v>
      </c>
      <c r="P73" s="1187">
        <f>'PL"0"'!R54/1000</f>
        <v>-71991.962241689776</v>
      </c>
      <c r="Q73" s="1187">
        <f>'PL"0"'!S54/1000</f>
        <v>-73611.333334734736</v>
      </c>
      <c r="R73" s="1187">
        <f>'PL"0"'!T54/1000</f>
        <v>-74115.477865642635</v>
      </c>
      <c r="S73" s="1187">
        <f>'PL"0"'!U54/1000</f>
        <v>-74931.473541422703</v>
      </c>
      <c r="T73" s="1187">
        <f>'PL"0"'!V54/1000</f>
        <v>-75855.702646941179</v>
      </c>
      <c r="U73" s="1187">
        <f>'PL"0"'!W54/1000</f>
        <v>-76927.638532693687</v>
      </c>
      <c r="V73" s="1187">
        <f>'PL"0"'!X54/1000</f>
        <v>-78021.36658170665</v>
      </c>
      <c r="W73" s="1187">
        <f>'PL"0"'!Y54/1000</f>
        <v>-78513.349636997576</v>
      </c>
      <c r="X73" s="1187">
        <f>'PL"0"'!Z54/1000</f>
        <v>-78722.78235073814</v>
      </c>
      <c r="Y73" s="1187">
        <f>'PL"0"'!AA54/1000</f>
        <v>-79884.604615274526</v>
      </c>
      <c r="Z73" s="1187">
        <f>'PL"0"'!AB54/1000</f>
        <v>-81070.062198139436</v>
      </c>
      <c r="AA73" s="1198">
        <f>'PL"0"'!AC54/1000</f>
        <v>-82279.639881139025</v>
      </c>
      <c r="AB73" s="69">
        <f t="shared" si="27"/>
        <v>-31625.172766311865</v>
      </c>
    </row>
    <row r="74" spans="2:28" s="69" customFormat="1">
      <c r="AA74" s="813"/>
    </row>
    <row r="94" spans="2:29" s="69" customFormat="1"/>
    <row r="95" spans="2:29" s="868" customFormat="1" hidden="1">
      <c r="B95" s="933" t="s">
        <v>3129</v>
      </c>
      <c r="AA95" s="950"/>
      <c r="AC95" s="69"/>
    </row>
    <row r="96" spans="2:29" s="868" customFormat="1" hidden="1">
      <c r="B96" s="934" t="s">
        <v>23</v>
      </c>
      <c r="C96" s="935">
        <v>43465</v>
      </c>
      <c r="D96" s="935">
        <f t="shared" ref="D96:AA96" si="28">EOMONTH(C96,12)</f>
        <v>43830</v>
      </c>
      <c r="E96" s="935">
        <f t="shared" si="28"/>
        <v>44196</v>
      </c>
      <c r="F96" s="951">
        <f t="shared" si="28"/>
        <v>44561</v>
      </c>
      <c r="G96" s="935">
        <f t="shared" si="28"/>
        <v>44926</v>
      </c>
      <c r="H96" s="935">
        <f t="shared" si="28"/>
        <v>45291</v>
      </c>
      <c r="I96" s="935">
        <f t="shared" si="28"/>
        <v>45657</v>
      </c>
      <c r="J96" s="935">
        <f t="shared" si="28"/>
        <v>46022</v>
      </c>
      <c r="K96" s="935">
        <f t="shared" si="28"/>
        <v>46387</v>
      </c>
      <c r="L96" s="935">
        <f t="shared" si="28"/>
        <v>46752</v>
      </c>
      <c r="M96" s="935">
        <f t="shared" si="28"/>
        <v>47118</v>
      </c>
      <c r="N96" s="935">
        <f t="shared" si="28"/>
        <v>47483</v>
      </c>
      <c r="O96" s="935">
        <f t="shared" si="28"/>
        <v>47848</v>
      </c>
      <c r="P96" s="935">
        <f t="shared" si="28"/>
        <v>48213</v>
      </c>
      <c r="Q96" s="935">
        <f t="shared" si="28"/>
        <v>48579</v>
      </c>
      <c r="R96" s="935">
        <f t="shared" si="28"/>
        <v>48944</v>
      </c>
      <c r="S96" s="935">
        <f t="shared" si="28"/>
        <v>49309</v>
      </c>
      <c r="T96" s="935">
        <f t="shared" si="28"/>
        <v>49674</v>
      </c>
      <c r="U96" s="935">
        <f t="shared" si="28"/>
        <v>50040</v>
      </c>
      <c r="V96" s="935">
        <f t="shared" si="28"/>
        <v>50405</v>
      </c>
      <c r="W96" s="935">
        <f t="shared" si="28"/>
        <v>50770</v>
      </c>
      <c r="X96" s="935">
        <f t="shared" si="28"/>
        <v>51135</v>
      </c>
      <c r="Y96" s="935">
        <f t="shared" si="28"/>
        <v>51501</v>
      </c>
      <c r="Z96" s="935">
        <f t="shared" si="28"/>
        <v>51866</v>
      </c>
      <c r="AA96" s="951">
        <f t="shared" si="28"/>
        <v>52231</v>
      </c>
      <c r="AC96" s="69"/>
    </row>
    <row r="97" spans="2:29" s="868" customFormat="1" hidden="1">
      <c r="B97" s="936" t="s">
        <v>3114</v>
      </c>
      <c r="C97" s="937" t="e">
        <f>#REF!/1000-C98</f>
        <v>#REF!</v>
      </c>
      <c r="D97" s="937" t="e">
        <f>#REF!/1000-D98</f>
        <v>#REF!</v>
      </c>
      <c r="E97" s="937" t="e">
        <f>#REF!/1000-E98</f>
        <v>#REF!</v>
      </c>
      <c r="F97" s="952" t="e">
        <f>#REF!/1000-F98</f>
        <v>#REF!</v>
      </c>
      <c r="G97" s="937" t="e">
        <f>#REF!/1000-G98</f>
        <v>#REF!</v>
      </c>
      <c r="H97" s="937" t="e">
        <f>#REF!/1000-H98</f>
        <v>#REF!</v>
      </c>
      <c r="I97" s="937" t="e">
        <f>#REF!/1000-I98</f>
        <v>#REF!</v>
      </c>
      <c r="J97" s="937" t="e">
        <f>#REF!/1000-J98</f>
        <v>#REF!</v>
      </c>
      <c r="K97" s="937" t="e">
        <f>#REF!/1000-K98</f>
        <v>#REF!</v>
      </c>
      <c r="L97" s="937" t="e">
        <f>#REF!/1000-L98</f>
        <v>#REF!</v>
      </c>
      <c r="M97" s="937" t="e">
        <f>#REF!/1000-M98</f>
        <v>#REF!</v>
      </c>
      <c r="N97" s="937" t="e">
        <f>#REF!/1000-N98</f>
        <v>#REF!</v>
      </c>
      <c r="O97" s="937" t="e">
        <f>#REF!/1000-O98</f>
        <v>#REF!</v>
      </c>
      <c r="P97" s="937" t="e">
        <f>#REF!/1000-P98</f>
        <v>#REF!</v>
      </c>
      <c r="Q97" s="937" t="e">
        <f>#REF!/1000-Q98</f>
        <v>#REF!</v>
      </c>
      <c r="R97" s="937" t="e">
        <f>#REF!/1000-R98</f>
        <v>#REF!</v>
      </c>
      <c r="S97" s="937" t="e">
        <f>#REF!/1000-S98</f>
        <v>#REF!</v>
      </c>
      <c r="T97" s="937" t="e">
        <f>#REF!/1000-T98</f>
        <v>#REF!</v>
      </c>
      <c r="U97" s="937" t="e">
        <f>#REF!/1000-U98</f>
        <v>#REF!</v>
      </c>
      <c r="V97" s="937" t="e">
        <f>#REF!/1000-V98</f>
        <v>#REF!</v>
      </c>
      <c r="W97" s="937" t="e">
        <f>#REF!/1000-W98</f>
        <v>#REF!</v>
      </c>
      <c r="X97" s="937" t="e">
        <f>#REF!/1000-X98</f>
        <v>#REF!</v>
      </c>
      <c r="Y97" s="937" t="e">
        <f>#REF!/1000-Y98</f>
        <v>#REF!</v>
      </c>
      <c r="Z97" s="937" t="e">
        <f>#REF!/1000-Z98</f>
        <v>#REF!</v>
      </c>
      <c r="AA97" s="952" t="e">
        <f>#REF!/1000-AA98</f>
        <v>#REF!</v>
      </c>
      <c r="AC97" s="69"/>
    </row>
    <row r="98" spans="2:29" s="868" customFormat="1" hidden="1">
      <c r="B98" s="938" t="s">
        <v>3115</v>
      </c>
      <c r="C98" s="939" t="e">
        <f>#REF!/1000</f>
        <v>#REF!</v>
      </c>
      <c r="D98" s="939" t="e">
        <f>#REF!/1000</f>
        <v>#REF!</v>
      </c>
      <c r="E98" s="939" t="e">
        <f>#REF!/1000</f>
        <v>#REF!</v>
      </c>
      <c r="F98" s="953" t="e">
        <f>#REF!/1000</f>
        <v>#REF!</v>
      </c>
      <c r="G98" s="939" t="e">
        <f>#REF!/1000</f>
        <v>#REF!</v>
      </c>
      <c r="H98" s="939" t="e">
        <f>#REF!/1000</f>
        <v>#REF!</v>
      </c>
      <c r="I98" s="939" t="e">
        <f>#REF!/1000</f>
        <v>#REF!</v>
      </c>
      <c r="J98" s="939" t="e">
        <f>#REF!/1000</f>
        <v>#REF!</v>
      </c>
      <c r="K98" s="939" t="e">
        <f>#REF!/1000</f>
        <v>#REF!</v>
      </c>
      <c r="L98" s="939" t="e">
        <f>#REF!/1000</f>
        <v>#REF!</v>
      </c>
      <c r="M98" s="939" t="e">
        <f>#REF!/1000</f>
        <v>#REF!</v>
      </c>
      <c r="N98" s="939" t="e">
        <f>#REF!/1000</f>
        <v>#REF!</v>
      </c>
      <c r="O98" s="939" t="e">
        <f>#REF!/1000</f>
        <v>#REF!</v>
      </c>
      <c r="P98" s="939" t="e">
        <f>#REF!/1000</f>
        <v>#REF!</v>
      </c>
      <c r="Q98" s="939" t="e">
        <f>#REF!/1000</f>
        <v>#REF!</v>
      </c>
      <c r="R98" s="939" t="e">
        <f>#REF!/1000</f>
        <v>#REF!</v>
      </c>
      <c r="S98" s="939" t="e">
        <f>#REF!/1000</f>
        <v>#REF!</v>
      </c>
      <c r="T98" s="939" t="e">
        <f>#REF!/1000</f>
        <v>#REF!</v>
      </c>
      <c r="U98" s="939" t="e">
        <f>#REF!/1000</f>
        <v>#REF!</v>
      </c>
      <c r="V98" s="939" t="e">
        <f>#REF!/1000</f>
        <v>#REF!</v>
      </c>
      <c r="W98" s="939" t="e">
        <f>#REF!/1000</f>
        <v>#REF!</v>
      </c>
      <c r="X98" s="939" t="e">
        <f>#REF!/1000</f>
        <v>#REF!</v>
      </c>
      <c r="Y98" s="939" t="e">
        <f>#REF!/1000</f>
        <v>#REF!</v>
      </c>
      <c r="Z98" s="939" t="e">
        <f>#REF!/1000</f>
        <v>#REF!</v>
      </c>
      <c r="AA98" s="953" t="e">
        <f>#REF!/1000</f>
        <v>#REF!</v>
      </c>
      <c r="AC98" s="69"/>
    </row>
    <row r="99" spans="2:29" s="868" customFormat="1" hidden="1">
      <c r="B99" s="938" t="s">
        <v>3112</v>
      </c>
      <c r="C99" s="939" t="e">
        <f>#REF!/1000</f>
        <v>#REF!</v>
      </c>
      <c r="D99" s="939" t="e">
        <f>#REF!/1000</f>
        <v>#REF!</v>
      </c>
      <c r="E99" s="939" t="e">
        <f>#REF!/1000</f>
        <v>#REF!</v>
      </c>
      <c r="F99" s="953" t="e">
        <f>#REF!/1000</f>
        <v>#REF!</v>
      </c>
      <c r="G99" s="939" t="e">
        <f>#REF!/1000</f>
        <v>#REF!</v>
      </c>
      <c r="H99" s="939" t="e">
        <f>#REF!/1000</f>
        <v>#REF!</v>
      </c>
      <c r="I99" s="939" t="e">
        <f>#REF!/1000</f>
        <v>#REF!</v>
      </c>
      <c r="J99" s="939" t="e">
        <f>#REF!/1000</f>
        <v>#REF!</v>
      </c>
      <c r="K99" s="939" t="e">
        <f>#REF!/1000</f>
        <v>#REF!</v>
      </c>
      <c r="L99" s="939" t="e">
        <f>#REF!/1000</f>
        <v>#REF!</v>
      </c>
      <c r="M99" s="939" t="e">
        <f>#REF!/1000</f>
        <v>#REF!</v>
      </c>
      <c r="N99" s="939" t="e">
        <f>#REF!/1000</f>
        <v>#REF!</v>
      </c>
      <c r="O99" s="939" t="e">
        <f>#REF!/1000</f>
        <v>#REF!</v>
      </c>
      <c r="P99" s="939" t="e">
        <f>#REF!/1000</f>
        <v>#REF!</v>
      </c>
      <c r="Q99" s="939" t="e">
        <f>#REF!/1000</f>
        <v>#REF!</v>
      </c>
      <c r="R99" s="939" t="e">
        <f>#REF!/1000</f>
        <v>#REF!</v>
      </c>
      <c r="S99" s="939" t="e">
        <f>#REF!/1000</f>
        <v>#REF!</v>
      </c>
      <c r="T99" s="939" t="e">
        <f>#REF!/1000</f>
        <v>#REF!</v>
      </c>
      <c r="U99" s="939" t="e">
        <f>#REF!/1000</f>
        <v>#REF!</v>
      </c>
      <c r="V99" s="939" t="e">
        <f>#REF!/1000</f>
        <v>#REF!</v>
      </c>
      <c r="W99" s="939" t="e">
        <f>#REF!/1000</f>
        <v>#REF!</v>
      </c>
      <c r="X99" s="939" t="e">
        <f>#REF!/1000</f>
        <v>#REF!</v>
      </c>
      <c r="Y99" s="939" t="e">
        <f>#REF!/1000</f>
        <v>#REF!</v>
      </c>
      <c r="Z99" s="939" t="e">
        <f>#REF!/1000</f>
        <v>#REF!</v>
      </c>
      <c r="AA99" s="953" t="e">
        <f>#REF!/1000</f>
        <v>#REF!</v>
      </c>
      <c r="AC99" s="69"/>
    </row>
    <row r="100" spans="2:29" s="868" customFormat="1" hidden="1">
      <c r="B100" s="940" t="s">
        <v>27</v>
      </c>
      <c r="C100" s="941" t="e">
        <f>#REF!/1000</f>
        <v>#REF!</v>
      </c>
      <c r="D100" s="941" t="e">
        <f>#REF!/1000</f>
        <v>#REF!</v>
      </c>
      <c r="E100" s="941" t="e">
        <f>#REF!/1000</f>
        <v>#REF!</v>
      </c>
      <c r="F100" s="954" t="e">
        <f>#REF!/1000</f>
        <v>#REF!</v>
      </c>
      <c r="G100" s="941" t="e">
        <f>#REF!/1000</f>
        <v>#REF!</v>
      </c>
      <c r="H100" s="941" t="e">
        <f>#REF!/1000</f>
        <v>#REF!</v>
      </c>
      <c r="I100" s="941" t="e">
        <f>#REF!/1000</f>
        <v>#REF!</v>
      </c>
      <c r="J100" s="941" t="e">
        <f>#REF!/1000</f>
        <v>#REF!</v>
      </c>
      <c r="K100" s="941" t="e">
        <f>#REF!/1000</f>
        <v>#REF!</v>
      </c>
      <c r="L100" s="941" t="e">
        <f>#REF!/1000</f>
        <v>#REF!</v>
      </c>
      <c r="M100" s="941" t="e">
        <f>#REF!/1000</f>
        <v>#REF!</v>
      </c>
      <c r="N100" s="941" t="e">
        <f>#REF!/1000</f>
        <v>#REF!</v>
      </c>
      <c r="O100" s="941" t="e">
        <f>#REF!/1000</f>
        <v>#REF!</v>
      </c>
      <c r="P100" s="941" t="e">
        <f>#REF!/1000</f>
        <v>#REF!</v>
      </c>
      <c r="Q100" s="941" t="e">
        <f>#REF!/1000</f>
        <v>#REF!</v>
      </c>
      <c r="R100" s="941" t="e">
        <f>#REF!/1000</f>
        <v>#REF!</v>
      </c>
      <c r="S100" s="941" t="e">
        <f>#REF!/1000</f>
        <v>#REF!</v>
      </c>
      <c r="T100" s="941" t="e">
        <f>#REF!/1000</f>
        <v>#REF!</v>
      </c>
      <c r="U100" s="941" t="e">
        <f>#REF!/1000</f>
        <v>#REF!</v>
      </c>
      <c r="V100" s="941" t="e">
        <f>#REF!/1000</f>
        <v>#REF!</v>
      </c>
      <c r="W100" s="941" t="e">
        <f>#REF!/1000</f>
        <v>#REF!</v>
      </c>
      <c r="X100" s="941" t="e">
        <f>#REF!/1000</f>
        <v>#REF!</v>
      </c>
      <c r="Y100" s="941" t="e">
        <f>#REF!/1000</f>
        <v>#REF!</v>
      </c>
      <c r="Z100" s="941" t="e">
        <f>#REF!/1000</f>
        <v>#REF!</v>
      </c>
      <c r="AA100" s="954" t="e">
        <f>#REF!/1000</f>
        <v>#REF!</v>
      </c>
      <c r="AC100" s="69"/>
    </row>
    <row r="101" spans="2:29" s="868" customFormat="1" hidden="1">
      <c r="B101" s="940" t="s">
        <v>12</v>
      </c>
      <c r="C101" s="941" t="e">
        <f>#REF!/1000</f>
        <v>#REF!</v>
      </c>
      <c r="D101" s="941" t="e">
        <f>#REF!/1000</f>
        <v>#REF!</v>
      </c>
      <c r="E101" s="941" t="e">
        <f>#REF!/1000</f>
        <v>#REF!</v>
      </c>
      <c r="F101" s="954" t="e">
        <f>#REF!/1000</f>
        <v>#REF!</v>
      </c>
      <c r="G101" s="941" t="e">
        <f>#REF!/1000</f>
        <v>#REF!</v>
      </c>
      <c r="H101" s="941" t="e">
        <f>#REF!/1000</f>
        <v>#REF!</v>
      </c>
      <c r="I101" s="941" t="e">
        <f>#REF!/1000</f>
        <v>#REF!</v>
      </c>
      <c r="J101" s="941" t="e">
        <f>#REF!/1000</f>
        <v>#REF!</v>
      </c>
      <c r="K101" s="941" t="e">
        <f>#REF!/1000</f>
        <v>#REF!</v>
      </c>
      <c r="L101" s="941" t="e">
        <f>#REF!/1000</f>
        <v>#REF!</v>
      </c>
      <c r="M101" s="941" t="e">
        <f>#REF!/1000</f>
        <v>#REF!</v>
      </c>
      <c r="N101" s="941" t="e">
        <f>#REF!/1000</f>
        <v>#REF!</v>
      </c>
      <c r="O101" s="941" t="e">
        <f>#REF!/1000</f>
        <v>#REF!</v>
      </c>
      <c r="P101" s="941" t="e">
        <f>#REF!/1000</f>
        <v>#REF!</v>
      </c>
      <c r="Q101" s="941" t="e">
        <f>#REF!/1000</f>
        <v>#REF!</v>
      </c>
      <c r="R101" s="941" t="e">
        <f>#REF!/1000</f>
        <v>#REF!</v>
      </c>
      <c r="S101" s="941" t="e">
        <f>#REF!/1000</f>
        <v>#REF!</v>
      </c>
      <c r="T101" s="941" t="e">
        <f>#REF!/1000</f>
        <v>#REF!</v>
      </c>
      <c r="U101" s="941" t="e">
        <f>#REF!/1000</f>
        <v>#REF!</v>
      </c>
      <c r="V101" s="941" t="e">
        <f>#REF!/1000</f>
        <v>#REF!</v>
      </c>
      <c r="W101" s="941" t="e">
        <f>#REF!/1000</f>
        <v>#REF!</v>
      </c>
      <c r="X101" s="941" t="e">
        <f>#REF!/1000</f>
        <v>#REF!</v>
      </c>
      <c r="Y101" s="941" t="e">
        <f>#REF!/1000</f>
        <v>#REF!</v>
      </c>
      <c r="Z101" s="941" t="e">
        <f>#REF!/1000</f>
        <v>#REF!</v>
      </c>
      <c r="AA101" s="954" t="e">
        <f>#REF!/1000</f>
        <v>#REF!</v>
      </c>
      <c r="AB101" s="868" t="e">
        <f>SUM(G101:AA101)</f>
        <v>#REF!</v>
      </c>
      <c r="AC101" s="69"/>
    </row>
    <row r="102" spans="2:29" s="868" customFormat="1" hidden="1">
      <c r="B102" s="940" t="s">
        <v>28</v>
      </c>
      <c r="C102" s="941" t="e">
        <f>SUM(#REF!,#REF!)/1000-C101</f>
        <v>#REF!</v>
      </c>
      <c r="D102" s="941" t="e">
        <f>SUM(#REF!,#REF!)/1000-D101</f>
        <v>#REF!</v>
      </c>
      <c r="E102" s="941" t="e">
        <f>SUM(#REF!,#REF!)/1000-E101</f>
        <v>#REF!</v>
      </c>
      <c r="F102" s="954" t="e">
        <f>SUM(#REF!,#REF!)/1000-F101</f>
        <v>#REF!</v>
      </c>
      <c r="G102" s="941" t="e">
        <f>SUM(#REF!,#REF!)/1000-G101</f>
        <v>#REF!</v>
      </c>
      <c r="H102" s="941" t="e">
        <f>SUM(#REF!,#REF!)/1000-H101</f>
        <v>#REF!</v>
      </c>
      <c r="I102" s="941" t="e">
        <f>SUM(#REF!,#REF!)/1000-I101</f>
        <v>#REF!</v>
      </c>
      <c r="J102" s="941" t="e">
        <f>SUM(#REF!,#REF!)/1000-J101</f>
        <v>#REF!</v>
      </c>
      <c r="K102" s="941" t="e">
        <f>SUM(#REF!,#REF!)/1000-K101</f>
        <v>#REF!</v>
      </c>
      <c r="L102" s="941" t="e">
        <f>SUM(#REF!,#REF!)/1000-L101</f>
        <v>#REF!</v>
      </c>
      <c r="M102" s="941" t="e">
        <f>SUM(#REF!,#REF!)/1000-M101</f>
        <v>#REF!</v>
      </c>
      <c r="N102" s="941" t="e">
        <f>SUM(#REF!,#REF!)/1000-N101</f>
        <v>#REF!</v>
      </c>
      <c r="O102" s="941" t="e">
        <f>SUM(#REF!,#REF!)/1000-O101</f>
        <v>#REF!</v>
      </c>
      <c r="P102" s="941" t="e">
        <f>SUM(#REF!,#REF!)/1000-P101</f>
        <v>#REF!</v>
      </c>
      <c r="Q102" s="941" t="e">
        <f>SUM(#REF!,#REF!)/1000-Q101</f>
        <v>#REF!</v>
      </c>
      <c r="R102" s="941" t="e">
        <f>SUM(#REF!,#REF!)/1000-R101</f>
        <v>#REF!</v>
      </c>
      <c r="S102" s="941" t="e">
        <f>SUM(#REF!,#REF!)/1000-S101</f>
        <v>#REF!</v>
      </c>
      <c r="T102" s="941" t="e">
        <f>SUM(#REF!,#REF!)/1000-T101</f>
        <v>#REF!</v>
      </c>
      <c r="U102" s="941" t="e">
        <f>SUM(#REF!,#REF!)/1000-U101</f>
        <v>#REF!</v>
      </c>
      <c r="V102" s="941" t="e">
        <f>SUM(#REF!,#REF!)/1000-V101</f>
        <v>#REF!</v>
      </c>
      <c r="W102" s="941" t="e">
        <f>SUM(#REF!,#REF!)/1000-W101</f>
        <v>#REF!</v>
      </c>
      <c r="X102" s="941" t="e">
        <f>SUM(#REF!,#REF!)/1000-X101</f>
        <v>#REF!</v>
      </c>
      <c r="Y102" s="941" t="e">
        <f>SUM(#REF!,#REF!)/1000-Y101</f>
        <v>#REF!</v>
      </c>
      <c r="Z102" s="941" t="e">
        <f>SUM(#REF!,#REF!)/1000-Z101</f>
        <v>#REF!</v>
      </c>
      <c r="AA102" s="954" t="e">
        <f>SUM(#REF!,#REF!)/1000-AA101</f>
        <v>#REF!</v>
      </c>
      <c r="AC102" s="69"/>
    </row>
    <row r="103" spans="2:29" s="868" customFormat="1" hidden="1">
      <c r="B103" s="942" t="s">
        <v>3113</v>
      </c>
      <c r="C103" s="943" t="e">
        <f>#REF!/1000-SUM(C97:C102)</f>
        <v>#REF!</v>
      </c>
      <c r="D103" s="943" t="e">
        <f>#REF!/1000-SUM(D97:D102)</f>
        <v>#REF!</v>
      </c>
      <c r="E103" s="943" t="e">
        <f>#REF!/1000-SUM(E97:E102)</f>
        <v>#REF!</v>
      </c>
      <c r="F103" s="955" t="e">
        <f>#REF!/1000-SUM(F97:F102)</f>
        <v>#REF!</v>
      </c>
      <c r="G103" s="943" t="e">
        <f>#REF!/1000-SUM(G97:G102)+#REF!/1000</f>
        <v>#REF!</v>
      </c>
      <c r="H103" s="943" t="e">
        <f>#REF!/1000-SUM(H97:H102)+#REF!/1000</f>
        <v>#REF!</v>
      </c>
      <c r="I103" s="943" t="e">
        <f>#REF!/1000-SUM(I97:I102)+#REF!/1000</f>
        <v>#REF!</v>
      </c>
      <c r="J103" s="943" t="e">
        <f>#REF!/1000-SUM(J97:J102)+#REF!/1000</f>
        <v>#REF!</v>
      </c>
      <c r="K103" s="943" t="e">
        <f>#REF!/1000-SUM(K97:K102)+#REF!/1000</f>
        <v>#REF!</v>
      </c>
      <c r="L103" s="943" t="e">
        <f>#REF!/1000-SUM(L97:L102)+#REF!/1000</f>
        <v>#REF!</v>
      </c>
      <c r="M103" s="943" t="e">
        <f>#REF!/1000-SUM(M97:M102)+#REF!/1000</f>
        <v>#REF!</v>
      </c>
      <c r="N103" s="943" t="e">
        <f>#REF!/1000-SUM(N97:N102)+#REF!/1000</f>
        <v>#REF!</v>
      </c>
      <c r="O103" s="943" t="e">
        <f>#REF!/1000-SUM(O97:O102)+#REF!/1000</f>
        <v>#REF!</v>
      </c>
      <c r="P103" s="943" t="e">
        <f>#REF!/1000-SUM(P97:P102)+#REF!/1000</f>
        <v>#REF!</v>
      </c>
      <c r="Q103" s="943" t="e">
        <f>#REF!/1000-SUM(Q97:Q102)+#REF!/1000</f>
        <v>#REF!</v>
      </c>
      <c r="R103" s="943" t="e">
        <f>#REF!/1000-SUM(R97:R102)+#REF!/1000</f>
        <v>#REF!</v>
      </c>
      <c r="S103" s="943" t="e">
        <f>#REF!/1000-SUM(S97:S102)+#REF!/1000</f>
        <v>#REF!</v>
      </c>
      <c r="T103" s="943" t="e">
        <f>#REF!/1000-SUM(T97:T102)+#REF!/1000</f>
        <v>#REF!</v>
      </c>
      <c r="U103" s="943" t="e">
        <f>#REF!/1000-SUM(U97:U102)+#REF!/1000</f>
        <v>#REF!</v>
      </c>
      <c r="V103" s="943" t="e">
        <f>#REF!/1000-SUM(V97:V102)+#REF!/1000</f>
        <v>#REF!</v>
      </c>
      <c r="W103" s="943" t="e">
        <f>#REF!/1000-SUM(W97:W102)+#REF!/1000</f>
        <v>#REF!</v>
      </c>
      <c r="X103" s="943" t="e">
        <f>#REF!/1000-SUM(X97:X102)+#REF!/1000</f>
        <v>#REF!</v>
      </c>
      <c r="Y103" s="943" t="e">
        <f>#REF!/1000-SUM(Y97:Y102)+#REF!/1000</f>
        <v>#REF!</v>
      </c>
      <c r="Z103" s="943" t="e">
        <f>#REF!/1000-SUM(Z97:Z102)+#REF!/1000</f>
        <v>#REF!</v>
      </c>
      <c r="AA103" s="955" t="e">
        <f>#REF!/1000-SUM(AA97:AA102)+#REF!/1000</f>
        <v>#REF!</v>
      </c>
      <c r="AC103" s="69"/>
    </row>
    <row r="104" spans="2:29" s="868" customFormat="1" hidden="1">
      <c r="B104" s="944" t="s">
        <v>3116</v>
      </c>
      <c r="C104" s="870" t="e">
        <f t="shared" ref="C104:AA104" si="29">SUM(C97:C103)</f>
        <v>#REF!</v>
      </c>
      <c r="D104" s="870" t="e">
        <f t="shared" si="29"/>
        <v>#REF!</v>
      </c>
      <c r="E104" s="870" t="e">
        <f t="shared" si="29"/>
        <v>#REF!</v>
      </c>
      <c r="F104" s="956" t="e">
        <f t="shared" si="29"/>
        <v>#REF!</v>
      </c>
      <c r="G104" s="870" t="e">
        <f t="shared" si="29"/>
        <v>#REF!</v>
      </c>
      <c r="H104" s="870" t="e">
        <f t="shared" si="29"/>
        <v>#REF!</v>
      </c>
      <c r="I104" s="870" t="e">
        <f t="shared" si="29"/>
        <v>#REF!</v>
      </c>
      <c r="J104" s="870" t="e">
        <f t="shared" si="29"/>
        <v>#REF!</v>
      </c>
      <c r="K104" s="870" t="e">
        <f t="shared" si="29"/>
        <v>#REF!</v>
      </c>
      <c r="L104" s="870" t="e">
        <f t="shared" si="29"/>
        <v>#REF!</v>
      </c>
      <c r="M104" s="870" t="e">
        <f t="shared" si="29"/>
        <v>#REF!</v>
      </c>
      <c r="N104" s="870" t="e">
        <f t="shared" si="29"/>
        <v>#REF!</v>
      </c>
      <c r="O104" s="870" t="e">
        <f t="shared" si="29"/>
        <v>#REF!</v>
      </c>
      <c r="P104" s="870" t="e">
        <f t="shared" si="29"/>
        <v>#REF!</v>
      </c>
      <c r="Q104" s="870" t="e">
        <f t="shared" si="29"/>
        <v>#REF!</v>
      </c>
      <c r="R104" s="870" t="e">
        <f t="shared" si="29"/>
        <v>#REF!</v>
      </c>
      <c r="S104" s="870" t="e">
        <f t="shared" si="29"/>
        <v>#REF!</v>
      </c>
      <c r="T104" s="870" t="e">
        <f t="shared" si="29"/>
        <v>#REF!</v>
      </c>
      <c r="U104" s="870" t="e">
        <f t="shared" si="29"/>
        <v>#REF!</v>
      </c>
      <c r="V104" s="870" t="e">
        <f t="shared" si="29"/>
        <v>#REF!</v>
      </c>
      <c r="W104" s="870" t="e">
        <f t="shared" si="29"/>
        <v>#REF!</v>
      </c>
      <c r="X104" s="870" t="e">
        <f t="shared" si="29"/>
        <v>#REF!</v>
      </c>
      <c r="Y104" s="870" t="e">
        <f t="shared" si="29"/>
        <v>#REF!</v>
      </c>
      <c r="Z104" s="870" t="e">
        <f t="shared" si="29"/>
        <v>#REF!</v>
      </c>
      <c r="AA104" s="956" t="e">
        <f t="shared" si="29"/>
        <v>#REF!</v>
      </c>
      <c r="AB104" s="868" t="e">
        <f>SUM(G104:AA104)</f>
        <v>#REF!</v>
      </c>
      <c r="AC104" s="69"/>
    </row>
    <row r="105" spans="2:29" s="868" customFormat="1" hidden="1">
      <c r="AA105" s="950"/>
      <c r="AC105" s="69"/>
    </row>
    <row r="106" spans="2:29" s="868" customFormat="1" hidden="1">
      <c r="B106" s="945" t="s">
        <v>3111</v>
      </c>
      <c r="C106" s="946">
        <f t="shared" ref="C106:AA106" si="30">C96</f>
        <v>43465</v>
      </c>
      <c r="D106" s="946">
        <f t="shared" si="30"/>
        <v>43830</v>
      </c>
      <c r="E106" s="946">
        <f t="shared" si="30"/>
        <v>44196</v>
      </c>
      <c r="F106" s="957">
        <f t="shared" si="30"/>
        <v>44561</v>
      </c>
      <c r="G106" s="946">
        <f t="shared" si="30"/>
        <v>44926</v>
      </c>
      <c r="H106" s="946">
        <f t="shared" si="30"/>
        <v>45291</v>
      </c>
      <c r="I106" s="946">
        <f t="shared" si="30"/>
        <v>45657</v>
      </c>
      <c r="J106" s="946">
        <f t="shared" si="30"/>
        <v>46022</v>
      </c>
      <c r="K106" s="946">
        <f t="shared" si="30"/>
        <v>46387</v>
      </c>
      <c r="L106" s="946">
        <f t="shared" si="30"/>
        <v>46752</v>
      </c>
      <c r="M106" s="946">
        <f t="shared" si="30"/>
        <v>47118</v>
      </c>
      <c r="N106" s="946">
        <f t="shared" si="30"/>
        <v>47483</v>
      </c>
      <c r="O106" s="946">
        <f t="shared" si="30"/>
        <v>47848</v>
      </c>
      <c r="P106" s="946">
        <f t="shared" si="30"/>
        <v>48213</v>
      </c>
      <c r="Q106" s="946">
        <f t="shared" si="30"/>
        <v>48579</v>
      </c>
      <c r="R106" s="946">
        <f t="shared" si="30"/>
        <v>48944</v>
      </c>
      <c r="S106" s="946">
        <f t="shared" si="30"/>
        <v>49309</v>
      </c>
      <c r="T106" s="946">
        <f t="shared" si="30"/>
        <v>49674</v>
      </c>
      <c r="U106" s="946">
        <f t="shared" si="30"/>
        <v>50040</v>
      </c>
      <c r="V106" s="946">
        <f t="shared" si="30"/>
        <v>50405</v>
      </c>
      <c r="W106" s="946">
        <f t="shared" si="30"/>
        <v>50770</v>
      </c>
      <c r="X106" s="946">
        <f t="shared" si="30"/>
        <v>51135</v>
      </c>
      <c r="Y106" s="946">
        <f t="shared" si="30"/>
        <v>51501</v>
      </c>
      <c r="Z106" s="946">
        <f t="shared" si="30"/>
        <v>51866</v>
      </c>
      <c r="AA106" s="957">
        <f t="shared" si="30"/>
        <v>52231</v>
      </c>
      <c r="AC106" s="69"/>
    </row>
    <row r="107" spans="2:29" s="868" customFormat="1" hidden="1">
      <c r="B107" s="958" t="s">
        <v>3117</v>
      </c>
      <c r="C107" s="947" t="e">
        <f>#REF!/1000</f>
        <v>#REF!</v>
      </c>
      <c r="D107" s="947" t="e">
        <f>#REF!/1000</f>
        <v>#REF!</v>
      </c>
      <c r="E107" s="947" t="e">
        <f>#REF!/1000</f>
        <v>#REF!</v>
      </c>
      <c r="F107" s="959" t="e">
        <f>#REF!/1000</f>
        <v>#REF!</v>
      </c>
      <c r="G107" s="947" t="e">
        <f>#REF!/1000</f>
        <v>#REF!</v>
      </c>
      <c r="H107" s="947" t="e">
        <f>#REF!/1000</f>
        <v>#REF!</v>
      </c>
      <c r="I107" s="947" t="e">
        <f>#REF!/1000</f>
        <v>#REF!</v>
      </c>
      <c r="J107" s="947" t="e">
        <f>#REF!/1000</f>
        <v>#REF!</v>
      </c>
      <c r="K107" s="947" t="e">
        <f>#REF!/1000</f>
        <v>#REF!</v>
      </c>
      <c r="L107" s="947" t="e">
        <f>#REF!/1000</f>
        <v>#REF!</v>
      </c>
      <c r="M107" s="947" t="e">
        <f>#REF!/1000</f>
        <v>#REF!</v>
      </c>
      <c r="N107" s="947" t="e">
        <f>#REF!/1000</f>
        <v>#REF!</v>
      </c>
      <c r="O107" s="947" t="e">
        <f>#REF!/1000</f>
        <v>#REF!</v>
      </c>
      <c r="P107" s="947" t="e">
        <f>#REF!/1000</f>
        <v>#REF!</v>
      </c>
      <c r="Q107" s="947" t="e">
        <f>#REF!/1000</f>
        <v>#REF!</v>
      </c>
      <c r="R107" s="947" t="e">
        <f>#REF!/1000</f>
        <v>#REF!</v>
      </c>
      <c r="S107" s="947" t="e">
        <f>#REF!/1000</f>
        <v>#REF!</v>
      </c>
      <c r="T107" s="947" t="e">
        <f>#REF!/1000</f>
        <v>#REF!</v>
      </c>
      <c r="U107" s="947" t="e">
        <f>#REF!/1000</f>
        <v>#REF!</v>
      </c>
      <c r="V107" s="947" t="e">
        <f>#REF!/1000</f>
        <v>#REF!</v>
      </c>
      <c r="W107" s="947" t="e">
        <f>#REF!/1000</f>
        <v>#REF!</v>
      </c>
      <c r="X107" s="947" t="e">
        <f>#REF!/1000</f>
        <v>#REF!</v>
      </c>
      <c r="Y107" s="947" t="e">
        <f>#REF!/1000</f>
        <v>#REF!</v>
      </c>
      <c r="Z107" s="947" t="e">
        <f>#REF!/1000</f>
        <v>#REF!</v>
      </c>
      <c r="AA107" s="959" t="e">
        <f>#REF!/1000</f>
        <v>#REF!</v>
      </c>
      <c r="AB107" s="868" t="e">
        <f t="shared" ref="AB107:AB113" si="31">AA107-G107</f>
        <v>#REF!</v>
      </c>
      <c r="AC107" s="69"/>
    </row>
    <row r="108" spans="2:29" s="868" customFormat="1" hidden="1">
      <c r="B108" s="960" t="s">
        <v>3118</v>
      </c>
      <c r="C108" s="948" t="e">
        <f>#REF!/1000</f>
        <v>#REF!</v>
      </c>
      <c r="D108" s="948" t="e">
        <f>#REF!/1000</f>
        <v>#REF!</v>
      </c>
      <c r="E108" s="948" t="e">
        <f>#REF!/1000</f>
        <v>#REF!</v>
      </c>
      <c r="F108" s="961" t="e">
        <f>#REF!/1000</f>
        <v>#REF!</v>
      </c>
      <c r="G108" s="948" t="e">
        <f>#REF!/1000</f>
        <v>#REF!</v>
      </c>
      <c r="H108" s="948" t="e">
        <f>#REF!/1000</f>
        <v>#REF!</v>
      </c>
      <c r="I108" s="948" t="e">
        <f>#REF!/1000</f>
        <v>#REF!</v>
      </c>
      <c r="J108" s="948" t="e">
        <f>#REF!/1000</f>
        <v>#REF!</v>
      </c>
      <c r="K108" s="948" t="e">
        <f>#REF!/1000</f>
        <v>#REF!</v>
      </c>
      <c r="L108" s="948" t="e">
        <f>#REF!/1000</f>
        <v>#REF!</v>
      </c>
      <c r="M108" s="948" t="e">
        <f>#REF!/1000</f>
        <v>#REF!</v>
      </c>
      <c r="N108" s="948" t="e">
        <f>#REF!/1000</f>
        <v>#REF!</v>
      </c>
      <c r="O108" s="948" t="e">
        <f>#REF!/1000</f>
        <v>#REF!</v>
      </c>
      <c r="P108" s="948" t="e">
        <f>#REF!/1000</f>
        <v>#REF!</v>
      </c>
      <c r="Q108" s="948" t="e">
        <f>#REF!/1000</f>
        <v>#REF!</v>
      </c>
      <c r="R108" s="948" t="e">
        <f>#REF!/1000</f>
        <v>#REF!</v>
      </c>
      <c r="S108" s="948" t="e">
        <f>#REF!/1000</f>
        <v>#REF!</v>
      </c>
      <c r="T108" s="948" t="e">
        <f>#REF!/1000</f>
        <v>#REF!</v>
      </c>
      <c r="U108" s="948" t="e">
        <f>#REF!/1000</f>
        <v>#REF!</v>
      </c>
      <c r="V108" s="948" t="e">
        <f>#REF!/1000</f>
        <v>#REF!</v>
      </c>
      <c r="W108" s="948" t="e">
        <f>#REF!/1000</f>
        <v>#REF!</v>
      </c>
      <c r="X108" s="948" t="e">
        <f>#REF!/1000</f>
        <v>#REF!</v>
      </c>
      <c r="Y108" s="948" t="e">
        <f>#REF!/1000</f>
        <v>#REF!</v>
      </c>
      <c r="Z108" s="948" t="e">
        <f>#REF!/1000</f>
        <v>#REF!</v>
      </c>
      <c r="AA108" s="961" t="e">
        <f>#REF!/1000</f>
        <v>#REF!</v>
      </c>
      <c r="AB108" s="868" t="e">
        <f t="shared" si="31"/>
        <v>#REF!</v>
      </c>
      <c r="AC108" s="69"/>
    </row>
    <row r="109" spans="2:29" s="868" customFormat="1" hidden="1">
      <c r="B109" s="960" t="s">
        <v>3119</v>
      </c>
      <c r="C109" s="948" t="e">
        <f>#REF!/1000</f>
        <v>#REF!</v>
      </c>
      <c r="D109" s="948" t="e">
        <f>#REF!/1000</f>
        <v>#REF!</v>
      </c>
      <c r="E109" s="948" t="e">
        <f>#REF!/1000</f>
        <v>#REF!</v>
      </c>
      <c r="F109" s="961" t="e">
        <f>#REF!/1000</f>
        <v>#REF!</v>
      </c>
      <c r="G109" s="948" t="e">
        <f>#REF!/1000</f>
        <v>#REF!</v>
      </c>
      <c r="H109" s="948" t="e">
        <f>#REF!/1000</f>
        <v>#REF!</v>
      </c>
      <c r="I109" s="948" t="e">
        <f>#REF!/1000</f>
        <v>#REF!</v>
      </c>
      <c r="J109" s="948" t="e">
        <f>#REF!/1000</f>
        <v>#REF!</v>
      </c>
      <c r="K109" s="948" t="e">
        <f>#REF!/1000</f>
        <v>#REF!</v>
      </c>
      <c r="L109" s="948" t="e">
        <f>#REF!/1000</f>
        <v>#REF!</v>
      </c>
      <c r="M109" s="948" t="e">
        <f>#REF!/1000</f>
        <v>#REF!</v>
      </c>
      <c r="N109" s="948" t="e">
        <f>#REF!/1000</f>
        <v>#REF!</v>
      </c>
      <c r="O109" s="948" t="e">
        <f>#REF!/1000</f>
        <v>#REF!</v>
      </c>
      <c r="P109" s="948" t="e">
        <f>#REF!/1000</f>
        <v>#REF!</v>
      </c>
      <c r="Q109" s="948" t="e">
        <f>#REF!/1000</f>
        <v>#REF!</v>
      </c>
      <c r="R109" s="948" t="e">
        <f>#REF!/1000</f>
        <v>#REF!</v>
      </c>
      <c r="S109" s="948" t="e">
        <f>#REF!/1000</f>
        <v>#REF!</v>
      </c>
      <c r="T109" s="948" t="e">
        <f>#REF!/1000</f>
        <v>#REF!</v>
      </c>
      <c r="U109" s="948" t="e">
        <f>#REF!/1000</f>
        <v>#REF!</v>
      </c>
      <c r="V109" s="948" t="e">
        <f>#REF!/1000</f>
        <v>#REF!</v>
      </c>
      <c r="W109" s="948" t="e">
        <f>#REF!/1000</f>
        <v>#REF!</v>
      </c>
      <c r="X109" s="948" t="e">
        <f>#REF!/1000</f>
        <v>#REF!</v>
      </c>
      <c r="Y109" s="948" t="e">
        <f>#REF!/1000</f>
        <v>#REF!</v>
      </c>
      <c r="Z109" s="948" t="e">
        <f>#REF!/1000</f>
        <v>#REF!</v>
      </c>
      <c r="AA109" s="961" t="e">
        <f>#REF!/1000</f>
        <v>#REF!</v>
      </c>
      <c r="AB109" s="868" t="e">
        <f t="shared" si="31"/>
        <v>#REF!</v>
      </c>
      <c r="AC109" s="69"/>
    </row>
    <row r="110" spans="2:29" s="868" customFormat="1" hidden="1">
      <c r="B110" s="960" t="s">
        <v>3120</v>
      </c>
      <c r="C110" s="948" t="e">
        <f>#REF!/1000</f>
        <v>#REF!</v>
      </c>
      <c r="D110" s="948" t="e">
        <f>#REF!/1000</f>
        <v>#REF!</v>
      </c>
      <c r="E110" s="948" t="e">
        <f>#REF!/1000</f>
        <v>#REF!</v>
      </c>
      <c r="F110" s="961" t="e">
        <f>#REF!/1000</f>
        <v>#REF!</v>
      </c>
      <c r="G110" s="948" t="e">
        <f>#REF!/1000</f>
        <v>#REF!</v>
      </c>
      <c r="H110" s="948" t="e">
        <f>#REF!/1000</f>
        <v>#REF!</v>
      </c>
      <c r="I110" s="948" t="e">
        <f>#REF!/1000</f>
        <v>#REF!</v>
      </c>
      <c r="J110" s="948" t="e">
        <f>#REF!/1000</f>
        <v>#REF!</v>
      </c>
      <c r="K110" s="948" t="e">
        <f>#REF!/1000</f>
        <v>#REF!</v>
      </c>
      <c r="L110" s="948" t="e">
        <f>#REF!/1000</f>
        <v>#REF!</v>
      </c>
      <c r="M110" s="948" t="e">
        <f>#REF!/1000</f>
        <v>#REF!</v>
      </c>
      <c r="N110" s="948" t="e">
        <f>#REF!/1000</f>
        <v>#REF!</v>
      </c>
      <c r="O110" s="948" t="e">
        <f>#REF!/1000</f>
        <v>#REF!</v>
      </c>
      <c r="P110" s="948" t="e">
        <f>#REF!/1000</f>
        <v>#REF!</v>
      </c>
      <c r="Q110" s="948" t="e">
        <f>#REF!/1000</f>
        <v>#REF!</v>
      </c>
      <c r="R110" s="948" t="e">
        <f>#REF!/1000</f>
        <v>#REF!</v>
      </c>
      <c r="S110" s="948" t="e">
        <f>#REF!/1000</f>
        <v>#REF!</v>
      </c>
      <c r="T110" s="948" t="e">
        <f>#REF!/1000</f>
        <v>#REF!</v>
      </c>
      <c r="U110" s="948" t="e">
        <f>#REF!/1000</f>
        <v>#REF!</v>
      </c>
      <c r="V110" s="948" t="e">
        <f>#REF!/1000</f>
        <v>#REF!</v>
      </c>
      <c r="W110" s="948" t="e">
        <f>#REF!/1000</f>
        <v>#REF!</v>
      </c>
      <c r="X110" s="948" t="e">
        <f>#REF!/1000</f>
        <v>#REF!</v>
      </c>
      <c r="Y110" s="948" t="e">
        <f>#REF!/1000</f>
        <v>#REF!</v>
      </c>
      <c r="Z110" s="948" t="e">
        <f>#REF!/1000</f>
        <v>#REF!</v>
      </c>
      <c r="AA110" s="961" t="e">
        <f>#REF!/1000</f>
        <v>#REF!</v>
      </c>
      <c r="AB110" s="868" t="e">
        <f t="shared" si="31"/>
        <v>#REF!</v>
      </c>
      <c r="AC110" s="69"/>
    </row>
    <row r="111" spans="2:29" s="868" customFormat="1" hidden="1">
      <c r="B111" s="960" t="s">
        <v>3121</v>
      </c>
      <c r="C111" s="948" t="e">
        <f>#REF!/1000</f>
        <v>#REF!</v>
      </c>
      <c r="D111" s="948" t="e">
        <f>#REF!/1000</f>
        <v>#REF!</v>
      </c>
      <c r="E111" s="948" t="e">
        <f>#REF!/1000</f>
        <v>#REF!</v>
      </c>
      <c r="F111" s="961" t="e">
        <f>#REF!/1000</f>
        <v>#REF!</v>
      </c>
      <c r="G111" s="948" t="e">
        <f>#REF!/1000</f>
        <v>#REF!</v>
      </c>
      <c r="H111" s="948" t="e">
        <f>#REF!/1000</f>
        <v>#REF!</v>
      </c>
      <c r="I111" s="948" t="e">
        <f>#REF!/1000</f>
        <v>#REF!</v>
      </c>
      <c r="J111" s="948" t="e">
        <f>#REF!/1000</f>
        <v>#REF!</v>
      </c>
      <c r="K111" s="948" t="e">
        <f>#REF!/1000</f>
        <v>#REF!</v>
      </c>
      <c r="L111" s="948" t="e">
        <f>#REF!/1000</f>
        <v>#REF!</v>
      </c>
      <c r="M111" s="948" t="e">
        <f>#REF!/1000</f>
        <v>#REF!</v>
      </c>
      <c r="N111" s="948" t="e">
        <f>#REF!/1000</f>
        <v>#REF!</v>
      </c>
      <c r="O111" s="948" t="e">
        <f>#REF!/1000</f>
        <v>#REF!</v>
      </c>
      <c r="P111" s="948" t="e">
        <f>#REF!/1000</f>
        <v>#REF!</v>
      </c>
      <c r="Q111" s="948" t="e">
        <f>#REF!/1000</f>
        <v>#REF!</v>
      </c>
      <c r="R111" s="948" t="e">
        <f>#REF!/1000</f>
        <v>#REF!</v>
      </c>
      <c r="S111" s="948" t="e">
        <f>#REF!/1000</f>
        <v>#REF!</v>
      </c>
      <c r="T111" s="948" t="e">
        <f>#REF!/1000</f>
        <v>#REF!</v>
      </c>
      <c r="U111" s="948" t="e">
        <f>#REF!/1000</f>
        <v>#REF!</v>
      </c>
      <c r="V111" s="948" t="e">
        <f>#REF!/1000</f>
        <v>#REF!</v>
      </c>
      <c r="W111" s="948" t="e">
        <f>#REF!/1000</f>
        <v>#REF!</v>
      </c>
      <c r="X111" s="948" t="e">
        <f>#REF!/1000</f>
        <v>#REF!</v>
      </c>
      <c r="Y111" s="948" t="e">
        <f>#REF!/1000</f>
        <v>#REF!</v>
      </c>
      <c r="Z111" s="948" t="e">
        <f>#REF!/1000</f>
        <v>#REF!</v>
      </c>
      <c r="AA111" s="961" t="e">
        <f>#REF!/1000</f>
        <v>#REF!</v>
      </c>
      <c r="AB111" s="868" t="e">
        <f t="shared" si="31"/>
        <v>#REF!</v>
      </c>
      <c r="AC111" s="69"/>
    </row>
    <row r="112" spans="2:29" s="868" customFormat="1" hidden="1">
      <c r="B112" s="960" t="s">
        <v>3122</v>
      </c>
      <c r="C112" s="948" t="e">
        <f>#REF!/1000</f>
        <v>#REF!</v>
      </c>
      <c r="D112" s="948" t="e">
        <f>#REF!/1000</f>
        <v>#REF!</v>
      </c>
      <c r="E112" s="948" t="e">
        <f>#REF!/1000</f>
        <v>#REF!</v>
      </c>
      <c r="F112" s="961" t="e">
        <f>#REF!/1000</f>
        <v>#REF!</v>
      </c>
      <c r="G112" s="948" t="e">
        <f>#REF!/1000</f>
        <v>#REF!</v>
      </c>
      <c r="H112" s="948" t="e">
        <f>#REF!/1000</f>
        <v>#REF!</v>
      </c>
      <c r="I112" s="948" t="e">
        <f>#REF!/1000</f>
        <v>#REF!</v>
      </c>
      <c r="J112" s="948" t="e">
        <f>#REF!/1000</f>
        <v>#REF!</v>
      </c>
      <c r="K112" s="948" t="e">
        <f>#REF!/1000</f>
        <v>#REF!</v>
      </c>
      <c r="L112" s="948" t="e">
        <f>#REF!/1000</f>
        <v>#REF!</v>
      </c>
      <c r="M112" s="948" t="e">
        <f>#REF!/1000</f>
        <v>#REF!</v>
      </c>
      <c r="N112" s="948" t="e">
        <f>#REF!/1000</f>
        <v>#REF!</v>
      </c>
      <c r="O112" s="948" t="e">
        <f>#REF!/1000</f>
        <v>#REF!</v>
      </c>
      <c r="P112" s="948" t="e">
        <f>#REF!/1000</f>
        <v>#REF!</v>
      </c>
      <c r="Q112" s="948" t="e">
        <f>#REF!/1000</f>
        <v>#REF!</v>
      </c>
      <c r="R112" s="948" t="e">
        <f>#REF!/1000</f>
        <v>#REF!</v>
      </c>
      <c r="S112" s="948" t="e">
        <f>#REF!/1000</f>
        <v>#REF!</v>
      </c>
      <c r="T112" s="948" t="e">
        <f>#REF!/1000</f>
        <v>#REF!</v>
      </c>
      <c r="U112" s="948" t="e">
        <f>#REF!/1000</f>
        <v>#REF!</v>
      </c>
      <c r="V112" s="948" t="e">
        <f>#REF!/1000</f>
        <v>#REF!</v>
      </c>
      <c r="W112" s="948" t="e">
        <f>#REF!/1000</f>
        <v>#REF!</v>
      </c>
      <c r="X112" s="948" t="e">
        <f>#REF!/1000</f>
        <v>#REF!</v>
      </c>
      <c r="Y112" s="948" t="e">
        <f>#REF!/1000</f>
        <v>#REF!</v>
      </c>
      <c r="Z112" s="948" t="e">
        <f>#REF!/1000</f>
        <v>#REF!</v>
      </c>
      <c r="AA112" s="961" t="e">
        <f>#REF!/1000</f>
        <v>#REF!</v>
      </c>
      <c r="AB112" s="868" t="e">
        <f t="shared" si="31"/>
        <v>#REF!</v>
      </c>
      <c r="AC112" s="69"/>
    </row>
    <row r="113" spans="2:29" s="868" customFormat="1" hidden="1">
      <c r="B113" s="962" t="s">
        <v>25</v>
      </c>
      <c r="C113" s="949" t="e">
        <f>#REF!/1000</f>
        <v>#REF!</v>
      </c>
      <c r="D113" s="949" t="e">
        <f>#REF!/1000</f>
        <v>#REF!</v>
      </c>
      <c r="E113" s="949" t="e">
        <f>#REF!/1000</f>
        <v>#REF!</v>
      </c>
      <c r="F113" s="963" t="e">
        <f>#REF!/1000</f>
        <v>#REF!</v>
      </c>
      <c r="G113" s="949" t="e">
        <f>#REF!/1000</f>
        <v>#REF!</v>
      </c>
      <c r="H113" s="949" t="e">
        <f>#REF!/1000</f>
        <v>#REF!</v>
      </c>
      <c r="I113" s="949" t="e">
        <f>#REF!/1000</f>
        <v>#REF!</v>
      </c>
      <c r="J113" s="949" t="e">
        <f>#REF!/1000</f>
        <v>#REF!</v>
      </c>
      <c r="K113" s="949" t="e">
        <f>#REF!/1000</f>
        <v>#REF!</v>
      </c>
      <c r="L113" s="949" t="e">
        <f>#REF!/1000</f>
        <v>#REF!</v>
      </c>
      <c r="M113" s="949" t="e">
        <f>#REF!/1000</f>
        <v>#REF!</v>
      </c>
      <c r="N113" s="949" t="e">
        <f>#REF!/1000</f>
        <v>#REF!</v>
      </c>
      <c r="O113" s="949" t="e">
        <f>#REF!/1000</f>
        <v>#REF!</v>
      </c>
      <c r="P113" s="949" t="e">
        <f>#REF!/1000</f>
        <v>#REF!</v>
      </c>
      <c r="Q113" s="949" t="e">
        <f>#REF!/1000</f>
        <v>#REF!</v>
      </c>
      <c r="R113" s="949" t="e">
        <f>#REF!/1000</f>
        <v>#REF!</v>
      </c>
      <c r="S113" s="949" t="e">
        <f>#REF!/1000</f>
        <v>#REF!</v>
      </c>
      <c r="T113" s="949" t="e">
        <f>#REF!/1000</f>
        <v>#REF!</v>
      </c>
      <c r="U113" s="949" t="e">
        <f>#REF!/1000</f>
        <v>#REF!</v>
      </c>
      <c r="V113" s="949" t="e">
        <f>#REF!/1000</f>
        <v>#REF!</v>
      </c>
      <c r="W113" s="949" t="e">
        <f>#REF!/1000</f>
        <v>#REF!</v>
      </c>
      <c r="X113" s="949" t="e">
        <f>#REF!/1000</f>
        <v>#REF!</v>
      </c>
      <c r="Y113" s="949" t="e">
        <f>#REF!/1000</f>
        <v>#REF!</v>
      </c>
      <c r="Z113" s="949" t="e">
        <f>#REF!/1000</f>
        <v>#REF!</v>
      </c>
      <c r="AA113" s="963" t="e">
        <f>#REF!/1000</f>
        <v>#REF!</v>
      </c>
      <c r="AB113" s="868" t="e">
        <f t="shared" si="31"/>
        <v>#REF!</v>
      </c>
      <c r="AC113" s="69"/>
    </row>
    <row r="114" spans="2:29" s="69" customFormat="1"/>
    <row r="115" spans="2:29">
      <c r="AC115" s="69"/>
    </row>
    <row r="116" spans="2:29">
      <c r="AC116" s="6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509DC-2D10-B349-9E94-88E636DD6D17}">
  <dimension ref="B2:H23"/>
  <sheetViews>
    <sheetView workbookViewId="0"/>
  </sheetViews>
  <sheetFormatPr baseColWidth="10" defaultColWidth="10.83203125" defaultRowHeight="16"/>
  <cols>
    <col min="1" max="1" width="3" style="1208" customWidth="1"/>
    <col min="2" max="2" width="22.6640625" style="1208" customWidth="1"/>
    <col min="3" max="3" width="64.6640625" style="1208" customWidth="1"/>
    <col min="4" max="4" width="12.1640625" style="1208" customWidth="1"/>
    <col min="5" max="6" width="11.33203125" style="1208" customWidth="1"/>
    <col min="7" max="7" width="2" style="1208" bestFit="1" customWidth="1"/>
    <col min="8" max="8" width="6.33203125" style="1208" bestFit="1" customWidth="1"/>
    <col min="9" max="16384" width="10.83203125" style="1208"/>
  </cols>
  <sheetData>
    <row r="2" spans="2:8" ht="17" thickBot="1">
      <c r="B2" s="1598"/>
      <c r="C2" s="1599"/>
      <c r="D2" s="1211" t="s">
        <v>3453</v>
      </c>
      <c r="E2" s="1211" t="s">
        <v>3452</v>
      </c>
      <c r="F2" s="1211" t="s">
        <v>3451</v>
      </c>
    </row>
    <row r="3" spans="2:8" ht="17" thickTop="1">
      <c r="B3" s="1596" t="s">
        <v>3429</v>
      </c>
      <c r="C3" s="1597"/>
      <c r="D3" s="1222">
        <v>0.5</v>
      </c>
      <c r="E3" s="1223">
        <f>SUMPRODUCT($D$4:$D$6,E4:E6)</f>
        <v>3.4</v>
      </c>
      <c r="F3" s="1223">
        <f>SUMPRODUCT($D$4:$D$6,F4:F6)</f>
        <v>8.6999999999999993</v>
      </c>
    </row>
    <row r="4" spans="2:8" ht="70" customHeight="1">
      <c r="B4" s="1212" t="s">
        <v>3450</v>
      </c>
      <c r="C4" s="1213" t="s">
        <v>3449</v>
      </c>
      <c r="D4" s="1218">
        <v>0.3</v>
      </c>
      <c r="E4" s="1219">
        <v>3</v>
      </c>
      <c r="F4" s="1219">
        <v>8</v>
      </c>
    </row>
    <row r="5" spans="2:8" ht="70" customHeight="1">
      <c r="B5" s="1214" t="s">
        <v>3448</v>
      </c>
      <c r="C5" s="1215" t="s">
        <v>3447</v>
      </c>
      <c r="D5" s="1220">
        <v>0.4</v>
      </c>
      <c r="E5" s="1221">
        <v>4</v>
      </c>
      <c r="F5" s="1221">
        <v>9</v>
      </c>
    </row>
    <row r="6" spans="2:8" ht="70" customHeight="1" thickBot="1">
      <c r="B6" s="1212" t="s">
        <v>3446</v>
      </c>
      <c r="C6" s="1213" t="s">
        <v>3445</v>
      </c>
      <c r="D6" s="1218">
        <v>0.3</v>
      </c>
      <c r="E6" s="1219">
        <v>3</v>
      </c>
      <c r="F6" s="1219">
        <v>9</v>
      </c>
    </row>
    <row r="7" spans="2:8" ht="17" thickTop="1">
      <c r="B7" s="1596" t="s">
        <v>3428</v>
      </c>
      <c r="C7" s="1597"/>
      <c r="D7" s="1222">
        <v>0.3</v>
      </c>
      <c r="E7" s="1223">
        <f>SUMPRODUCT($D$8:$D$11,E8:E11)</f>
        <v>3.45</v>
      </c>
      <c r="F7" s="1223">
        <f>SUMPRODUCT($D$8:$D$11,F8:F11)</f>
        <v>8.2799999999999994</v>
      </c>
      <c r="H7" s="1210"/>
    </row>
    <row r="8" spans="2:8" ht="69" customHeight="1">
      <c r="B8" s="1212" t="s">
        <v>3431</v>
      </c>
      <c r="C8" s="1213" t="s">
        <v>3444</v>
      </c>
      <c r="D8" s="1218">
        <v>7.0000000000000007E-2</v>
      </c>
      <c r="E8" s="1219">
        <v>2</v>
      </c>
      <c r="F8" s="1219">
        <v>6</v>
      </c>
      <c r="H8" s="1209"/>
    </row>
    <row r="9" spans="2:8" ht="69" customHeight="1">
      <c r="B9" s="1214" t="s">
        <v>3443</v>
      </c>
      <c r="C9" s="1215" t="s">
        <v>3442</v>
      </c>
      <c r="D9" s="1220">
        <v>0.52</v>
      </c>
      <c r="E9" s="1221">
        <v>4</v>
      </c>
      <c r="F9" s="1221">
        <v>9</v>
      </c>
      <c r="H9" s="1209"/>
    </row>
    <row r="10" spans="2:8" ht="69" customHeight="1">
      <c r="B10" s="1212" t="s">
        <v>3441</v>
      </c>
      <c r="C10" s="1213" t="s">
        <v>3440</v>
      </c>
      <c r="D10" s="1218">
        <v>0.31</v>
      </c>
      <c r="E10" s="1219">
        <v>3</v>
      </c>
      <c r="F10" s="1219">
        <v>8</v>
      </c>
      <c r="H10" s="1209"/>
    </row>
    <row r="11" spans="2:8" ht="69" customHeight="1" thickBot="1">
      <c r="B11" s="1214" t="s">
        <v>3439</v>
      </c>
      <c r="C11" s="1215" t="s">
        <v>3438</v>
      </c>
      <c r="D11" s="1220">
        <v>0.1</v>
      </c>
      <c r="E11" s="1221">
        <v>3</v>
      </c>
      <c r="F11" s="1221">
        <v>7</v>
      </c>
      <c r="H11" s="1209"/>
    </row>
    <row r="12" spans="2:8" ht="17" thickTop="1">
      <c r="B12" s="1596" t="s">
        <v>3427</v>
      </c>
      <c r="C12" s="1597"/>
      <c r="D12" s="1222">
        <v>0.2</v>
      </c>
      <c r="E12" s="1223">
        <f>SUMPRODUCT($D$13:$D$16,E13:E16)</f>
        <v>3.9600000000000004</v>
      </c>
      <c r="F12" s="1223">
        <f>SUMPRODUCT($D$13:$D$16,F13:F16)</f>
        <v>9.0300000000000011</v>
      </c>
      <c r="H12" s="1210"/>
    </row>
    <row r="13" spans="2:8" ht="69" customHeight="1">
      <c r="B13" s="1212" t="s">
        <v>3437</v>
      </c>
      <c r="C13" s="1213" t="s">
        <v>3436</v>
      </c>
      <c r="D13" s="1218">
        <v>0.26</v>
      </c>
      <c r="E13" s="1219">
        <v>3</v>
      </c>
      <c r="F13" s="1219">
        <v>9</v>
      </c>
      <c r="H13" s="1209"/>
    </row>
    <row r="14" spans="2:8" ht="69" customHeight="1">
      <c r="B14" s="1214" t="s">
        <v>3435</v>
      </c>
      <c r="C14" s="1215" t="s">
        <v>3434</v>
      </c>
      <c r="D14" s="1220">
        <v>0.53</v>
      </c>
      <c r="E14" s="1221">
        <v>4</v>
      </c>
      <c r="F14" s="1221">
        <v>9</v>
      </c>
      <c r="H14" s="1209"/>
    </row>
    <row r="15" spans="2:8" ht="69" customHeight="1">
      <c r="B15" s="1212" t="s">
        <v>3433</v>
      </c>
      <c r="C15" s="1213" t="s">
        <v>3432</v>
      </c>
      <c r="D15" s="1218">
        <v>0.21</v>
      </c>
      <c r="E15" s="1219">
        <v>4</v>
      </c>
      <c r="F15" s="1219">
        <v>6</v>
      </c>
      <c r="H15" s="1209"/>
    </row>
    <row r="16" spans="2:8" ht="69" customHeight="1" thickBot="1">
      <c r="B16" s="1214" t="s">
        <v>3431</v>
      </c>
      <c r="C16" s="1215" t="s">
        <v>3430</v>
      </c>
      <c r="D16" s="1220">
        <v>0.11</v>
      </c>
      <c r="E16" s="1221">
        <v>2</v>
      </c>
      <c r="F16" s="1221">
        <v>6</v>
      </c>
      <c r="H16" s="1209"/>
    </row>
    <row r="17" spans="2:8" ht="17" thickTop="1">
      <c r="B17" s="1596" t="s">
        <v>1158</v>
      </c>
      <c r="C17" s="1597"/>
      <c r="D17" s="1222">
        <f>D3+D7+D12</f>
        <v>1</v>
      </c>
      <c r="E17" s="1223">
        <f>$D$3*E3+$D$7*E7+$D$12*E12</f>
        <v>3.5270000000000001</v>
      </c>
      <c r="F17" s="1223">
        <f>$D$3*F3+$D$7*F7+$D$12*F12</f>
        <v>8.64</v>
      </c>
    </row>
    <row r="19" spans="2:8">
      <c r="F19" s="1208" t="s">
        <v>3424</v>
      </c>
    </row>
    <row r="20" spans="2:8">
      <c r="E20" s="1216" t="s">
        <v>3429</v>
      </c>
      <c r="F20" s="1224">
        <f>F3/E3</f>
        <v>2.5588235294117645</v>
      </c>
      <c r="G20" s="1217" t="s">
        <v>3425</v>
      </c>
      <c r="H20" s="1217"/>
    </row>
    <row r="21" spans="2:8">
      <c r="E21" s="1216" t="s">
        <v>3428</v>
      </c>
      <c r="F21" s="1224">
        <f>F7/E7</f>
        <v>2.4</v>
      </c>
      <c r="G21" s="1217" t="s">
        <v>3425</v>
      </c>
      <c r="H21" s="1217"/>
    </row>
    <row r="22" spans="2:8">
      <c r="E22" s="1216" t="s">
        <v>3427</v>
      </c>
      <c r="F22" s="1224">
        <f>F12/E12</f>
        <v>2.2803030303030303</v>
      </c>
      <c r="G22" s="1217" t="s">
        <v>3425</v>
      </c>
      <c r="H22" s="1217"/>
    </row>
    <row r="23" spans="2:8">
      <c r="E23" s="1216" t="s">
        <v>3426</v>
      </c>
      <c r="F23" s="1224">
        <f>F17/E17</f>
        <v>2.4496739438616388</v>
      </c>
      <c r="G23" s="1217" t="s">
        <v>3425</v>
      </c>
      <c r="H23" s="1217"/>
    </row>
  </sheetData>
  <mergeCells count="5">
    <mergeCell ref="B17:C17"/>
    <mergeCell ref="B2:C2"/>
    <mergeCell ref="B3:C3"/>
    <mergeCell ref="B7:C7"/>
    <mergeCell ref="B12:C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3DA43-C277-4919-9FA6-E4D61853404C}">
  <sheetPr>
    <tabColor theme="0"/>
  </sheetPr>
  <dimension ref="B1:S71"/>
  <sheetViews>
    <sheetView workbookViewId="0"/>
  </sheetViews>
  <sheetFormatPr baseColWidth="10" defaultColWidth="8.83203125" defaultRowHeight="15"/>
  <cols>
    <col min="1" max="1" width="6.1640625" style="69" customWidth="1"/>
    <col min="2" max="2" width="38.83203125" style="69" customWidth="1"/>
    <col min="3" max="5" width="14.83203125" style="69" customWidth="1"/>
    <col min="6" max="6" width="16.5" style="69" customWidth="1"/>
    <col min="7" max="7" width="14.83203125" style="69" customWidth="1"/>
    <col min="8" max="10" width="13.33203125" style="69" customWidth="1"/>
    <col min="11" max="12" width="13.33203125" style="868" hidden="1" customWidth="1"/>
    <col min="13" max="15" width="13.33203125" style="69" customWidth="1"/>
    <col min="16" max="16" width="29.33203125" style="567" hidden="1" customWidth="1"/>
    <col min="17" max="18" width="9.83203125" style="567" hidden="1" customWidth="1"/>
    <col min="19" max="19" width="9.83203125" style="567" customWidth="1"/>
    <col min="20" max="20" width="9.83203125" style="69" customWidth="1"/>
    <col min="21" max="21" width="12.5" style="69" customWidth="1"/>
    <col min="22" max="24" width="9.83203125" style="69" customWidth="1"/>
    <col min="25" max="25" width="11.1640625" style="69" customWidth="1"/>
    <col min="26" max="16384" width="8.83203125" style="69"/>
  </cols>
  <sheetData>
    <row r="1" spans="2:18">
      <c r="B1" s="552"/>
    </row>
    <row r="2" spans="2:18">
      <c r="B2" s="552"/>
      <c r="E2" s="911" t="s">
        <v>2900</v>
      </c>
      <c r="F2" s="911" t="s">
        <v>3165</v>
      </c>
    </row>
    <row r="3" spans="2:18">
      <c r="B3" s="818"/>
      <c r="C3" s="820" t="s">
        <v>3081</v>
      </c>
      <c r="D3" s="822" t="s">
        <v>3082</v>
      </c>
      <c r="E3" s="819" t="s">
        <v>3123</v>
      </c>
      <c r="F3" s="819" t="s">
        <v>3123</v>
      </c>
      <c r="P3" s="883"/>
      <c r="Q3" s="884" t="s">
        <v>3129</v>
      </c>
      <c r="R3" s="885" t="s">
        <v>3130</v>
      </c>
    </row>
    <row r="4" spans="2:18">
      <c r="B4" s="552" t="s">
        <v>3124</v>
      </c>
      <c r="C4" s="821">
        <f>Scenarios_Operating!AB61</f>
        <v>-482193.7002575295</v>
      </c>
      <c r="D4" s="823">
        <f>Scenarios_Operating!AB41</f>
        <v>-941657.51170781476</v>
      </c>
      <c r="E4" s="69">
        <f>D4-C4</f>
        <v>-459463.81145028525</v>
      </c>
      <c r="F4" s="121"/>
      <c r="I4" s="457"/>
      <c r="J4" s="826"/>
      <c r="K4" s="871"/>
      <c r="P4" s="567" t="s">
        <v>3124</v>
      </c>
      <c r="Q4" s="886" t="e">
        <f>Scenarios_Operating!AB101</f>
        <v>#REF!</v>
      </c>
      <c r="R4" s="567" t="e">
        <f>Q4-C4</f>
        <v>#REF!</v>
      </c>
    </row>
    <row r="5" spans="2:18">
      <c r="B5" s="853" t="s">
        <v>3380</v>
      </c>
      <c r="C5" s="854">
        <f>SUM(Scenarios_Operating!G61:M61)</f>
        <v>-142396.77057639221</v>
      </c>
      <c r="D5" s="856">
        <f>SUM(Scenarios_Operating!G41:M41)</f>
        <v>-868559.75275271502</v>
      </c>
      <c r="E5" s="855">
        <f>D5-C5</f>
        <v>-726162.98217632284</v>
      </c>
      <c r="F5" s="912"/>
      <c r="I5" s="572" t="s">
        <v>2911</v>
      </c>
      <c r="J5" s="851" t="s">
        <v>3131</v>
      </c>
      <c r="K5" s="872"/>
      <c r="L5" s="873" t="s">
        <v>3132</v>
      </c>
      <c r="P5" s="887" t="s">
        <v>3163</v>
      </c>
      <c r="Q5" s="888" t="e">
        <f>SUM(Scenarios_Operating!G101:K101)</f>
        <v>#REF!</v>
      </c>
      <c r="R5" s="794" t="e">
        <f>Q5-C5</f>
        <v>#REF!</v>
      </c>
    </row>
    <row r="6" spans="2:18">
      <c r="B6" s="864" t="s">
        <v>3381</v>
      </c>
      <c r="C6" s="865">
        <f>-SUM(Capex_model!D3:J3)/1000</f>
        <v>-142396.77057639221</v>
      </c>
      <c r="D6" s="867">
        <f>-SUM(Capex_model!D14:J14)/1000</f>
        <v>-868559.75275271491</v>
      </c>
      <c r="E6" s="866">
        <f>D6-C6</f>
        <v>-726162.98217632272</v>
      </c>
      <c r="F6" s="913"/>
      <c r="I6" s="604"/>
      <c r="J6" s="827">
        <f>D11</f>
        <v>7.9423621296882643E-2</v>
      </c>
      <c r="K6" s="874"/>
      <c r="L6" s="875" t="e">
        <f>Q10</f>
        <v>#REF!</v>
      </c>
      <c r="P6" s="887" t="s">
        <v>3164</v>
      </c>
      <c r="Q6" s="888" t="e">
        <f>-Capex_model!#REF!/1000</f>
        <v>#REF!</v>
      </c>
      <c r="R6" s="794" t="e">
        <f>Q6-C6</f>
        <v>#REF!</v>
      </c>
    </row>
    <row r="7" spans="2:18">
      <c r="B7" s="853" t="s">
        <v>3382</v>
      </c>
      <c r="C7" s="854">
        <f>C4-C5</f>
        <v>-339796.92968113732</v>
      </c>
      <c r="D7" s="856">
        <f>D4-D5</f>
        <v>-73097.758955099736</v>
      </c>
      <c r="E7" s="855">
        <f>D7-C7</f>
        <v>266699.17072603758</v>
      </c>
      <c r="F7" s="912" t="s">
        <v>3166</v>
      </c>
      <c r="I7" s="880">
        <v>0.15</v>
      </c>
      <c r="J7" s="881">
        <f t="dataTable" ref="J7:J12" dt2D="0" dtr="0" r1="C36"/>
        <v>7.5488337874412545E-2</v>
      </c>
      <c r="K7" s="876">
        <f>I7</f>
        <v>0.15</v>
      </c>
      <c r="L7" s="877" t="e">
        <f t="dataTable" ref="L7:L12" dt2D="0" dtr="0" r1="Q29"/>
        <v>#REF!</v>
      </c>
      <c r="M7" s="1122">
        <f>J7/$J$6-1</f>
        <v>-4.9548023097060079E-2</v>
      </c>
      <c r="P7" s="887" t="s">
        <v>3162</v>
      </c>
      <c r="Q7" s="888" t="e">
        <f>Q4-Q5</f>
        <v>#REF!</v>
      </c>
      <c r="R7" s="794" t="e">
        <f>Q7-C7</f>
        <v>#REF!</v>
      </c>
    </row>
    <row r="8" spans="2:18">
      <c r="B8" s="552" t="s">
        <v>3406</v>
      </c>
      <c r="C8" s="821">
        <f>Scenarios_Operating!AB64</f>
        <v>-1566797.3695340918</v>
      </c>
      <c r="D8" s="823">
        <f>Scenarios_Operating!AB44</f>
        <v>-1487185.6947898024</v>
      </c>
      <c r="E8" s="69">
        <f>D8-C8</f>
        <v>79611.674744289368</v>
      </c>
      <c r="F8" s="914"/>
      <c r="I8" s="880">
        <f>I7+5%</f>
        <v>0.2</v>
      </c>
      <c r="J8" s="881">
        <v>7.9423621296882643E-2</v>
      </c>
      <c r="K8" s="876">
        <f>K7+5%</f>
        <v>0.2</v>
      </c>
      <c r="L8" s="877" t="e">
        <v>#REF!</v>
      </c>
      <c r="M8" s="1122">
        <f t="shared" ref="M8:M30" si="0">J8/$J$6-1</f>
        <v>0</v>
      </c>
      <c r="O8" s="625"/>
      <c r="P8" s="567" t="s">
        <v>3125</v>
      </c>
      <c r="Q8" s="886" t="e">
        <f>Scenarios_Operating!AB104</f>
        <v>#REF!</v>
      </c>
      <c r="R8" s="567" t="e">
        <f>Q8-C8</f>
        <v>#REF!</v>
      </c>
    </row>
    <row r="9" spans="2:18">
      <c r="B9" s="552"/>
      <c r="C9" s="821"/>
      <c r="D9" s="823"/>
      <c r="F9" s="914"/>
      <c r="I9" s="880">
        <f>I8+5%</f>
        <v>0.25</v>
      </c>
      <c r="J9" s="881">
        <v>8.3729174733161951E-2</v>
      </c>
      <c r="K9" s="876">
        <f>K8+5%</f>
        <v>0.25</v>
      </c>
      <c r="L9" s="877" t="e">
        <v>#REF!</v>
      </c>
      <c r="M9" s="1122">
        <f t="shared" si="0"/>
        <v>5.4209986474745397E-2</v>
      </c>
      <c r="P9" s="889" t="s">
        <v>3126</v>
      </c>
      <c r="Q9" s="890" t="e">
        <f>SUMPRODUCT(Scenarios_Operating!G104:AA104,#REF!)</f>
        <v>#REF!</v>
      </c>
      <c r="R9" s="889" t="e">
        <f>Q9-C10</f>
        <v>#REF!</v>
      </c>
    </row>
    <row r="10" spans="2:18" ht="16" thickBot="1">
      <c r="B10" s="927" t="s">
        <v>3480</v>
      </c>
      <c r="C10" s="928">
        <f>'FCFs"0"'!D38/1000</f>
        <v>-2290196.5870701927</v>
      </c>
      <c r="D10" s="929">
        <f>'FCFs"A"'!D40/1000</f>
        <v>-1542878.8879176655</v>
      </c>
      <c r="E10" s="930">
        <f>D10-C10</f>
        <v>747317.69915252714</v>
      </c>
      <c r="F10" s="931"/>
      <c r="I10" s="880">
        <f>I9+5%</f>
        <v>0.3</v>
      </c>
      <c r="J10" s="881">
        <v>8.8455072045326252E-2</v>
      </c>
      <c r="K10" s="876">
        <f>K9+5%</f>
        <v>0.3</v>
      </c>
      <c r="L10" s="877" t="e">
        <v>#REF!</v>
      </c>
      <c r="M10" s="1122">
        <f t="shared" si="0"/>
        <v>0.11371240194002707</v>
      </c>
      <c r="P10" s="891"/>
      <c r="Q10" s="892" t="e">
        <f>XIRR(Scenarios_Operating!#REF!,Scenarios_Operating!G4:AA4)</f>
        <v>#REF!</v>
      </c>
      <c r="R10" s="893"/>
    </row>
    <row r="11" spans="2:18">
      <c r="B11" s="1600" t="s">
        <v>3171</v>
      </c>
      <c r="C11" s="1601"/>
      <c r="D11" s="926">
        <f>XIRR(Scenarios_Operating!G12:AB12,Scenarios_Operating!G4:AB4)</f>
        <v>7.9423621296882643E-2</v>
      </c>
      <c r="I11" s="880">
        <f>I10+5%</f>
        <v>0.35</v>
      </c>
      <c r="J11" s="881">
        <v>9.3661555647850045E-2</v>
      </c>
      <c r="K11" s="876">
        <f>K10+5%</f>
        <v>0.35</v>
      </c>
      <c r="L11" s="877" t="e">
        <v>#REF!</v>
      </c>
      <c r="M11" s="1122">
        <f t="shared" si="0"/>
        <v>0.17926574133086315</v>
      </c>
      <c r="P11" s="894" t="s">
        <v>3140</v>
      </c>
      <c r="Q11" s="895" t="s">
        <v>3129</v>
      </c>
      <c r="R11" s="896" t="s">
        <v>3130</v>
      </c>
    </row>
    <row r="12" spans="2:18">
      <c r="B12" s="1602" t="s">
        <v>3384</v>
      </c>
      <c r="C12" s="1603"/>
      <c r="D12" s="932">
        <f>E10</f>
        <v>747317.69915252714</v>
      </c>
      <c r="I12" s="839">
        <f>I11+5%</f>
        <v>0.39999999999999997</v>
      </c>
      <c r="J12" s="827">
        <v>9.9422103166580206E-2</v>
      </c>
      <c r="K12" s="878">
        <f>K11+5%</f>
        <v>0.39999999999999997</v>
      </c>
      <c r="L12" s="875" t="e">
        <v>#REF!</v>
      </c>
      <c r="M12" s="1122">
        <f t="shared" si="0"/>
        <v>0.25179514032662853</v>
      </c>
      <c r="P12" s="567" t="s">
        <v>3141</v>
      </c>
      <c r="Q12" s="897" t="e">
        <f>Scenarios_Operating!S107</f>
        <v>#REF!</v>
      </c>
      <c r="R12" s="567" t="e">
        <f>Q12-C16</f>
        <v>#REF!</v>
      </c>
    </row>
    <row r="13" spans="2:18" ht="16" thickBot="1">
      <c r="B13" s="1604" t="s">
        <v>3172</v>
      </c>
      <c r="C13" s="1605"/>
      <c r="D13" s="1094">
        <f>Scenarios_Operating!B14</f>
        <v>19</v>
      </c>
      <c r="M13" s="1122"/>
      <c r="P13" s="567" t="s">
        <v>3158</v>
      </c>
      <c r="Q13" s="897" t="e">
        <f>Scenarios_Operating!S108</f>
        <v>#REF!</v>
      </c>
      <c r="R13" s="567" t="e">
        <f>Q13-C17</f>
        <v>#REF!</v>
      </c>
    </row>
    <row r="14" spans="2:18">
      <c r="I14" s="572" t="s">
        <v>3139</v>
      </c>
      <c r="J14" s="851" t="s">
        <v>3131</v>
      </c>
      <c r="K14" s="872"/>
      <c r="L14" s="879" t="s">
        <v>3132</v>
      </c>
      <c r="M14" s="1122"/>
      <c r="P14" s="567" t="s">
        <v>3119</v>
      </c>
      <c r="Q14" s="897" t="e">
        <f>Scenarios_Operating!S109</f>
        <v>#REF!</v>
      </c>
      <c r="R14" s="567" t="e">
        <f>Q14-C18</f>
        <v>#REF!</v>
      </c>
    </row>
    <row r="15" spans="2:18">
      <c r="B15" s="846" t="s">
        <v>3140</v>
      </c>
      <c r="C15" s="840" t="s">
        <v>3081</v>
      </c>
      <c r="D15" s="842" t="s">
        <v>3082</v>
      </c>
      <c r="E15" s="841" t="s">
        <v>3123</v>
      </c>
      <c r="F15" s="915" t="s">
        <v>3123</v>
      </c>
      <c r="I15" s="604"/>
      <c r="J15" s="827">
        <f>D11</f>
        <v>7.9423621296882643E-2</v>
      </c>
      <c r="K15" s="874"/>
      <c r="L15" s="875" t="e">
        <f>Q10</f>
        <v>#REF!</v>
      </c>
      <c r="M15" s="1122"/>
      <c r="P15" s="567" t="s">
        <v>3120</v>
      </c>
      <c r="Q15" s="897" t="e">
        <f>Scenarios_Operating!S110</f>
        <v>#REF!</v>
      </c>
      <c r="R15" s="567" t="e">
        <f>Q15-C19</f>
        <v>#REF!</v>
      </c>
    </row>
    <row r="16" spans="2:18">
      <c r="B16" s="552" t="s">
        <v>3141</v>
      </c>
      <c r="C16" s="833">
        <f>Scenarios_Operating!S67</f>
        <v>124694.92273147951</v>
      </c>
      <c r="D16" s="834">
        <f>Scenarios_Operating!S47</f>
        <v>166485.43495034642</v>
      </c>
      <c r="E16" s="69">
        <f t="shared" ref="E16:E24" si="1">D16-C16</f>
        <v>41790.512218866905</v>
      </c>
      <c r="F16" s="914">
        <f>E16/C16</f>
        <v>0.33514205152409782</v>
      </c>
      <c r="I16" s="880">
        <v>-0.05</v>
      </c>
      <c r="J16" s="881">
        <f t="dataTable" ref="J16:J21" dt2D="0" dtr="0" r1="C41" ca="1"/>
        <v>8.4994557499885562E-2</v>
      </c>
      <c r="K16" s="876">
        <f t="shared" ref="K16:K21" si="2">I16</f>
        <v>-0.05</v>
      </c>
      <c r="L16" s="877" t="e">
        <f t="dataTable" ref="L16:L21" dt2D="0" dtr="0" r1="Q33"/>
        <v>#REF!</v>
      </c>
      <c r="M16" s="1122">
        <f t="shared" si="0"/>
        <v>7.0142057388430601E-2</v>
      </c>
      <c r="P16" s="898" t="s">
        <v>3116</v>
      </c>
      <c r="Q16" s="899" t="e">
        <f>Scenarios_Operating!S104</f>
        <v>#REF!</v>
      </c>
      <c r="R16" s="899" t="e">
        <f>Q16-C20</f>
        <v>#REF!</v>
      </c>
    </row>
    <row r="17" spans="2:18">
      <c r="B17" s="552" t="s">
        <v>3158</v>
      </c>
      <c r="C17" s="833">
        <f>Scenarios_Operating!S68</f>
        <v>61113.874489582566</v>
      </c>
      <c r="D17" s="834">
        <f>Scenarios_Operating!S48</f>
        <v>93254.045417173023</v>
      </c>
      <c r="E17" s="69">
        <f t="shared" si="1"/>
        <v>32140.170927590458</v>
      </c>
      <c r="F17" s="914">
        <f>E17/C17</f>
        <v>0.52590628880957391</v>
      </c>
      <c r="I17" s="880">
        <f>I16+5%</f>
        <v>0</v>
      </c>
      <c r="J17" s="881">
        <v>7.9423621296882643E-2</v>
      </c>
      <c r="K17" s="876">
        <f t="shared" si="2"/>
        <v>0</v>
      </c>
      <c r="L17" s="877" t="e">
        <v>#REF!</v>
      </c>
      <c r="M17" s="1122">
        <f t="shared" si="0"/>
        <v>0</v>
      </c>
      <c r="P17" s="567" t="s">
        <v>259</v>
      </c>
      <c r="Q17" s="897" t="e">
        <f>#REF!</f>
        <v>#REF!</v>
      </c>
      <c r="R17" s="567" t="e">
        <f>Q17-C22</f>
        <v>#REF!</v>
      </c>
    </row>
    <row r="18" spans="2:18">
      <c r="B18" s="552" t="s">
        <v>3119</v>
      </c>
      <c r="C18" s="833">
        <f>Scenarios_Operating!S69</f>
        <v>-52556.138370872795</v>
      </c>
      <c r="D18" s="834">
        <f>Scenarios_Operating!S49</f>
        <v>-24067.062581507773</v>
      </c>
      <c r="E18" s="69">
        <f t="shared" si="1"/>
        <v>28489.075789365023</v>
      </c>
      <c r="F18" s="914">
        <f>E18/C18</f>
        <v>-0.54206942656871437</v>
      </c>
      <c r="I18" s="880">
        <f>I17+5%</f>
        <v>0.05</v>
      </c>
      <c r="J18" s="881">
        <v>7.4262109398841883E-2</v>
      </c>
      <c r="K18" s="876">
        <f t="shared" si="2"/>
        <v>0.05</v>
      </c>
      <c r="L18" s="877" t="e">
        <v>#REF!</v>
      </c>
      <c r="M18" s="1122">
        <f t="shared" si="0"/>
        <v>-6.4987113578556355E-2</v>
      </c>
      <c r="P18" s="567" t="s">
        <v>3157</v>
      </c>
      <c r="Q18" s="897" t="e">
        <f>#REF!</f>
        <v>#REF!</v>
      </c>
      <c r="R18" s="567" t="e">
        <f>Q18-C23</f>
        <v>#REF!</v>
      </c>
    </row>
    <row r="19" spans="2:18">
      <c r="B19" s="552" t="s">
        <v>3120</v>
      </c>
      <c r="C19" s="833">
        <f>Scenarios_Operating!S70</f>
        <v>-53783.693700681404</v>
      </c>
      <c r="D19" s="834">
        <f>Scenarios_Operating!S50</f>
        <v>-17649.729181423925</v>
      </c>
      <c r="E19" s="69">
        <f t="shared" si="1"/>
        <v>36133.964519257483</v>
      </c>
      <c r="F19" s="914">
        <f>E19/C19</f>
        <v>-0.67183865653317321</v>
      </c>
      <c r="I19" s="880">
        <f>I18+5%</f>
        <v>0.1</v>
      </c>
      <c r="J19" s="881">
        <v>6.9456705451011652E-2</v>
      </c>
      <c r="K19" s="876">
        <f t="shared" si="2"/>
        <v>0.1</v>
      </c>
      <c r="L19" s="877" t="e">
        <v>#REF!</v>
      </c>
      <c r="M19" s="1122">
        <f t="shared" si="0"/>
        <v>-0.12549057425391141</v>
      </c>
      <c r="P19" s="567" t="s">
        <v>1043</v>
      </c>
      <c r="Q19" s="897" t="e">
        <f>#REF!</f>
        <v>#REF!</v>
      </c>
      <c r="R19" s="567" t="e">
        <f>Q19-C24</f>
        <v>#REF!</v>
      </c>
    </row>
    <row r="20" spans="2:18">
      <c r="B20" s="832" t="s">
        <v>3116</v>
      </c>
      <c r="C20" s="254">
        <f>Scenarios_Operating!S64</f>
        <v>-77280.932278025342</v>
      </c>
      <c r="D20" s="918">
        <f>Scenarios_Operating!S44</f>
        <v>-22835.395437413496</v>
      </c>
      <c r="E20" s="254">
        <f t="shared" si="1"/>
        <v>54445.53684061185</v>
      </c>
      <c r="F20" s="916"/>
      <c r="I20" s="880">
        <f>I19+5%</f>
        <v>0.15000000000000002</v>
      </c>
      <c r="J20" s="881">
        <v>6.4963677525520333E-2</v>
      </c>
      <c r="K20" s="876">
        <f t="shared" si="2"/>
        <v>0.15000000000000002</v>
      </c>
      <c r="L20" s="877" t="e">
        <v>#REF!</v>
      </c>
      <c r="M20" s="1122">
        <f t="shared" si="0"/>
        <v>-0.18206099816717702</v>
      </c>
      <c r="P20" s="900" t="s">
        <v>1045</v>
      </c>
      <c r="Q20" s="901" t="e">
        <f>#REF!</f>
        <v>#REF!</v>
      </c>
      <c r="R20" s="902" t="e">
        <f>Q20-C26</f>
        <v>#REF!</v>
      </c>
    </row>
    <row r="21" spans="2:18">
      <c r="B21" s="552" t="s">
        <v>3168</v>
      </c>
      <c r="C21" s="833">
        <f>'Revenues"0"'!N39</f>
        <v>1249.5</v>
      </c>
      <c r="D21" s="834">
        <f>'Revenues"A"'!P55</f>
        <v>1136</v>
      </c>
      <c r="E21" s="69">
        <f t="shared" si="1"/>
        <v>-113.5</v>
      </c>
      <c r="F21" s="914">
        <f t="shared" ref="F21:F26" si="3">E21/C21</f>
        <v>-9.0836334533813526E-2</v>
      </c>
      <c r="G21" s="924" t="s">
        <v>3170</v>
      </c>
      <c r="I21" s="839">
        <f>I20+5%</f>
        <v>0.2</v>
      </c>
      <c r="J21" s="827">
        <v>6.0746720433235174E-2</v>
      </c>
      <c r="K21" s="878">
        <f t="shared" si="2"/>
        <v>0.2</v>
      </c>
      <c r="L21" s="875" t="e">
        <v>#REF!</v>
      </c>
      <c r="M21" s="1122">
        <f t="shared" si="0"/>
        <v>-0.23515549352545739</v>
      </c>
    </row>
    <row r="22" spans="2:18">
      <c r="B22" s="552" t="s">
        <v>259</v>
      </c>
      <c r="C22" s="833">
        <f>'FTE"0"'!U12</f>
        <v>3441.2419953185367</v>
      </c>
      <c r="D22" s="834">
        <f>'FTE"A"'!U12</f>
        <v>3466.4725435683245</v>
      </c>
      <c r="E22" s="69">
        <f t="shared" si="1"/>
        <v>25.230548249787716</v>
      </c>
      <c r="F22" s="914">
        <f t="shared" si="3"/>
        <v>7.3318145844178751E-3</v>
      </c>
      <c r="G22" s="924"/>
      <c r="M22" s="1122"/>
    </row>
    <row r="23" spans="2:18">
      <c r="B23" s="868" t="s">
        <v>3157</v>
      </c>
      <c r="C23" s="921">
        <f>'Revenues"0"'!T40</f>
        <v>46986.530963576479</v>
      </c>
      <c r="D23" s="869">
        <f>'Revenues"A"'!T56</f>
        <v>60337.764999023537</v>
      </c>
      <c r="E23" s="868">
        <f t="shared" si="1"/>
        <v>13351.234035447058</v>
      </c>
      <c r="F23" s="922">
        <f t="shared" si="3"/>
        <v>0.28415023968883357</v>
      </c>
      <c r="G23" s="924"/>
      <c r="I23" s="572" t="s">
        <v>3155</v>
      </c>
      <c r="J23" s="851" t="s">
        <v>3131</v>
      </c>
      <c r="K23" s="872"/>
      <c r="L23" s="879" t="s">
        <v>3132</v>
      </c>
      <c r="M23" s="1122"/>
      <c r="P23" s="903" t="s">
        <v>3142</v>
      </c>
      <c r="R23" s="904"/>
    </row>
    <row r="24" spans="2:18">
      <c r="B24" s="868" t="s">
        <v>1043</v>
      </c>
      <c r="C24" s="921">
        <f>'Revenues"0"'!T50</f>
        <v>7278.1482689473869</v>
      </c>
      <c r="D24" s="869">
        <f>'Revenues"A"'!T69</f>
        <v>14626.229711767182</v>
      </c>
      <c r="E24" s="868">
        <f t="shared" si="1"/>
        <v>7348.0814428197955</v>
      </c>
      <c r="F24" s="922">
        <f t="shared" si="3"/>
        <v>1.0096086492454106</v>
      </c>
      <c r="G24" s="924"/>
      <c r="I24" s="604"/>
      <c r="J24" s="827">
        <f>D11</f>
        <v>7.9423621296882643E-2</v>
      </c>
      <c r="K24" s="874"/>
      <c r="L24" s="875" t="e">
        <f>Q10</f>
        <v>#REF!</v>
      </c>
      <c r="M24" s="1122"/>
      <c r="P24" s="883"/>
      <c r="Q24" s="885" t="s">
        <v>3132</v>
      </c>
      <c r="R24" s="904"/>
    </row>
    <row r="25" spans="2:18">
      <c r="B25" s="853" t="s">
        <v>3167</v>
      </c>
      <c r="C25" s="919">
        <f>C23+C24</f>
        <v>54264.679232523864</v>
      </c>
      <c r="D25" s="920">
        <f>D23+D24</f>
        <v>74963.994710790721</v>
      </c>
      <c r="E25" s="855">
        <f>E23+E24</f>
        <v>20699.315478266853</v>
      </c>
      <c r="F25" s="912">
        <f t="shared" si="3"/>
        <v>0.3814509874751198</v>
      </c>
      <c r="G25" s="925" t="s">
        <v>3169</v>
      </c>
      <c r="I25" s="880">
        <v>0</v>
      </c>
      <c r="J25" s="881">
        <f t="dataTable" ref="J25:J30" dt2D="0" dtr="0" r1="C30" ca="1"/>
        <v>6.4695081114768987E-2</v>
      </c>
      <c r="K25" s="876">
        <f t="shared" ref="K25:K30" si="4">I25</f>
        <v>0</v>
      </c>
      <c r="L25" s="877" t="e">
        <f t="dataTable" ref="L25:L30" dt2D="0" dtr="0" r1="Q25"/>
        <v>#REF!</v>
      </c>
      <c r="M25" s="1122">
        <f t="shared" si="0"/>
        <v>-0.18544281841618504</v>
      </c>
      <c r="P25" s="905" t="s">
        <v>3143</v>
      </c>
      <c r="Q25" s="906">
        <v>0.2</v>
      </c>
      <c r="R25" s="907" t="s">
        <v>3149</v>
      </c>
    </row>
    <row r="26" spans="2:18">
      <c r="B26" s="681" t="s">
        <v>1045</v>
      </c>
      <c r="C26" s="857">
        <f>'Revenues"0"'!T62</f>
        <v>0.55082043062129804</v>
      </c>
      <c r="D26" s="858">
        <f>'Revenues"A"'!T82</f>
        <v>0.86387766426121948</v>
      </c>
      <c r="E26" s="710">
        <f>D26-C26</f>
        <v>0.31305723363992144</v>
      </c>
      <c r="F26" s="917">
        <f t="shared" si="3"/>
        <v>0.56834717130373769</v>
      </c>
      <c r="G26" s="924" t="s">
        <v>3169</v>
      </c>
      <c r="I26" s="880">
        <f>I25+5%</f>
        <v>0.05</v>
      </c>
      <c r="J26" s="881">
        <v>7.2606602311134347E-2</v>
      </c>
      <c r="K26" s="876">
        <f t="shared" si="4"/>
        <v>0.05</v>
      </c>
      <c r="L26" s="877" t="e">
        <v>#REF!</v>
      </c>
      <c r="M26" s="1122">
        <f t="shared" si="0"/>
        <v>-8.5831127748085434E-2</v>
      </c>
      <c r="P26" s="905" t="s">
        <v>3144</v>
      </c>
      <c r="Q26" s="906">
        <v>-0.25</v>
      </c>
      <c r="R26" s="907"/>
    </row>
    <row r="27" spans="2:18">
      <c r="I27" s="880">
        <f>I26+5%</f>
        <v>0.1</v>
      </c>
      <c r="J27" s="881">
        <v>7.9423621296882643E-2</v>
      </c>
      <c r="K27" s="876">
        <f t="shared" si="4"/>
        <v>0.1</v>
      </c>
      <c r="L27" s="877" t="e">
        <v>#REF!</v>
      </c>
      <c r="M27" s="1122">
        <f t="shared" si="0"/>
        <v>0</v>
      </c>
      <c r="P27" s="905" t="s">
        <v>3145</v>
      </c>
      <c r="Q27" s="906">
        <v>0</v>
      </c>
      <c r="R27" s="907"/>
    </row>
    <row r="28" spans="2:18">
      <c r="B28" s="457" t="s">
        <v>3142</v>
      </c>
      <c r="E28" s="831"/>
      <c r="F28" s="831"/>
      <c r="G28" s="831"/>
      <c r="I28" s="880">
        <f>I27+5%</f>
        <v>0.15000000000000002</v>
      </c>
      <c r="J28" s="881">
        <v>8.5385069251060486E-2</v>
      </c>
      <c r="K28" s="876">
        <f t="shared" si="4"/>
        <v>0.15000000000000002</v>
      </c>
      <c r="L28" s="877" t="e">
        <v>#REF!</v>
      </c>
      <c r="M28" s="1122">
        <f t="shared" si="0"/>
        <v>7.5058878666513618E-2</v>
      </c>
      <c r="P28" s="905" t="s">
        <v>3146</v>
      </c>
      <c r="Q28" s="906">
        <v>2.3E-2</v>
      </c>
      <c r="R28" s="907" t="s">
        <v>3150</v>
      </c>
    </row>
    <row r="29" spans="2:18">
      <c r="B29" s="848"/>
      <c r="C29" s="819" t="s">
        <v>3131</v>
      </c>
      <c r="E29" s="831"/>
      <c r="F29" s="831"/>
      <c r="G29" s="831"/>
      <c r="I29" s="880">
        <f>I28+5%</f>
        <v>0.2</v>
      </c>
      <c r="J29" s="881">
        <v>9.0660998225212092E-2</v>
      </c>
      <c r="K29" s="876">
        <f t="shared" si="4"/>
        <v>0.2</v>
      </c>
      <c r="L29" s="877" t="e">
        <v>#REF!</v>
      </c>
      <c r="M29" s="1122">
        <f t="shared" si="0"/>
        <v>0.14148658478218379</v>
      </c>
      <c r="P29" s="905" t="s">
        <v>3147</v>
      </c>
      <c r="Q29" s="906">
        <v>0.25</v>
      </c>
      <c r="R29" s="908" t="s">
        <v>3151</v>
      </c>
    </row>
    <row r="30" spans="2:18">
      <c r="B30" s="847" t="s">
        <v>3335</v>
      </c>
      <c r="C30" s="332">
        <f>IF($D$60=1,Assumtions!C6,IF($D$60=2,Assumtions!D6,Assumtions!E6))</f>
        <v>0.1</v>
      </c>
      <c r="D30" s="1048"/>
      <c r="F30" s="831"/>
      <c r="G30" s="831"/>
      <c r="I30" s="839">
        <f>I29+5%</f>
        <v>0.25</v>
      </c>
      <c r="J30" s="827">
        <v>9.5376607775688169E-2</v>
      </c>
      <c r="K30" s="878">
        <f t="shared" si="4"/>
        <v>0.25</v>
      </c>
      <c r="L30" s="875" t="e">
        <v>#REF!</v>
      </c>
      <c r="M30" s="1122">
        <f t="shared" si="0"/>
        <v>0.20085946999537874</v>
      </c>
      <c r="P30" s="905" t="s">
        <v>3148</v>
      </c>
      <c r="Q30" s="906">
        <v>0.01</v>
      </c>
      <c r="R30" s="908" t="s">
        <v>3152</v>
      </c>
    </row>
    <row r="31" spans="2:18">
      <c r="B31" s="69" t="s">
        <v>3336</v>
      </c>
      <c r="C31" s="332">
        <f>IF($D$60=1,Assumtions!C7,IF($D$60=2,Assumtions!D7,Assumtions!E7))</f>
        <v>0.1</v>
      </c>
      <c r="P31" s="905" t="s">
        <v>3138</v>
      </c>
      <c r="Q31" s="906">
        <v>-0.1</v>
      </c>
      <c r="R31" s="908" t="s">
        <v>3159</v>
      </c>
    </row>
    <row r="32" spans="2:18">
      <c r="B32" s="69" t="s">
        <v>3337</v>
      </c>
      <c r="C32" s="332">
        <f>IF($D$60=1,Assumtions!C8,IF($D$60=2,Assumtions!D8,Assumtions!E8))</f>
        <v>0.1</v>
      </c>
      <c r="I32" s="572" t="s">
        <v>3156</v>
      </c>
      <c r="J32" s="851" t="s">
        <v>3131</v>
      </c>
      <c r="K32" s="872"/>
      <c r="L32" s="879" t="s">
        <v>3132</v>
      </c>
      <c r="P32" s="905" t="s">
        <v>3153</v>
      </c>
      <c r="Q32" s="906">
        <v>-0.1</v>
      </c>
      <c r="R32" s="908" t="s">
        <v>3160</v>
      </c>
    </row>
    <row r="33" spans="2:18">
      <c r="B33" s="847" t="s">
        <v>3144</v>
      </c>
      <c r="C33" s="332">
        <f>IF($D$60=1,Assumtions!C9,IF($D$60=2,Assumtions!D9,Assumtions!E9))</f>
        <v>-0.15</v>
      </c>
      <c r="D33" s="852"/>
      <c r="F33" s="831"/>
      <c r="G33" s="831"/>
      <c r="I33" s="604"/>
      <c r="J33" s="827">
        <f>D11</f>
        <v>7.9423621296882643E-2</v>
      </c>
      <c r="K33" s="874"/>
      <c r="L33" s="875" t="e">
        <f>Q10</f>
        <v>#REF!</v>
      </c>
      <c r="P33" s="909" t="s">
        <v>3154</v>
      </c>
      <c r="Q33" s="910">
        <v>0</v>
      </c>
      <c r="R33" s="908" t="s">
        <v>3161</v>
      </c>
    </row>
    <row r="34" spans="2:18">
      <c r="B34" s="847" t="s">
        <v>3145</v>
      </c>
      <c r="C34" s="332">
        <f>IF($D$60=1,Assumtions!C10,IF($D$60=2,Assumtions!D10,Assumtions!E10))</f>
        <v>0</v>
      </c>
      <c r="D34" s="852"/>
      <c r="F34" s="831"/>
      <c r="G34" s="831"/>
      <c r="I34" s="880">
        <v>5.0000000000000001E-3</v>
      </c>
      <c r="J34" s="881">
        <f t="dataTable" ref="J34:J39" dt2D="0" dtr="0" r1="C35" ca="1"/>
        <v>7.8044179081916826E-2</v>
      </c>
      <c r="K34" s="876">
        <f t="shared" ref="K34:K39" si="5">I34</f>
        <v>5.0000000000000001E-3</v>
      </c>
      <c r="L34" s="877" t="e">
        <f t="dataTable" ref="L34:L39" dt2D="0" dtr="0" r1="Q28"/>
        <v>#REF!</v>
      </c>
    </row>
    <row r="35" spans="2:18">
      <c r="B35" s="847" t="s">
        <v>3146</v>
      </c>
      <c r="C35" s="332">
        <f>IF($D$60=1,Assumtions!C11,IF($D$60=2,Assumtions!D11,Assumtions!E11))</f>
        <v>2.1999999999999999E-2</v>
      </c>
      <c r="D35" s="852" t="s">
        <v>3150</v>
      </c>
      <c r="F35" s="831"/>
      <c r="G35" s="831"/>
      <c r="I35" s="880">
        <f>I34+0.5%</f>
        <v>0.01</v>
      </c>
      <c r="J35" s="881">
        <v>7.8448918461799633E-2</v>
      </c>
      <c r="K35" s="876">
        <f t="shared" si="5"/>
        <v>0.01</v>
      </c>
      <c r="L35" s="877" t="e">
        <v>#REF!</v>
      </c>
    </row>
    <row r="36" spans="2:18">
      <c r="B36" s="847" t="s">
        <v>3147</v>
      </c>
      <c r="C36" s="332">
        <f>IF($D$60=1,Assumtions!C12,IF($D$60=2,Assumtions!D12,Assumtions!E12))</f>
        <v>0.2</v>
      </c>
      <c r="D36" s="677" t="s">
        <v>3151</v>
      </c>
      <c r="I36" s="880">
        <f>I35+0.5%</f>
        <v>1.4999999999999999E-2</v>
      </c>
      <c r="J36" s="881">
        <v>7.8854468464851404E-2</v>
      </c>
      <c r="K36" s="876">
        <f t="shared" si="5"/>
        <v>1.4999999999999999E-2</v>
      </c>
      <c r="L36" s="877" t="e">
        <v>#REF!</v>
      </c>
    </row>
    <row r="37" spans="2:18">
      <c r="B37" s="847" t="s">
        <v>3148</v>
      </c>
      <c r="C37" s="332">
        <f>IF($D$60=1,Assumtions!C13,IF($D$60=2,Assumtions!D13,Assumtions!E13))</f>
        <v>7.2000000000000008E-2</v>
      </c>
      <c r="D37" s="677" t="s">
        <v>3152</v>
      </c>
      <c r="I37" s="880">
        <f>I36+0.5%</f>
        <v>0.02</v>
      </c>
      <c r="J37" s="881">
        <v>7.9260841012001065E-2</v>
      </c>
      <c r="K37" s="876">
        <f t="shared" si="5"/>
        <v>0.02</v>
      </c>
      <c r="L37" s="877" t="e">
        <v>#REF!</v>
      </c>
    </row>
    <row r="38" spans="2:18">
      <c r="B38" s="847" t="s">
        <v>3138</v>
      </c>
      <c r="C38" s="332">
        <f>IF($D$60=1,Assumtions!C14,IF($D$60=2,Assumtions!D14,Assumtions!E14))</f>
        <v>-0.08</v>
      </c>
      <c r="D38" s="677" t="s">
        <v>3159</v>
      </c>
      <c r="I38" s="880">
        <f>I37+0.5%</f>
        <v>2.5000000000000001E-2</v>
      </c>
      <c r="J38" s="881">
        <v>7.9668036103248602E-2</v>
      </c>
      <c r="K38" s="876">
        <f t="shared" si="5"/>
        <v>2.5000000000000001E-2</v>
      </c>
      <c r="L38" s="877" t="e">
        <v>#REF!</v>
      </c>
    </row>
    <row r="39" spans="2:18">
      <c r="B39" s="847" t="s">
        <v>3153</v>
      </c>
      <c r="C39" s="332">
        <f>IF($D$60=1,Assumtions!C15,IF($D$60=2,Assumtions!D15,Assumtions!E15))</f>
        <v>-0.1</v>
      </c>
      <c r="D39" s="677" t="s">
        <v>3160</v>
      </c>
      <c r="I39" s="839">
        <f>I38+0.5%</f>
        <v>3.0000000000000002E-2</v>
      </c>
      <c r="J39" s="827">
        <v>8.0076041817665131E-2</v>
      </c>
      <c r="K39" s="878">
        <f t="shared" si="5"/>
        <v>3.0000000000000002E-2</v>
      </c>
      <c r="L39" s="875" t="e">
        <v>#REF!</v>
      </c>
    </row>
    <row r="40" spans="2:18">
      <c r="B40" s="849" t="s">
        <v>3242</v>
      </c>
      <c r="C40" s="1044">
        <f>17.35%*C44</f>
        <v>0.17350000000000002</v>
      </c>
      <c r="D40" s="677" t="s">
        <v>3248</v>
      </c>
    </row>
    <row r="41" spans="2:18">
      <c r="B41" s="849" t="s">
        <v>3243</v>
      </c>
      <c r="C41" s="850">
        <v>0</v>
      </c>
      <c r="D41" s="677" t="s">
        <v>3247</v>
      </c>
      <c r="I41" s="572" t="s">
        <v>3177</v>
      </c>
      <c r="J41" s="851" t="s">
        <v>3131</v>
      </c>
      <c r="N41" s="572" t="s">
        <v>3177</v>
      </c>
      <c r="O41" s="851" t="s">
        <v>3131</v>
      </c>
    </row>
    <row r="42" spans="2:18">
      <c r="I42" s="604"/>
      <c r="J42" s="827">
        <f>D11</f>
        <v>7.9423621296882643E-2</v>
      </c>
      <c r="N42" s="604"/>
      <c r="O42" s="965">
        <f>D12</f>
        <v>747317.69915252714</v>
      </c>
    </row>
    <row r="43" spans="2:18">
      <c r="B43" s="457" t="s">
        <v>3260</v>
      </c>
      <c r="I43" s="880">
        <v>5.0000000000000001E-3</v>
      </c>
      <c r="J43" s="881">
        <f t="dataTable" ref="J43:J48" dt2D="0" dtr="0" r1="C37" ca="1"/>
        <v>7.6557061076164265E-2</v>
      </c>
      <c r="N43" s="880">
        <v>5.0000000000000001E-3</v>
      </c>
      <c r="O43" s="966">
        <f t="dataTable" ref="O43:O48" dt2D="0" dtr="0" r1="C37" ca="1"/>
        <v>703676.9372751168</v>
      </c>
    </row>
    <row r="44" spans="2:18">
      <c r="B44" s="993" t="s">
        <v>3252</v>
      </c>
      <c r="C44" s="863">
        <f>Assumtions!C38</f>
        <v>1</v>
      </c>
      <c r="I44" s="880">
        <f>I43+0.5%</f>
        <v>0.01</v>
      </c>
      <c r="J44" s="881">
        <v>7.6769539713859566E-2</v>
      </c>
      <c r="N44" s="880">
        <f>N43+0.5%</f>
        <v>0.01</v>
      </c>
      <c r="O44" s="966">
        <v>706884.65003190539</v>
      </c>
    </row>
    <row r="45" spans="2:18">
      <c r="B45" s="554" t="s">
        <v>3251</v>
      </c>
      <c r="C45" s="69">
        <f>Assumtions!C39</f>
        <v>1</v>
      </c>
      <c r="D45" s="552" t="s">
        <v>3328</v>
      </c>
      <c r="I45" s="880">
        <f t="shared" ref="I45:I48" si="6">I44+0.5%</f>
        <v>1.4999999999999999E-2</v>
      </c>
      <c r="J45" s="881">
        <v>7.6982256770133969E-2</v>
      </c>
      <c r="N45" s="880">
        <f t="shared" ref="N45:N48" si="7">N44+0.5%</f>
        <v>1.4999999999999999E-2</v>
      </c>
      <c r="O45" s="966">
        <v>710100.2757754107</v>
      </c>
    </row>
    <row r="46" spans="2:18">
      <c r="B46" s="554" t="s">
        <v>3074</v>
      </c>
      <c r="C46" s="457">
        <f>Assumtions!C40</f>
        <v>1</v>
      </c>
      <c r="I46" s="880">
        <f t="shared" si="6"/>
        <v>0.02</v>
      </c>
      <c r="J46" s="881">
        <v>7.7195212244987502E-2</v>
      </c>
      <c r="N46" s="880">
        <f t="shared" si="7"/>
        <v>0.02</v>
      </c>
      <c r="O46" s="966">
        <v>713323.81450563204</v>
      </c>
    </row>
    <row r="47" spans="2:18">
      <c r="B47" s="554" t="s">
        <v>3255</v>
      </c>
      <c r="C47" s="69">
        <f>C46</f>
        <v>1</v>
      </c>
      <c r="I47" s="880">
        <f t="shared" si="6"/>
        <v>2.5000000000000001E-2</v>
      </c>
      <c r="J47" s="881">
        <v>7.7408394217491169E-2</v>
      </c>
      <c r="N47" s="880">
        <f t="shared" si="7"/>
        <v>2.5000000000000001E-2</v>
      </c>
      <c r="O47" s="966">
        <v>716555.26622257219</v>
      </c>
    </row>
    <row r="48" spans="2:18">
      <c r="B48" s="554" t="s">
        <v>3256</v>
      </c>
      <c r="C48" s="69">
        <f>C47</f>
        <v>1</v>
      </c>
      <c r="I48" s="839">
        <f t="shared" si="6"/>
        <v>3.0000000000000002E-2</v>
      </c>
      <c r="J48" s="827">
        <v>7.7621814608573939E-2</v>
      </c>
      <c r="N48" s="839">
        <f t="shared" si="7"/>
        <v>3.0000000000000002E-2</v>
      </c>
      <c r="O48" s="965">
        <v>719794.63092622557</v>
      </c>
    </row>
    <row r="49" spans="2:7">
      <c r="B49" s="554" t="s">
        <v>3334</v>
      </c>
      <c r="C49" s="69">
        <f>C48</f>
        <v>1</v>
      </c>
    </row>
    <row r="50" spans="2:7">
      <c r="B50" s="603" t="s">
        <v>3259</v>
      </c>
      <c r="C50" s="604">
        <f>C48</f>
        <v>1</v>
      </c>
    </row>
    <row r="52" spans="2:7">
      <c r="B52" s="1055" t="s">
        <v>3338</v>
      </c>
      <c r="C52" s="1093">
        <f>Assumtions!C21</f>
        <v>0.5</v>
      </c>
    </row>
    <row r="53" spans="2:7">
      <c r="B53" s="69" t="s">
        <v>3339</v>
      </c>
      <c r="C53" s="880">
        <f>Assumtions!C22</f>
        <v>0.2</v>
      </c>
    </row>
    <row r="54" spans="2:7">
      <c r="B54" s="69" t="s">
        <v>3340</v>
      </c>
      <c r="C54" s="880">
        <f>Assumtions!C23</f>
        <v>0.35</v>
      </c>
    </row>
    <row r="55" spans="2:7">
      <c r="B55" s="604" t="s">
        <v>3341</v>
      </c>
      <c r="C55" s="839">
        <f>Assumtions!C24</f>
        <v>1</v>
      </c>
    </row>
    <row r="60" spans="2:7">
      <c r="B60" s="1091" t="s">
        <v>3375</v>
      </c>
      <c r="C60" s="1118" t="str">
        <f>Assumtions!C37</f>
        <v>Faza 1+2+3</v>
      </c>
      <c r="D60" s="1092">
        <f>IF(C60=Assumtions!Z3,1,IF(C60=Assumtions!Z4,2,3))</f>
        <v>3</v>
      </c>
    </row>
    <row r="63" spans="2:7" ht="16" thickBot="1">
      <c r="D63" s="552"/>
      <c r="E63" s="69">
        <v>0</v>
      </c>
      <c r="F63" s="69">
        <v>1</v>
      </c>
      <c r="G63" s="552" t="s">
        <v>3385</v>
      </c>
    </row>
    <row r="64" spans="2:7">
      <c r="B64" s="1600" t="s">
        <v>3171</v>
      </c>
      <c r="C64" s="1601"/>
      <c r="D64" s="1026">
        <f>D11</f>
        <v>7.9423621296882643E-2</v>
      </c>
      <c r="E64" s="1029">
        <f t="dataTable" ref="E64:F66" dt2D="0" dtr="1" r1="C46" ca="1"/>
        <v>6.6895285248756417E-2</v>
      </c>
      <c r="F64" s="1023">
        <v>7.9423621296882643E-2</v>
      </c>
      <c r="G64" s="1023">
        <f>F64-E64</f>
        <v>1.2528336048126226E-2</v>
      </c>
    </row>
    <row r="65" spans="2:7">
      <c r="B65" s="1602" t="s">
        <v>3384</v>
      </c>
      <c r="C65" s="1603"/>
      <c r="D65" s="457">
        <f>D12</f>
        <v>747317.69915252714</v>
      </c>
      <c r="E65" s="1030">
        <v>566103.89420961333</v>
      </c>
      <c r="F65" s="1024">
        <v>747317.69915252714</v>
      </c>
      <c r="G65" s="1024">
        <f t="shared" ref="G65" si="8">F65-E65</f>
        <v>181213.80494291382</v>
      </c>
    </row>
    <row r="66" spans="2:7" ht="16" thickBot="1">
      <c r="B66" s="1604" t="s">
        <v>3172</v>
      </c>
      <c r="C66" s="1605"/>
      <c r="D66" s="1027">
        <f>D13</f>
        <v>19</v>
      </c>
      <c r="E66" s="1031" t="str">
        <v>VIAC než 20r.</v>
      </c>
      <c r="F66" s="1025">
        <v>19</v>
      </c>
      <c r="G66" s="1114" t="str">
        <f>IFERROR(F66-E66,"na")</f>
        <v>na</v>
      </c>
    </row>
    <row r="67" spans="2:7" ht="16" thickBot="1">
      <c r="D67" s="552"/>
      <c r="E67" s="69">
        <v>1</v>
      </c>
      <c r="F67" s="69">
        <v>2</v>
      </c>
      <c r="G67" s="69">
        <v>3</v>
      </c>
    </row>
    <row r="68" spans="2:7">
      <c r="B68" s="1600" t="s">
        <v>3171</v>
      </c>
      <c r="C68" s="1601"/>
      <c r="D68" s="1026">
        <f>D11</f>
        <v>7.9423621296882643E-2</v>
      </c>
      <c r="E68" s="1029">
        <f t="dataTable" ref="E68:G71" dt2D="0" dtr="1" r1="D60" ca="1"/>
        <v>0.14266893267631531</v>
      </c>
      <c r="F68" s="1088">
        <v>0.131298166513443</v>
      </c>
      <c r="G68" s="1023">
        <v>7.9423621296882643E-2</v>
      </c>
    </row>
    <row r="69" spans="2:7">
      <c r="B69" s="1602" t="s">
        <v>3384</v>
      </c>
      <c r="C69" s="1603"/>
      <c r="D69" s="457">
        <f>D12</f>
        <v>747317.69915252714</v>
      </c>
      <c r="E69" s="1030">
        <v>622391.73852678342</v>
      </c>
      <c r="F69" s="552">
        <v>769949.12951030792</v>
      </c>
      <c r="G69" s="1024">
        <v>747317.69915252714</v>
      </c>
    </row>
    <row r="70" spans="2:7">
      <c r="B70" s="1096"/>
      <c r="C70" s="1095" t="s">
        <v>3407</v>
      </c>
      <c r="D70" s="457">
        <f>E8</f>
        <v>79611.674744289368</v>
      </c>
      <c r="E70" s="1030">
        <v>298864.09145190287</v>
      </c>
      <c r="F70" s="552">
        <v>347537.91624676716</v>
      </c>
      <c r="G70" s="1024">
        <v>79611.674744289368</v>
      </c>
    </row>
    <row r="71" spans="2:7" ht="16" thickBot="1">
      <c r="B71" s="1604" t="s">
        <v>3172</v>
      </c>
      <c r="C71" s="1605"/>
      <c r="D71" s="1027">
        <f>D13</f>
        <v>19</v>
      </c>
      <c r="E71" s="1031">
        <v>12</v>
      </c>
      <c r="F71" s="1089">
        <v>12</v>
      </c>
      <c r="G71" s="1025">
        <v>19</v>
      </c>
    </row>
  </sheetData>
  <mergeCells count="9">
    <mergeCell ref="B68:C68"/>
    <mergeCell ref="B69:C69"/>
    <mergeCell ref="B71:C71"/>
    <mergeCell ref="B66:C66"/>
    <mergeCell ref="B11:C11"/>
    <mergeCell ref="B12:C12"/>
    <mergeCell ref="B13:C13"/>
    <mergeCell ref="B64:C64"/>
    <mergeCell ref="B65:C65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51</vt:i4>
      </vt:variant>
      <vt:variant>
        <vt:lpstr>Pomenované rozsahy</vt:lpstr>
      </vt:variant>
      <vt:variant>
        <vt:i4>6</vt:i4>
      </vt:variant>
    </vt:vector>
  </HeadingPairs>
  <TitlesOfParts>
    <vt:vector size="57" baseType="lpstr">
      <vt:lpstr>Assumtions</vt:lpstr>
      <vt:lpstr>Outputs_Vykazy</vt:lpstr>
      <vt:lpstr>Output_Capex_Full</vt:lpstr>
      <vt:lpstr>Outputs_Capex</vt:lpstr>
      <vt:lpstr>Outputs_HPA</vt:lpstr>
      <vt:lpstr>Outputs_Porovnania</vt:lpstr>
      <vt:lpstr>Scenarios_Operating</vt:lpstr>
      <vt:lpstr>social benefits</vt:lpstr>
      <vt:lpstr>Scenarios_Summary</vt:lpstr>
      <vt:lpstr>SCENAR"0"  &gt;&gt;</vt:lpstr>
      <vt:lpstr>summary"0"</vt:lpstr>
      <vt:lpstr>PL"0"</vt:lpstr>
      <vt:lpstr>BS"0"</vt:lpstr>
      <vt:lpstr>CF"0"</vt:lpstr>
      <vt:lpstr>FCFs"0"</vt:lpstr>
      <vt:lpstr>projections"0"&gt;</vt:lpstr>
      <vt:lpstr>FTE"0"</vt:lpstr>
      <vt:lpstr>Revenues"0"</vt:lpstr>
      <vt:lpstr>Costs"0"</vt:lpstr>
      <vt:lpstr>Financials"0"</vt:lpstr>
      <vt:lpstr>SCENAR"A"  &gt;&gt;</vt:lpstr>
      <vt:lpstr>summary"A"</vt:lpstr>
      <vt:lpstr>PL"A"</vt:lpstr>
      <vt:lpstr>BS"A"</vt:lpstr>
      <vt:lpstr>CF"A"</vt:lpstr>
      <vt:lpstr>FCFs"A"</vt:lpstr>
      <vt:lpstr>projections"A"&gt;</vt:lpstr>
      <vt:lpstr>FTE"A"</vt:lpstr>
      <vt:lpstr>Revenues"A"</vt:lpstr>
      <vt:lpstr>Costs"A"</vt:lpstr>
      <vt:lpstr>Financials"A"</vt:lpstr>
      <vt:lpstr>data_All &gt;&gt;&gt;</vt:lpstr>
      <vt:lpstr>Capex_model</vt:lpstr>
      <vt:lpstr>capex_final</vt:lpstr>
      <vt:lpstr>FTE_data</vt:lpstr>
      <vt:lpstr>BS_Data</vt:lpstr>
      <vt:lpstr>PL_data</vt:lpstr>
      <vt:lpstr>beds_NEW</vt:lpstr>
      <vt:lpstr>beds_OLD</vt:lpstr>
      <vt:lpstr>Ucto_HK_summ</vt:lpstr>
      <vt:lpstr>Hospit_Data_"0"</vt:lpstr>
      <vt:lpstr>Hospit_Data_"A"</vt:lpstr>
      <vt:lpstr>Hospit_OSN</vt:lpstr>
      <vt:lpstr>Hospit_Data_"A"_ExtraHPA</vt:lpstr>
      <vt:lpstr>Revenues_Data</vt:lpstr>
      <vt:lpstr>Vykony_Data</vt:lpstr>
      <vt:lpstr>Ucto_HK_2018</vt:lpstr>
      <vt:lpstr>Ucto_HK_2019</vt:lpstr>
      <vt:lpstr>Ucto_HK_2020</vt:lpstr>
      <vt:lpstr>Ucto_HK_2021_10</vt:lpstr>
      <vt:lpstr>Ucto_HK_2021</vt:lpstr>
      <vt:lpstr>'BS"0"'!Oblasť_tlače</vt:lpstr>
      <vt:lpstr>'CF"0"'!Oblasť_tlače</vt:lpstr>
      <vt:lpstr>'FCFs"0"'!Oblasť_tlače</vt:lpstr>
      <vt:lpstr>'Financials"0"'!Oblasť_tlače</vt:lpstr>
      <vt:lpstr>'PL"0"'!Oblasť_tlače</vt:lpstr>
      <vt:lpstr>'summary"0"'!Oblasť_tlače</vt:lpstr>
    </vt:vector>
  </TitlesOfParts>
  <Manager/>
  <Company>..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..</dc:creator>
  <cp:keywords/>
  <dc:description/>
  <cp:lastModifiedBy>Microsoft Office User</cp:lastModifiedBy>
  <cp:lastPrinted>2022-04-11T04:07:48Z</cp:lastPrinted>
  <dcterms:created xsi:type="dcterms:W3CDTF">2009-07-24T06:09:00Z</dcterms:created>
  <dcterms:modified xsi:type="dcterms:W3CDTF">2023-03-14T10:09:13Z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KSOProductBuildVer">
    <vt:lpwstr>1033-11.2.0.9739</vt:lpwstr>
  </property>
</Properties>
</file>